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업무폴더\2021년도\일일업무\생산일보\"/>
    </mc:Choice>
  </mc:AlternateContent>
  <xr:revisionPtr revIDLastSave="0" documentId="13_ncr:1_{2348EAAE-7104-4DE0-9AF5-70FC90B91448}" xr6:coauthVersionLast="47" xr6:coauthVersionMax="47" xr10:uidLastSave="{00000000-0000-0000-0000-000000000000}"/>
  <bookViews>
    <workbookView xWindow="-120" yWindow="-120" windowWidth="29040" windowHeight="15840" activeTab="19" xr2:uid="{00000000-000D-0000-FFFF-FFFF00000000}"/>
  </bookViews>
  <sheets>
    <sheet name="01" sheetId="2095" r:id="rId1"/>
    <sheet name="02" sheetId="2096" r:id="rId2"/>
    <sheet name="03" sheetId="2097" r:id="rId3"/>
    <sheet name="04" sheetId="2098" r:id="rId4"/>
    <sheet name="06" sheetId="2099" r:id="rId5"/>
    <sheet name="07" sheetId="2100" r:id="rId6"/>
    <sheet name="08" sheetId="2101" r:id="rId7"/>
    <sheet name="09" sheetId="2102" r:id="rId8"/>
    <sheet name="10" sheetId="2103" r:id="rId9"/>
    <sheet name="13" sheetId="2104" r:id="rId10"/>
    <sheet name="14" sheetId="2105" r:id="rId11"/>
    <sheet name="15" sheetId="2106" r:id="rId12"/>
    <sheet name="16" sheetId="2107" r:id="rId13"/>
    <sheet name="17" sheetId="2108" r:id="rId14"/>
    <sheet name="23" sheetId="2109" r:id="rId15"/>
    <sheet name="24" sheetId="2110" r:id="rId16"/>
    <sheet name="27" sheetId="2111" r:id="rId17"/>
    <sheet name="28" sheetId="2112" r:id="rId18"/>
    <sheet name="29" sheetId="2113" r:id="rId19"/>
    <sheet name="30" sheetId="2114" r:id="rId20"/>
    <sheet name="총괄" sheetId="16" r:id="rId21"/>
  </sheets>
  <definedNames>
    <definedName name="_xlnm.Print_Area" localSheetId="0">'01'!$A$1:$AD$97</definedName>
    <definedName name="_xlnm.Print_Area" localSheetId="1">'02'!$A$1:$AD$96</definedName>
    <definedName name="_xlnm.Print_Area" localSheetId="2">'03'!$A$1:$AD$96</definedName>
    <definedName name="_xlnm.Print_Area" localSheetId="3">'04'!$A$1:$AD$94</definedName>
    <definedName name="_xlnm.Print_Area" localSheetId="4">'06'!$A$1:$AD$93</definedName>
    <definedName name="_xlnm.Print_Area" localSheetId="5">'07'!$A$1:$AD$97</definedName>
    <definedName name="_xlnm.Print_Area" localSheetId="6">'08'!$A$1:$AD$95</definedName>
    <definedName name="_xlnm.Print_Area" localSheetId="7">'09'!$A$1:$AD$96</definedName>
    <definedName name="_xlnm.Print_Area" localSheetId="8">'10'!$A$1:$AD$95</definedName>
    <definedName name="_xlnm.Print_Area" localSheetId="9">'13'!$A$1:$AD$93</definedName>
    <definedName name="_xlnm.Print_Area" localSheetId="10">'14'!$A$1:$AD$98</definedName>
    <definedName name="_xlnm.Print_Area" localSheetId="11">'15'!$A$1:$AD$96</definedName>
    <definedName name="_xlnm.Print_Area" localSheetId="12">'16'!$A$1:$AD$94</definedName>
    <definedName name="_xlnm.Print_Area" localSheetId="13">'17'!$A$1:$AD$93</definedName>
    <definedName name="_xlnm.Print_Area" localSheetId="14">'23'!$A$1:$AD$94</definedName>
    <definedName name="_xlnm.Print_Area" localSheetId="15">'24'!$A$1:$AD$93</definedName>
    <definedName name="_xlnm.Print_Area" localSheetId="16">'27'!$A$1:$AD$93</definedName>
    <definedName name="_xlnm.Print_Area" localSheetId="17">'28'!$A$1:$AD$94</definedName>
    <definedName name="_xlnm.Print_Area" localSheetId="18">'29'!$A$1:$AD$94</definedName>
    <definedName name="_xlnm.Print_Area" localSheetId="19">'30'!$A$1:$AD$94</definedName>
    <definedName name="ㅁ1" localSheetId="0">'01'!$M$1048532:$M$1048576</definedName>
    <definedName name="ㅁ1" localSheetId="1">'02'!$M$1048531:$M$1048576</definedName>
    <definedName name="ㅁ1" localSheetId="2">'03'!$M$1048531:$M$1048576</definedName>
    <definedName name="ㅁ1" localSheetId="3">'04'!$M$1048529:$M$1048576</definedName>
    <definedName name="ㅁ1" localSheetId="4">'06'!$M$1048528:$M$1048576</definedName>
    <definedName name="ㅁ1" localSheetId="5">'07'!$M$1048532:$M$1048576</definedName>
    <definedName name="ㅁ1" localSheetId="6">'08'!$M$1048530:$M$1048576</definedName>
    <definedName name="ㅁ1" localSheetId="7">'09'!$M$1048531:$M$1048576</definedName>
    <definedName name="ㅁ1" localSheetId="8">'10'!$M$1048530:$M$1048576</definedName>
    <definedName name="ㅁ1" localSheetId="9">'13'!$M$1048528:$M$1048576</definedName>
    <definedName name="ㅁ1" localSheetId="10">'14'!$M$1048533:$M$1048576</definedName>
    <definedName name="ㅁ1" localSheetId="11">'15'!$M$1048531:$M$1048576</definedName>
    <definedName name="ㅁ1" localSheetId="12">'16'!$M$1048529:$M$1048576</definedName>
    <definedName name="ㅁ1" localSheetId="13">'17'!$M$1048528:$M$1048576</definedName>
    <definedName name="ㅁ1" localSheetId="14">'23'!$M$1048529:$M$1048576</definedName>
    <definedName name="ㅁ1" localSheetId="15">'24'!$M$1048528:$M$1048576</definedName>
    <definedName name="ㅁ1" localSheetId="16">'27'!$M$1048528:$M$1048576</definedName>
    <definedName name="ㅁ1" localSheetId="17">'28'!$M$1048529:$M$1048576</definedName>
    <definedName name="ㅁ1" localSheetId="18">'29'!$M$1048529:$M$1048576</definedName>
    <definedName name="ㅁ1" localSheetId="19">'30'!$M$1048529:$M$1048576</definedName>
    <definedName name="ㅁ1">#REF!</definedName>
  </definedNames>
  <calcPr calcId="181029"/>
</workbook>
</file>

<file path=xl/calcChain.xml><?xml version="1.0" encoding="utf-8"?>
<calcChain xmlns="http://schemas.openxmlformats.org/spreadsheetml/2006/main">
  <c r="AE24" i="16" l="1"/>
  <c r="AE23" i="16"/>
  <c r="AE22" i="16"/>
  <c r="AE20" i="16"/>
  <c r="AE19" i="16"/>
  <c r="AE18" i="16"/>
  <c r="AE17" i="16"/>
  <c r="AE16" i="16"/>
  <c r="AE15" i="16"/>
  <c r="AE14" i="16"/>
  <c r="AE13" i="16"/>
  <c r="AE12" i="16"/>
  <c r="AE11" i="16"/>
  <c r="AE10" i="16"/>
  <c r="AE9" i="16"/>
  <c r="AE8" i="16"/>
  <c r="AE7" i="16"/>
  <c r="AE6" i="16"/>
  <c r="AE5" i="16"/>
  <c r="AE4" i="16"/>
  <c r="AE3" i="16"/>
  <c r="K25" i="2114"/>
  <c r="L22" i="2114"/>
  <c r="L21" i="2114"/>
  <c r="L20" i="2114"/>
  <c r="K19" i="2114"/>
  <c r="AF18" i="2114"/>
  <c r="AC18" i="2114"/>
  <c r="AD18" i="2114" s="1"/>
  <c r="AB18" i="2114"/>
  <c r="Q18" i="2114"/>
  <c r="P18" i="2114"/>
  <c r="O18" i="2114"/>
  <c r="M18" i="2114"/>
  <c r="K18" i="2114"/>
  <c r="L17" i="2114"/>
  <c r="L16" i="2114"/>
  <c r="K16" i="2114" s="1"/>
  <c r="L15" i="2114"/>
  <c r="K15" i="2114" s="1"/>
  <c r="L13" i="2114"/>
  <c r="L12" i="2114"/>
  <c r="K12" i="2114" s="1"/>
  <c r="L11" i="2114"/>
  <c r="K11" i="2114" s="1"/>
  <c r="L10" i="2114"/>
  <c r="K10" i="2114" s="1"/>
  <c r="L9" i="2114"/>
  <c r="M9" i="2114" s="1"/>
  <c r="L7" i="2114"/>
  <c r="L6" i="2114"/>
  <c r="K6" i="2114" s="1"/>
  <c r="L28" i="2114"/>
  <c r="K28" i="2114" s="1"/>
  <c r="L23" i="2114"/>
  <c r="K23" i="2114" s="1"/>
  <c r="K22" i="2114"/>
  <c r="K20" i="2114"/>
  <c r="K13" i="2114"/>
  <c r="K8" i="2114"/>
  <c r="K7" i="2114"/>
  <c r="A84" i="2114"/>
  <c r="A85" i="2114" s="1"/>
  <c r="A86" i="2114" s="1"/>
  <c r="A87" i="2114" s="1"/>
  <c r="A88" i="2114" s="1"/>
  <c r="A89" i="2114" s="1"/>
  <c r="AF68" i="2114"/>
  <c r="AF67" i="2114"/>
  <c r="AF70" i="2114" s="1"/>
  <c r="AA29" i="2114"/>
  <c r="Z29" i="2114"/>
  <c r="Y29" i="2114"/>
  <c r="X29" i="2114"/>
  <c r="W29" i="2114"/>
  <c r="V29" i="2114"/>
  <c r="U29" i="2114"/>
  <c r="T29" i="2114"/>
  <c r="S29" i="2114"/>
  <c r="R29" i="2114"/>
  <c r="N29" i="2114"/>
  <c r="J29" i="2114"/>
  <c r="I29" i="2114"/>
  <c r="AF28" i="2114"/>
  <c r="Q28" i="2114"/>
  <c r="P28" i="2114" s="1"/>
  <c r="AC28" i="2114" s="1"/>
  <c r="O28" i="2114"/>
  <c r="AB28" i="2114"/>
  <c r="AF27" i="2114"/>
  <c r="AB27" i="2114"/>
  <c r="Q27" i="2114"/>
  <c r="P27" i="2114"/>
  <c r="AC27" i="2114" s="1"/>
  <c r="O27" i="2114"/>
  <c r="M27" i="2114"/>
  <c r="K27" i="2114"/>
  <c r="AF26" i="2114"/>
  <c r="AB26" i="2114"/>
  <c r="Q26" i="2114"/>
  <c r="P26" i="2114"/>
  <c r="AC26" i="2114" s="1"/>
  <c r="O26" i="2114"/>
  <c r="M26" i="2114"/>
  <c r="K26" i="2114"/>
  <c r="AF25" i="2114"/>
  <c r="AB25" i="2114"/>
  <c r="Q25" i="2114"/>
  <c r="P25" i="2114"/>
  <c r="AC25" i="2114" s="1"/>
  <c r="O25" i="2114"/>
  <c r="M25" i="2114"/>
  <c r="AF24" i="2114"/>
  <c r="AB24" i="2114"/>
  <c r="Q24" i="2114"/>
  <c r="P24" i="2114"/>
  <c r="AC24" i="2114" s="1"/>
  <c r="O24" i="2114"/>
  <c r="M24" i="2114"/>
  <c r="K24" i="2114"/>
  <c r="AF23" i="2114"/>
  <c r="Q23" i="2114"/>
  <c r="AF22" i="2114"/>
  <c r="Q22" i="2114"/>
  <c r="AB22" i="2114"/>
  <c r="AF21" i="2114"/>
  <c r="AB21" i="2114"/>
  <c r="Q21" i="2114"/>
  <c r="P21" i="2114" s="1"/>
  <c r="AC21" i="2114" s="1"/>
  <c r="O21" i="2114"/>
  <c r="M21" i="2114"/>
  <c r="K21" i="2114"/>
  <c r="AF20" i="2114"/>
  <c r="Q20" i="2114"/>
  <c r="M20" i="2114"/>
  <c r="AF19" i="2114"/>
  <c r="Q19" i="2114"/>
  <c r="P19" i="2114" s="1"/>
  <c r="AC19" i="2114" s="1"/>
  <c r="O19" i="2114"/>
  <c r="AF17" i="2114"/>
  <c r="Q17" i="2114"/>
  <c r="AF16" i="2114"/>
  <c r="Q16" i="2114"/>
  <c r="AF15" i="2114"/>
  <c r="AB15" i="2114"/>
  <c r="Q15" i="2114"/>
  <c r="P15" i="2114" s="1"/>
  <c r="AC15" i="2114" s="1"/>
  <c r="O15" i="2114"/>
  <c r="M15" i="2114"/>
  <c r="AF14" i="2114"/>
  <c r="AB14" i="2114"/>
  <c r="Q14" i="2114"/>
  <c r="P14" i="2114"/>
  <c r="AC14" i="2114" s="1"/>
  <c r="O14" i="2114"/>
  <c r="M14" i="2114"/>
  <c r="K14" i="2114"/>
  <c r="AF13" i="2114"/>
  <c r="Q13" i="2114"/>
  <c r="P13" i="2114" s="1"/>
  <c r="AC13" i="2114" s="1"/>
  <c r="O13" i="2114"/>
  <c r="AB13" i="2114"/>
  <c r="AF12" i="2114"/>
  <c r="Q12" i="2114"/>
  <c r="AF11" i="2114"/>
  <c r="Q11" i="2114"/>
  <c r="O11" i="2114"/>
  <c r="AF10" i="2114"/>
  <c r="Q10" i="2114"/>
  <c r="P10" i="2114" s="1"/>
  <c r="AC10" i="2114" s="1"/>
  <c r="O10" i="2114"/>
  <c r="AB10" i="2114"/>
  <c r="AF9" i="2114"/>
  <c r="Q9" i="2114"/>
  <c r="O9" i="2114"/>
  <c r="AF8" i="2114"/>
  <c r="AB8" i="2114"/>
  <c r="Q8" i="2114"/>
  <c r="P8" i="2114" s="1"/>
  <c r="AC8" i="2114" s="1"/>
  <c r="O8" i="2114"/>
  <c r="M8" i="2114"/>
  <c r="AF7" i="2114"/>
  <c r="Q7" i="2114"/>
  <c r="P7" i="2114" s="1"/>
  <c r="AC7" i="2114" s="1"/>
  <c r="O7" i="2114"/>
  <c r="AB7" i="2114"/>
  <c r="AF6" i="2114"/>
  <c r="Q6" i="2114"/>
  <c r="P6" i="2114" s="1"/>
  <c r="AC6" i="2114" s="1"/>
  <c r="AB6" i="2114" l="1"/>
  <c r="P11" i="2114"/>
  <c r="AC11" i="2114" s="1"/>
  <c r="M6" i="2114"/>
  <c r="AB11" i="2114"/>
  <c r="AD11" i="2114" s="1"/>
  <c r="O16" i="2114"/>
  <c r="O6" i="2114"/>
  <c r="M11" i="2114"/>
  <c r="AD26" i="2114"/>
  <c r="P17" i="2114"/>
  <c r="AC17" i="2114" s="1"/>
  <c r="AB17" i="2114"/>
  <c r="O17" i="2114"/>
  <c r="K17" i="2114"/>
  <c r="P9" i="2114"/>
  <c r="AC9" i="2114" s="1"/>
  <c r="M12" i="2114"/>
  <c r="AB12" i="2114"/>
  <c r="M23" i="2114"/>
  <c r="AB23" i="2114"/>
  <c r="AD25" i="2114"/>
  <c r="AE21" i="16" s="1"/>
  <c r="K9" i="2114"/>
  <c r="K29" i="2114" s="1"/>
  <c r="AB9" i="2114"/>
  <c r="O12" i="2114"/>
  <c r="O23" i="2114"/>
  <c r="AD14" i="2114"/>
  <c r="L29" i="2114"/>
  <c r="O29" i="2114" s="1"/>
  <c r="P12" i="2114"/>
  <c r="AC12" i="2114" s="1"/>
  <c r="P23" i="2114"/>
  <c r="AC23" i="2114" s="1"/>
  <c r="AD23" i="2114" s="1"/>
  <c r="P16" i="2114"/>
  <c r="AC16" i="2114" s="1"/>
  <c r="M16" i="2114"/>
  <c r="AB16" i="2114"/>
  <c r="AD15" i="2114"/>
  <c r="AD12" i="2114"/>
  <c r="AD8" i="2114"/>
  <c r="Q29" i="2114"/>
  <c r="AD24" i="2114"/>
  <c r="AD9" i="2114"/>
  <c r="AD27" i="2114"/>
  <c r="AD28" i="2114"/>
  <c r="AD21" i="2114"/>
  <c r="AD10" i="2114"/>
  <c r="AD13" i="2114"/>
  <c r="AD7" i="2114"/>
  <c r="AB20" i="2114"/>
  <c r="AD6" i="2114"/>
  <c r="M19" i="2114"/>
  <c r="AB19" i="2114"/>
  <c r="AD19" i="2114" s="1"/>
  <c r="O20" i="2114"/>
  <c r="M22" i="2114"/>
  <c r="M7" i="2114"/>
  <c r="M10" i="2114"/>
  <c r="M13" i="2114"/>
  <c r="M17" i="2114"/>
  <c r="P20" i="2114"/>
  <c r="AC20" i="2114" s="1"/>
  <c r="O22" i="2114"/>
  <c r="M28" i="2114"/>
  <c r="P22" i="2114"/>
  <c r="AC22" i="2114" s="1"/>
  <c r="AC29" i="2114" l="1"/>
  <c r="AD17" i="2114"/>
  <c r="AB29" i="2114"/>
  <c r="AD16" i="2114"/>
  <c r="M29" i="2114"/>
  <c r="AD22" i="2114"/>
  <c r="AD20" i="2114"/>
  <c r="P29" i="2114"/>
  <c r="AD25" i="16"/>
  <c r="AD24" i="16"/>
  <c r="AD23" i="16"/>
  <c r="AD22" i="16"/>
  <c r="AD21" i="16"/>
  <c r="AD20" i="16"/>
  <c r="AD19" i="16"/>
  <c r="AD18" i="16"/>
  <c r="AD17" i="16"/>
  <c r="AD16" i="16"/>
  <c r="AD15" i="16"/>
  <c r="AD14" i="16"/>
  <c r="AD13" i="16"/>
  <c r="AD12" i="16"/>
  <c r="AD11" i="16"/>
  <c r="AD10" i="16"/>
  <c r="AD9" i="16"/>
  <c r="AD8" i="16"/>
  <c r="AD7" i="16"/>
  <c r="AD6" i="16"/>
  <c r="AD5" i="16"/>
  <c r="AD4" i="16"/>
  <c r="AD3" i="16"/>
  <c r="L22" i="2113"/>
  <c r="L20" i="2113"/>
  <c r="K20" i="2113" s="1"/>
  <c r="L19" i="2113"/>
  <c r="L18" i="2113"/>
  <c r="K18" i="2113" s="1"/>
  <c r="L17" i="2113"/>
  <c r="K17" i="2113" s="1"/>
  <c r="AF17" i="2113"/>
  <c r="Q17" i="2113"/>
  <c r="P17" i="2113" s="1"/>
  <c r="AC17" i="2113" s="1"/>
  <c r="O17" i="2113"/>
  <c r="M17" i="2113"/>
  <c r="L13" i="2113"/>
  <c r="K13" i="2113" s="1"/>
  <c r="L12" i="2113"/>
  <c r="K12" i="2113" s="1"/>
  <c r="L10" i="2113"/>
  <c r="L9" i="2113"/>
  <c r="K9" i="2113" s="1"/>
  <c r="K8" i="2113"/>
  <c r="L7" i="2113"/>
  <c r="K7" i="2113" s="1"/>
  <c r="L6" i="2113"/>
  <c r="L28" i="2113"/>
  <c r="K28" i="2113" s="1"/>
  <c r="K22" i="2113"/>
  <c r="K21" i="2113"/>
  <c r="K19" i="2113"/>
  <c r="K16" i="2113"/>
  <c r="K14" i="2113"/>
  <c r="K11" i="2113"/>
  <c r="K6" i="2113"/>
  <c r="A84" i="2113"/>
  <c r="A85" i="2113" s="1"/>
  <c r="A86" i="2113" s="1"/>
  <c r="A87" i="2113" s="1"/>
  <c r="A88" i="2113" s="1"/>
  <c r="A89" i="2113" s="1"/>
  <c r="AF68" i="2113"/>
  <c r="AF67" i="2113"/>
  <c r="AF70" i="2113" s="1"/>
  <c r="AA29" i="2113"/>
  <c r="Z29" i="2113"/>
  <c r="Y29" i="2113"/>
  <c r="X29" i="2113"/>
  <c r="W29" i="2113"/>
  <c r="V29" i="2113"/>
  <c r="U29" i="2113"/>
  <c r="T29" i="2113"/>
  <c r="S29" i="2113"/>
  <c r="R29" i="2113"/>
  <c r="N29" i="2113"/>
  <c r="J29" i="2113"/>
  <c r="I29" i="2113"/>
  <c r="AF28" i="2113"/>
  <c r="AB28" i="2113"/>
  <c r="Q28" i="2113"/>
  <c r="P28" i="2113" s="1"/>
  <c r="AC28" i="2113" s="1"/>
  <c r="AF27" i="2113"/>
  <c r="AB27" i="2113"/>
  <c r="Q27" i="2113"/>
  <c r="P27" i="2113"/>
  <c r="AC27" i="2113" s="1"/>
  <c r="O27" i="2113"/>
  <c r="M27" i="2113"/>
  <c r="K27" i="2113"/>
  <c r="AF26" i="2113"/>
  <c r="AB26" i="2113"/>
  <c r="Q26" i="2113"/>
  <c r="P26" i="2113"/>
  <c r="AC26" i="2113" s="1"/>
  <c r="O26" i="2113"/>
  <c r="M26" i="2113"/>
  <c r="K26" i="2113"/>
  <c r="AF25" i="2113"/>
  <c r="AB25" i="2113"/>
  <c r="Q25" i="2113"/>
  <c r="P25" i="2113"/>
  <c r="AC25" i="2113" s="1"/>
  <c r="O25" i="2113"/>
  <c r="M25" i="2113"/>
  <c r="K25" i="2113"/>
  <c r="AF24" i="2113"/>
  <c r="AC24" i="2113"/>
  <c r="AB24" i="2113"/>
  <c r="Q24" i="2113"/>
  <c r="P24" i="2113"/>
  <c r="O24" i="2113"/>
  <c r="M24" i="2113"/>
  <c r="K24" i="2113"/>
  <c r="AF23" i="2113"/>
  <c r="AB23" i="2113"/>
  <c r="Q23" i="2113"/>
  <c r="P23" i="2113"/>
  <c r="AC23" i="2113" s="1"/>
  <c r="O23" i="2113"/>
  <c r="M23" i="2113"/>
  <c r="K23" i="2113"/>
  <c r="AF22" i="2113"/>
  <c r="AB22" i="2113"/>
  <c r="Q22" i="2113"/>
  <c r="O22" i="2113"/>
  <c r="M22" i="2113"/>
  <c r="P22" i="2113"/>
  <c r="AC22" i="2113" s="1"/>
  <c r="AF21" i="2113"/>
  <c r="AB21" i="2113"/>
  <c r="Q21" i="2113"/>
  <c r="M21" i="2113"/>
  <c r="P21" i="2113"/>
  <c r="AC21" i="2113" s="1"/>
  <c r="AF20" i="2113"/>
  <c r="Q20" i="2113"/>
  <c r="P20" i="2113" s="1"/>
  <c r="AC20" i="2113" s="1"/>
  <c r="AF19" i="2113"/>
  <c r="Q19" i="2113"/>
  <c r="P19" i="2113" s="1"/>
  <c r="AC19" i="2113" s="1"/>
  <c r="O19" i="2113"/>
  <c r="M19" i="2113"/>
  <c r="AB19" i="2113"/>
  <c r="AF18" i="2113"/>
  <c r="AB18" i="2113"/>
  <c r="Q18" i="2113"/>
  <c r="P18" i="2113" s="1"/>
  <c r="AC18" i="2113" s="1"/>
  <c r="O18" i="2113"/>
  <c r="M18" i="2113"/>
  <c r="AF16" i="2113"/>
  <c r="AB16" i="2113"/>
  <c r="Q16" i="2113"/>
  <c r="P16" i="2113" s="1"/>
  <c r="AC16" i="2113" s="1"/>
  <c r="M16" i="2113"/>
  <c r="AF15" i="2113"/>
  <c r="AB15" i="2113"/>
  <c r="Q15" i="2113"/>
  <c r="P15" i="2113"/>
  <c r="AC15" i="2113" s="1"/>
  <c r="O15" i="2113"/>
  <c r="M15" i="2113"/>
  <c r="K15" i="2113"/>
  <c r="AF14" i="2113"/>
  <c r="AB14" i="2113"/>
  <c r="Q14" i="2113"/>
  <c r="P14" i="2113"/>
  <c r="AC14" i="2113" s="1"/>
  <c r="O14" i="2113"/>
  <c r="M14" i="2113"/>
  <c r="AF13" i="2113"/>
  <c r="Q13" i="2113"/>
  <c r="P13" i="2113" s="1"/>
  <c r="AC13" i="2113" s="1"/>
  <c r="AF12" i="2113"/>
  <c r="Q12" i="2113"/>
  <c r="AB12" i="2113"/>
  <c r="AF11" i="2113"/>
  <c r="AB11" i="2113"/>
  <c r="Q11" i="2113"/>
  <c r="P11" i="2113" s="1"/>
  <c r="AC11" i="2113" s="1"/>
  <c r="O11" i="2113"/>
  <c r="M11" i="2113"/>
  <c r="AF10" i="2113"/>
  <c r="AB10" i="2113"/>
  <c r="Q10" i="2113"/>
  <c r="P10" i="2113" s="1"/>
  <c r="AC10" i="2113" s="1"/>
  <c r="O10" i="2113"/>
  <c r="M10" i="2113"/>
  <c r="K10" i="2113"/>
  <c r="AF9" i="2113"/>
  <c r="AB9" i="2113"/>
  <c r="Q9" i="2113"/>
  <c r="P9" i="2113" s="1"/>
  <c r="AC9" i="2113" s="1"/>
  <c r="M9" i="2113"/>
  <c r="AF8" i="2113"/>
  <c r="Q8" i="2113"/>
  <c r="P8" i="2113" s="1"/>
  <c r="AC8" i="2113" s="1"/>
  <c r="AF7" i="2113"/>
  <c r="Q7" i="2113"/>
  <c r="P7" i="2113"/>
  <c r="AC7" i="2113" s="1"/>
  <c r="AF6" i="2113"/>
  <c r="AB6" i="2113"/>
  <c r="Q6" i="2113"/>
  <c r="O6" i="2113"/>
  <c r="M6" i="2113"/>
  <c r="AC25" i="16"/>
  <c r="AC24" i="16"/>
  <c r="AC23" i="16"/>
  <c r="AC22" i="16"/>
  <c r="AC21" i="16"/>
  <c r="AC20" i="16"/>
  <c r="AC19" i="16"/>
  <c r="AC18" i="16"/>
  <c r="AC17" i="16"/>
  <c r="AC16" i="16"/>
  <c r="AC15" i="16"/>
  <c r="AC14" i="16"/>
  <c r="AC13" i="16"/>
  <c r="AC12" i="16"/>
  <c r="AC11" i="16"/>
  <c r="AC10" i="16"/>
  <c r="AC9" i="16"/>
  <c r="AC8" i="16"/>
  <c r="AC7" i="16"/>
  <c r="AC6" i="16"/>
  <c r="AC5" i="16"/>
  <c r="AC4" i="16"/>
  <c r="AC3" i="16"/>
  <c r="L22" i="2112"/>
  <c r="L21" i="2112"/>
  <c r="L20" i="2112"/>
  <c r="L19" i="2112"/>
  <c r="L18" i="2112"/>
  <c r="K18" i="2112"/>
  <c r="L17" i="2112"/>
  <c r="L14" i="2112"/>
  <c r="L13" i="2112"/>
  <c r="L12" i="2112"/>
  <c r="M12" i="2112" s="1"/>
  <c r="AF12" i="2112"/>
  <c r="Q12" i="2112"/>
  <c r="O12" i="2112"/>
  <c r="L9" i="2112"/>
  <c r="L8" i="2112"/>
  <c r="K8" i="2112" s="1"/>
  <c r="L7" i="2112"/>
  <c r="L6" i="2112"/>
  <c r="AD29" i="2114" l="1"/>
  <c r="AE25" i="16" s="1"/>
  <c r="AB17" i="2113"/>
  <c r="AD17" i="2113"/>
  <c r="O12" i="2113"/>
  <c r="P12" i="2113"/>
  <c r="AC12" i="2113" s="1"/>
  <c r="AD14" i="2113"/>
  <c r="AD23" i="2113"/>
  <c r="AB7" i="2113"/>
  <c r="O7" i="2113"/>
  <c r="AD10" i="2113"/>
  <c r="Q29" i="2113"/>
  <c r="P6" i="2113"/>
  <c r="AC6" i="2113" s="1"/>
  <c r="M28" i="2113"/>
  <c r="AD12" i="2113"/>
  <c r="AD15" i="2113"/>
  <c r="AD24" i="2113"/>
  <c r="AD27" i="2113"/>
  <c r="AD7" i="2113"/>
  <c r="AD11" i="2113"/>
  <c r="AD18" i="2113"/>
  <c r="AD22" i="2113"/>
  <c r="AD25" i="2113"/>
  <c r="AD26" i="2113"/>
  <c r="AD19" i="2113"/>
  <c r="M8" i="2113"/>
  <c r="AB8" i="2113"/>
  <c r="O9" i="2113"/>
  <c r="AD9" i="2113" s="1"/>
  <c r="M13" i="2113"/>
  <c r="AB13" i="2113"/>
  <c r="O16" i="2113"/>
  <c r="AD16" i="2113" s="1"/>
  <c r="M20" i="2113"/>
  <c r="AB20" i="2113"/>
  <c r="O21" i="2113"/>
  <c r="AD21" i="2113" s="1"/>
  <c r="O28" i="2113"/>
  <c r="AD28" i="2113" s="1"/>
  <c r="M7" i="2113"/>
  <c r="O8" i="2113"/>
  <c r="M12" i="2113"/>
  <c r="O13" i="2113"/>
  <c r="O20" i="2113"/>
  <c r="L29" i="2113"/>
  <c r="O29" i="2113" s="1"/>
  <c r="AB12" i="2112"/>
  <c r="K12" i="2112"/>
  <c r="P12" i="2112"/>
  <c r="AC12" i="2112" s="1"/>
  <c r="AE13" i="2114" l="1"/>
  <c r="AE18" i="2114"/>
  <c r="AE15" i="2114"/>
  <c r="AE23" i="2114"/>
  <c r="AE19" i="2114"/>
  <c r="AE26" i="2114"/>
  <c r="AE17" i="2114"/>
  <c r="AE25" i="2114"/>
  <c r="AE22" i="2114"/>
  <c r="AE7" i="2114"/>
  <c r="AE21" i="2114"/>
  <c r="AE12" i="2114"/>
  <c r="AE27" i="2114"/>
  <c r="AE8" i="2114"/>
  <c r="AE24" i="2114"/>
  <c r="AE6" i="2114"/>
  <c r="AE20" i="2114"/>
  <c r="AE9" i="2114"/>
  <c r="AE11" i="2114"/>
  <c r="AE10" i="2114"/>
  <c r="AE28" i="2114"/>
  <c r="AE16" i="2114"/>
  <c r="AE14" i="2114"/>
  <c r="AB29" i="2113"/>
  <c r="P29" i="2113"/>
  <c r="AD13" i="2113"/>
  <c r="M29" i="2113"/>
  <c r="AD20" i="2113"/>
  <c r="K29" i="2113"/>
  <c r="AD8" i="2113"/>
  <c r="AC29" i="2113"/>
  <c r="AD6" i="2113"/>
  <c r="AD12" i="2112"/>
  <c r="AD29" i="2113" l="1"/>
  <c r="AE28" i="2113" l="1"/>
  <c r="AE17" i="2113"/>
  <c r="AE27" i="2113"/>
  <c r="AE8" i="2113"/>
  <c r="AE16" i="2113"/>
  <c r="AE10" i="2113"/>
  <c r="AE6" i="2113"/>
  <c r="AE22" i="2113"/>
  <c r="AE13" i="2113"/>
  <c r="AE25" i="2113"/>
  <c r="AE21" i="2113"/>
  <c r="AE19" i="2113"/>
  <c r="AE14" i="2113"/>
  <c r="AE26" i="2113"/>
  <c r="AE20" i="2113"/>
  <c r="AE11" i="2113"/>
  <c r="AE7" i="2113"/>
  <c r="AE18" i="2113"/>
  <c r="AE23" i="2113"/>
  <c r="AE12" i="2113"/>
  <c r="AE24" i="2113"/>
  <c r="AE15" i="2113"/>
  <c r="AE9" i="2113"/>
  <c r="L28" i="2112" l="1"/>
  <c r="K28" i="2112" s="1"/>
  <c r="K22" i="2112"/>
  <c r="K21" i="2112"/>
  <c r="K19" i="2112"/>
  <c r="K17" i="2112"/>
  <c r="K15" i="2112"/>
  <c r="K14" i="2112"/>
  <c r="K13" i="2112"/>
  <c r="K11" i="2112"/>
  <c r="K10" i="2112"/>
  <c r="K9" i="2112"/>
  <c r="K7" i="2112"/>
  <c r="A84" i="2112"/>
  <c r="A85" i="2112" s="1"/>
  <c r="A86" i="2112" s="1"/>
  <c r="A87" i="2112" s="1"/>
  <c r="A88" i="2112" s="1"/>
  <c r="A89" i="2112" s="1"/>
  <c r="AF68" i="2112"/>
  <c r="AF67" i="2112"/>
  <c r="AF70" i="2112" s="1"/>
  <c r="AA29" i="2112"/>
  <c r="Z29" i="2112"/>
  <c r="Y29" i="2112"/>
  <c r="X29" i="2112"/>
  <c r="W29" i="2112"/>
  <c r="V29" i="2112"/>
  <c r="U29" i="2112"/>
  <c r="T29" i="2112"/>
  <c r="S29" i="2112"/>
  <c r="R29" i="2112"/>
  <c r="N29" i="2112"/>
  <c r="J29" i="2112"/>
  <c r="I29" i="2112"/>
  <c r="AF28" i="2112"/>
  <c r="Q28" i="2112"/>
  <c r="P28" i="2112" s="1"/>
  <c r="AC28" i="2112" s="1"/>
  <c r="O28" i="2112"/>
  <c r="AF27" i="2112"/>
  <c r="AB27" i="2112"/>
  <c r="Q27" i="2112"/>
  <c r="P27" i="2112"/>
  <c r="AC27" i="2112" s="1"/>
  <c r="AD27" i="2112" s="1"/>
  <c r="O27" i="2112"/>
  <c r="M27" i="2112"/>
  <c r="K27" i="2112"/>
  <c r="AF26" i="2112"/>
  <c r="AB26" i="2112"/>
  <c r="Q26" i="2112"/>
  <c r="P26" i="2112"/>
  <c r="AC26" i="2112" s="1"/>
  <c r="O26" i="2112"/>
  <c r="M26" i="2112"/>
  <c r="K26" i="2112"/>
  <c r="AF25" i="2112"/>
  <c r="AB25" i="2112"/>
  <c r="Q25" i="2112"/>
  <c r="P25" i="2112"/>
  <c r="AC25" i="2112" s="1"/>
  <c r="O25" i="2112"/>
  <c r="M25" i="2112"/>
  <c r="K25" i="2112"/>
  <c r="AF24" i="2112"/>
  <c r="AB24" i="2112"/>
  <c r="Q24" i="2112"/>
  <c r="P24" i="2112"/>
  <c r="AC24" i="2112" s="1"/>
  <c r="O24" i="2112"/>
  <c r="M24" i="2112"/>
  <c r="K24" i="2112"/>
  <c r="AF23" i="2112"/>
  <c r="AB23" i="2112"/>
  <c r="Q23" i="2112"/>
  <c r="P23" i="2112"/>
  <c r="AC23" i="2112" s="1"/>
  <c r="O23" i="2112"/>
  <c r="M23" i="2112"/>
  <c r="K23" i="2112"/>
  <c r="AF22" i="2112"/>
  <c r="Q22" i="2112"/>
  <c r="AB22" i="2112"/>
  <c r="AF21" i="2112"/>
  <c r="Q21" i="2112"/>
  <c r="P21" i="2112"/>
  <c r="AC21" i="2112" s="1"/>
  <c r="O21" i="2112"/>
  <c r="AF20" i="2112"/>
  <c r="AB20" i="2112"/>
  <c r="Q20" i="2112"/>
  <c r="P20" i="2112" s="1"/>
  <c r="AC20" i="2112" s="1"/>
  <c r="O20" i="2112"/>
  <c r="M20" i="2112"/>
  <c r="K20" i="2112"/>
  <c r="AF19" i="2112"/>
  <c r="Q19" i="2112"/>
  <c r="AB19" i="2112"/>
  <c r="AF18" i="2112"/>
  <c r="Q18" i="2112"/>
  <c r="P18" i="2112" s="1"/>
  <c r="AC18" i="2112" s="1"/>
  <c r="O18" i="2112"/>
  <c r="AF17" i="2112"/>
  <c r="Q17" i="2112"/>
  <c r="P17" i="2112" s="1"/>
  <c r="AC17" i="2112" s="1"/>
  <c r="O17" i="2112"/>
  <c r="AB17" i="2112"/>
  <c r="AF16" i="2112"/>
  <c r="AB16" i="2112"/>
  <c r="Q16" i="2112"/>
  <c r="P16" i="2112"/>
  <c r="AC16" i="2112" s="1"/>
  <c r="AD16" i="2112" s="1"/>
  <c r="O16" i="2112"/>
  <c r="M16" i="2112"/>
  <c r="K16" i="2112"/>
  <c r="AF15" i="2112"/>
  <c r="Q15" i="2112"/>
  <c r="P15" i="2112" s="1"/>
  <c r="AC15" i="2112" s="1"/>
  <c r="O15" i="2112"/>
  <c r="AF14" i="2112"/>
  <c r="Q14" i="2112"/>
  <c r="P14" i="2112" s="1"/>
  <c r="AC14" i="2112" s="1"/>
  <c r="O14" i="2112"/>
  <c r="AB14" i="2112"/>
  <c r="AF13" i="2112"/>
  <c r="AB13" i="2112"/>
  <c r="Q13" i="2112"/>
  <c r="O13" i="2112"/>
  <c r="M13" i="2112"/>
  <c r="P13" i="2112"/>
  <c r="AC13" i="2112" s="1"/>
  <c r="AF11" i="2112"/>
  <c r="Q11" i="2112"/>
  <c r="AB11" i="2112"/>
  <c r="AF10" i="2112"/>
  <c r="AB10" i="2112"/>
  <c r="Q10" i="2112"/>
  <c r="P10" i="2112"/>
  <c r="AC10" i="2112" s="1"/>
  <c r="O10" i="2112"/>
  <c r="M10" i="2112"/>
  <c r="AF9" i="2112"/>
  <c r="AC9" i="2112"/>
  <c r="AB9" i="2112"/>
  <c r="Q9" i="2112"/>
  <c r="P9" i="2112"/>
  <c r="O9" i="2112"/>
  <c r="M9" i="2112"/>
  <c r="AF8" i="2112"/>
  <c r="Q8" i="2112"/>
  <c r="AB8" i="2112"/>
  <c r="AF7" i="2112"/>
  <c r="Q7" i="2112"/>
  <c r="P7" i="2112"/>
  <c r="AC7" i="2112" s="1"/>
  <c r="O7" i="2112"/>
  <c r="AF6" i="2112"/>
  <c r="AB6" i="2112"/>
  <c r="Q6" i="2112"/>
  <c r="O6" i="2112"/>
  <c r="M6" i="2112"/>
  <c r="K6" i="2112"/>
  <c r="AB25" i="16"/>
  <c r="AB24" i="16"/>
  <c r="AB23" i="16"/>
  <c r="AB22" i="16"/>
  <c r="AB21" i="16"/>
  <c r="AB20" i="16"/>
  <c r="AB19" i="16"/>
  <c r="AB18" i="16"/>
  <c r="AB17" i="16"/>
  <c r="AB16" i="16"/>
  <c r="AB15" i="16"/>
  <c r="AB14" i="16"/>
  <c r="AB13" i="16"/>
  <c r="AB12" i="16"/>
  <c r="AB11" i="16"/>
  <c r="AB10" i="16"/>
  <c r="AB9" i="16"/>
  <c r="AB8" i="16"/>
  <c r="AB7" i="16"/>
  <c r="AB6" i="16"/>
  <c r="AB5" i="16"/>
  <c r="AB4" i="16"/>
  <c r="AB3" i="16"/>
  <c r="L21" i="2111"/>
  <c r="L20" i="2111"/>
  <c r="K20" i="2111" s="1"/>
  <c r="K19" i="2111"/>
  <c r="L18" i="2111"/>
  <c r="K18" i="2111" s="1"/>
  <c r="L17" i="2111"/>
  <c r="K17" i="2111" s="1"/>
  <c r="L16" i="2111"/>
  <c r="K16" i="2111"/>
  <c r="AF16" i="2111"/>
  <c r="Q16" i="2111"/>
  <c r="AB16" i="2111"/>
  <c r="L14" i="2111"/>
  <c r="K14" i="2111"/>
  <c r="L13" i="2111"/>
  <c r="L12" i="2111"/>
  <c r="M12" i="2111" s="1"/>
  <c r="L11" i="2111"/>
  <c r="K11" i="2111"/>
  <c r="L9" i="2111"/>
  <c r="L8" i="2111"/>
  <c r="K8" i="2111"/>
  <c r="L7" i="2111"/>
  <c r="K6" i="2111"/>
  <c r="L27" i="2111"/>
  <c r="K25" i="2111"/>
  <c r="K24" i="2111"/>
  <c r="K22" i="2111"/>
  <c r="K21" i="2111"/>
  <c r="K15" i="2111"/>
  <c r="K13" i="2111"/>
  <c r="K12" i="2111"/>
  <c r="K10" i="2111"/>
  <c r="K9" i="2111"/>
  <c r="K7" i="2111"/>
  <c r="A85" i="2111"/>
  <c r="A86" i="2111" s="1"/>
  <c r="A87" i="2111" s="1"/>
  <c r="A88" i="2111" s="1"/>
  <c r="A84" i="2111"/>
  <c r="A83" i="2111"/>
  <c r="AF69" i="2111"/>
  <c r="AF67" i="2111"/>
  <c r="AF66" i="2111"/>
  <c r="AA28" i="2111"/>
  <c r="Z28" i="2111"/>
  <c r="Y28" i="2111"/>
  <c r="X28" i="2111"/>
  <c r="W28" i="2111"/>
  <c r="V28" i="2111"/>
  <c r="U28" i="2111"/>
  <c r="T28" i="2111"/>
  <c r="S28" i="2111"/>
  <c r="R28" i="2111"/>
  <c r="N28" i="2111"/>
  <c r="J28" i="2111"/>
  <c r="I28" i="2111"/>
  <c r="AF27" i="2111"/>
  <c r="AB27" i="2111"/>
  <c r="Q27" i="2111"/>
  <c r="P27" i="2111" s="1"/>
  <c r="AC27" i="2111" s="1"/>
  <c r="O27" i="2111"/>
  <c r="M27" i="2111"/>
  <c r="K27" i="2111"/>
  <c r="AF26" i="2111"/>
  <c r="AB26" i="2111"/>
  <c r="Q26" i="2111"/>
  <c r="P26" i="2111"/>
  <c r="AC26" i="2111" s="1"/>
  <c r="AD26" i="2111" s="1"/>
  <c r="O26" i="2111"/>
  <c r="M26" i="2111"/>
  <c r="K26" i="2111"/>
  <c r="AF25" i="2111"/>
  <c r="AB25" i="2111"/>
  <c r="Q25" i="2111"/>
  <c r="O25" i="2111"/>
  <c r="M25" i="2111"/>
  <c r="P25" i="2111"/>
  <c r="AC25" i="2111" s="1"/>
  <c r="AD25" i="2111" s="1"/>
  <c r="AF24" i="2111"/>
  <c r="Q24" i="2111"/>
  <c r="P24" i="2111"/>
  <c r="AC24" i="2111" s="1"/>
  <c r="AF23" i="2111"/>
  <c r="AB23" i="2111"/>
  <c r="Q23" i="2111"/>
  <c r="P23" i="2111"/>
  <c r="AC23" i="2111" s="1"/>
  <c r="O23" i="2111"/>
  <c r="M23" i="2111"/>
  <c r="K23" i="2111"/>
  <c r="AF22" i="2111"/>
  <c r="AB22" i="2111"/>
  <c r="Q22" i="2111"/>
  <c r="O22" i="2111"/>
  <c r="M22" i="2111"/>
  <c r="P22" i="2111"/>
  <c r="AC22" i="2111" s="1"/>
  <c r="AD22" i="2111" s="1"/>
  <c r="AF21" i="2111"/>
  <c r="Q21" i="2111"/>
  <c r="P21" i="2111" s="1"/>
  <c r="AC21" i="2111" s="1"/>
  <c r="AF20" i="2111"/>
  <c r="Q20" i="2111"/>
  <c r="O20" i="2111"/>
  <c r="AF19" i="2111"/>
  <c r="Q19" i="2111"/>
  <c r="P19" i="2111"/>
  <c r="AC19" i="2111" s="1"/>
  <c r="AD19" i="2111" s="1"/>
  <c r="O19" i="2111"/>
  <c r="M19" i="2111"/>
  <c r="AB19" i="2111"/>
  <c r="AF18" i="2111"/>
  <c r="AB18" i="2111"/>
  <c r="Q18" i="2111"/>
  <c r="P18" i="2111" s="1"/>
  <c r="AC18" i="2111" s="1"/>
  <c r="O18" i="2111"/>
  <c r="M18" i="2111"/>
  <c r="AF17" i="2111"/>
  <c r="Q17" i="2111"/>
  <c r="AF15" i="2111"/>
  <c r="AB15" i="2111"/>
  <c r="Q15" i="2111"/>
  <c r="P15" i="2111"/>
  <c r="AC15" i="2111" s="1"/>
  <c r="AD15" i="2111" s="1"/>
  <c r="O15" i="2111"/>
  <c r="M15" i="2111"/>
  <c r="AF14" i="2111"/>
  <c r="AB14" i="2111"/>
  <c r="Q14" i="2111"/>
  <c r="P14" i="2111" s="1"/>
  <c r="AC14" i="2111" s="1"/>
  <c r="O14" i="2111"/>
  <c r="M14" i="2111"/>
  <c r="AF13" i="2111"/>
  <c r="Q13" i="2111"/>
  <c r="P13" i="2111" s="1"/>
  <c r="AC13" i="2111" s="1"/>
  <c r="O13" i="2111"/>
  <c r="AB13" i="2111"/>
  <c r="AF12" i="2111"/>
  <c r="AB12" i="2111"/>
  <c r="Q12" i="2111"/>
  <c r="O12" i="2111"/>
  <c r="P12" i="2111"/>
  <c r="AC12" i="2111" s="1"/>
  <c r="AF11" i="2111"/>
  <c r="AB11" i="2111"/>
  <c r="Q11" i="2111"/>
  <c r="P11" i="2111" s="1"/>
  <c r="AC11" i="2111" s="1"/>
  <c r="O11" i="2111"/>
  <c r="M11" i="2111"/>
  <c r="AF10" i="2111"/>
  <c r="Q10" i="2111"/>
  <c r="P10" i="2111"/>
  <c r="AC10" i="2111" s="1"/>
  <c r="O10" i="2111"/>
  <c r="AB10" i="2111"/>
  <c r="AF9" i="2111"/>
  <c r="AB9" i="2111"/>
  <c r="Q9" i="2111"/>
  <c r="O9" i="2111"/>
  <c r="M9" i="2111"/>
  <c r="P9" i="2111"/>
  <c r="AC9" i="2111" s="1"/>
  <c r="AF8" i="2111"/>
  <c r="Q8" i="2111"/>
  <c r="P8" i="2111"/>
  <c r="AC8" i="2111" s="1"/>
  <c r="AF7" i="2111"/>
  <c r="Q7" i="2111"/>
  <c r="P7" i="2111"/>
  <c r="AC7" i="2111" s="1"/>
  <c r="O7" i="2111"/>
  <c r="AF6" i="2111"/>
  <c r="AC6" i="2111"/>
  <c r="AB6" i="2111"/>
  <c r="Q6" i="2111"/>
  <c r="P6" i="2111"/>
  <c r="O6" i="2111"/>
  <c r="M6" i="2111"/>
  <c r="Y25" i="16"/>
  <c r="Y24" i="16"/>
  <c r="Y23" i="16"/>
  <c r="Y22" i="16"/>
  <c r="Y21" i="16"/>
  <c r="Y20" i="16"/>
  <c r="Y19" i="16"/>
  <c r="Y18" i="16"/>
  <c r="Y17" i="16"/>
  <c r="Y16" i="16"/>
  <c r="Y15" i="16"/>
  <c r="Y14" i="16"/>
  <c r="Y13" i="16"/>
  <c r="Y12" i="16"/>
  <c r="Y11" i="16"/>
  <c r="Y10" i="16"/>
  <c r="Y9" i="16"/>
  <c r="Y8" i="16"/>
  <c r="Y7" i="16"/>
  <c r="Y6" i="16"/>
  <c r="Y5" i="16"/>
  <c r="Y4" i="16"/>
  <c r="Y3" i="16"/>
  <c r="L21" i="2110"/>
  <c r="L20" i="2110"/>
  <c r="L19" i="2110"/>
  <c r="K19" i="2110" s="1"/>
  <c r="L18" i="2110"/>
  <c r="AB18" i="2110" s="1"/>
  <c r="L17" i="2110"/>
  <c r="L16" i="2110"/>
  <c r="K16" i="2110" s="1"/>
  <c r="K15" i="2110"/>
  <c r="L13" i="2110"/>
  <c r="AB13" i="2110" s="1"/>
  <c r="L12" i="2110"/>
  <c r="L10" i="2110"/>
  <c r="AB10" i="2110" s="1"/>
  <c r="L9" i="2110"/>
  <c r="L8" i="2110"/>
  <c r="K8" i="2110" s="1"/>
  <c r="L7" i="2110"/>
  <c r="L25" i="2110"/>
  <c r="K25" i="2110" s="1"/>
  <c r="L24" i="2110"/>
  <c r="L22" i="2110"/>
  <c r="AB22" i="2110" s="1"/>
  <c r="K24" i="2110"/>
  <c r="K20" i="2110"/>
  <c r="K17" i="2110"/>
  <c r="K12" i="2110"/>
  <c r="K9" i="2110"/>
  <c r="K7" i="2110"/>
  <c r="K6" i="2110"/>
  <c r="A83" i="2110"/>
  <c r="A84" i="2110" s="1"/>
  <c r="A85" i="2110" s="1"/>
  <c r="A86" i="2110" s="1"/>
  <c r="A87" i="2110" s="1"/>
  <c r="A88" i="2110" s="1"/>
  <c r="AF67" i="2110"/>
  <c r="AF69" i="2110" s="1"/>
  <c r="AF66" i="2110"/>
  <c r="AA28" i="2110"/>
  <c r="Z28" i="2110"/>
  <c r="Y28" i="2110"/>
  <c r="X28" i="2110"/>
  <c r="W28" i="2110"/>
  <c r="V28" i="2110"/>
  <c r="U28" i="2110"/>
  <c r="T28" i="2110"/>
  <c r="S28" i="2110"/>
  <c r="R28" i="2110"/>
  <c r="N28" i="2110"/>
  <c r="J28" i="2110"/>
  <c r="I28" i="2110"/>
  <c r="AF27" i="2110"/>
  <c r="AB27" i="2110"/>
  <c r="Q27" i="2110"/>
  <c r="P27" i="2110"/>
  <c r="AC27" i="2110" s="1"/>
  <c r="O27" i="2110"/>
  <c r="M27" i="2110"/>
  <c r="K27" i="2110"/>
  <c r="AF26" i="2110"/>
  <c r="AB26" i="2110"/>
  <c r="Q26" i="2110"/>
  <c r="P26" i="2110"/>
  <c r="AC26" i="2110" s="1"/>
  <c r="AD26" i="2110" s="1"/>
  <c r="O26" i="2110"/>
  <c r="M26" i="2110"/>
  <c r="K26" i="2110"/>
  <c r="AF25" i="2110"/>
  <c r="Q25" i="2110"/>
  <c r="P25" i="2110"/>
  <c r="AC25" i="2110" s="1"/>
  <c r="AB25" i="2110"/>
  <c r="AF24" i="2110"/>
  <c r="AB24" i="2110"/>
  <c r="Q24" i="2110"/>
  <c r="P24" i="2110"/>
  <c r="AC24" i="2110" s="1"/>
  <c r="O24" i="2110"/>
  <c r="M24" i="2110"/>
  <c r="AF23" i="2110"/>
  <c r="AC23" i="2110"/>
  <c r="AB23" i="2110"/>
  <c r="Q23" i="2110"/>
  <c r="P23" i="2110"/>
  <c r="O23" i="2110"/>
  <c r="M23" i="2110"/>
  <c r="K23" i="2110"/>
  <c r="AF22" i="2110"/>
  <c r="Q22" i="2110"/>
  <c r="O22" i="2110"/>
  <c r="AF21" i="2110"/>
  <c r="Q21" i="2110"/>
  <c r="M21" i="2110"/>
  <c r="AF20" i="2110"/>
  <c r="AB20" i="2110"/>
  <c r="Q20" i="2110"/>
  <c r="M20" i="2110"/>
  <c r="AF19" i="2110"/>
  <c r="Q19" i="2110"/>
  <c r="AF18" i="2110"/>
  <c r="Q18" i="2110"/>
  <c r="AF17" i="2110"/>
  <c r="AB17" i="2110"/>
  <c r="Q17" i="2110"/>
  <c r="P17" i="2110" s="1"/>
  <c r="AC17" i="2110" s="1"/>
  <c r="O17" i="2110"/>
  <c r="M17" i="2110"/>
  <c r="AF16" i="2110"/>
  <c r="Q16" i="2110"/>
  <c r="O16" i="2110"/>
  <c r="AF15" i="2110"/>
  <c r="Q15" i="2110"/>
  <c r="P15" i="2110" s="1"/>
  <c r="AC15" i="2110" s="1"/>
  <c r="AB15" i="2110"/>
  <c r="AF14" i="2110"/>
  <c r="AB14" i="2110"/>
  <c r="Q14" i="2110"/>
  <c r="P14" i="2110"/>
  <c r="AC14" i="2110" s="1"/>
  <c r="O14" i="2110"/>
  <c r="M14" i="2110"/>
  <c r="K14" i="2110"/>
  <c r="AF13" i="2110"/>
  <c r="Q13" i="2110"/>
  <c r="O13" i="2110"/>
  <c r="AF12" i="2110"/>
  <c r="Q12" i="2110"/>
  <c r="P12" i="2110" s="1"/>
  <c r="AC12" i="2110" s="1"/>
  <c r="O12" i="2110"/>
  <c r="AB12" i="2110"/>
  <c r="AF11" i="2110"/>
  <c r="AB11" i="2110"/>
  <c r="Q11" i="2110"/>
  <c r="P11" i="2110"/>
  <c r="AC11" i="2110" s="1"/>
  <c r="O11" i="2110"/>
  <c r="M11" i="2110"/>
  <c r="K11" i="2110"/>
  <c r="AF10" i="2110"/>
  <c r="Q10" i="2110"/>
  <c r="P10" i="2110" s="1"/>
  <c r="AC10" i="2110" s="1"/>
  <c r="AF9" i="2110"/>
  <c r="Q9" i="2110"/>
  <c r="P9" i="2110" s="1"/>
  <c r="AC9" i="2110" s="1"/>
  <c r="O9" i="2110"/>
  <c r="AB9" i="2110"/>
  <c r="AF8" i="2110"/>
  <c r="Q8" i="2110"/>
  <c r="AF7" i="2110"/>
  <c r="Q7" i="2110"/>
  <c r="AF6" i="2110"/>
  <c r="Q6" i="2110"/>
  <c r="P6" i="2110"/>
  <c r="AC6" i="2110" s="1"/>
  <c r="O6" i="2110"/>
  <c r="X25" i="16"/>
  <c r="X24" i="16"/>
  <c r="X23" i="16"/>
  <c r="X22" i="16"/>
  <c r="X21" i="16"/>
  <c r="X20" i="16"/>
  <c r="X19" i="16"/>
  <c r="X18" i="16"/>
  <c r="X17" i="16"/>
  <c r="X16" i="16"/>
  <c r="X15" i="16"/>
  <c r="X14" i="16"/>
  <c r="X13" i="16"/>
  <c r="X12" i="16"/>
  <c r="X11" i="16"/>
  <c r="X10" i="16"/>
  <c r="X9" i="16"/>
  <c r="X8" i="16"/>
  <c r="X7" i="16"/>
  <c r="X6" i="16"/>
  <c r="X5" i="16"/>
  <c r="X4" i="16"/>
  <c r="X3" i="16"/>
  <c r="L22" i="2109"/>
  <c r="L21" i="2109"/>
  <c r="L20" i="2109"/>
  <c r="K20" i="2109" s="1"/>
  <c r="L19" i="2109"/>
  <c r="K19" i="2109"/>
  <c r="L18" i="2109"/>
  <c r="L17" i="2109"/>
  <c r="K17" i="2109" s="1"/>
  <c r="AD20" i="2112" l="1"/>
  <c r="Q29" i="2112"/>
  <c r="AD25" i="2112"/>
  <c r="AD24" i="2112"/>
  <c r="AD13" i="2112"/>
  <c r="AD23" i="2112"/>
  <c r="P6" i="2112"/>
  <c r="AC6" i="2112" s="1"/>
  <c r="AD6" i="2112" s="1"/>
  <c r="AD9" i="2112"/>
  <c r="AD10" i="2112"/>
  <c r="AD26" i="2112"/>
  <c r="K29" i="2112"/>
  <c r="AD14" i="2112"/>
  <c r="AD17" i="2112"/>
  <c r="M7" i="2112"/>
  <c r="AB7" i="2112"/>
  <c r="AD7" i="2112" s="1"/>
  <c r="O8" i="2112"/>
  <c r="O11" i="2112"/>
  <c r="M15" i="2112"/>
  <c r="AB15" i="2112"/>
  <c r="AD15" i="2112" s="1"/>
  <c r="M18" i="2112"/>
  <c r="AB18" i="2112"/>
  <c r="AD18" i="2112" s="1"/>
  <c r="O19" i="2112"/>
  <c r="M21" i="2112"/>
  <c r="AB21" i="2112"/>
  <c r="AD21" i="2112" s="1"/>
  <c r="O22" i="2112"/>
  <c r="M28" i="2112"/>
  <c r="AB28" i="2112"/>
  <c r="AD28" i="2112" s="1"/>
  <c r="L29" i="2112"/>
  <c r="O29" i="2112" s="1"/>
  <c r="P8" i="2112"/>
  <c r="AC8" i="2112" s="1"/>
  <c r="P11" i="2112"/>
  <c r="AC11" i="2112" s="1"/>
  <c r="M14" i="2112"/>
  <c r="M17" i="2112"/>
  <c r="P19" i="2112"/>
  <c r="AC19" i="2112" s="1"/>
  <c r="P22" i="2112"/>
  <c r="AC22" i="2112" s="1"/>
  <c r="AD22" i="2112" s="1"/>
  <c r="M8" i="2112"/>
  <c r="M11" i="2112"/>
  <c r="M19" i="2112"/>
  <c r="M22" i="2112"/>
  <c r="P20" i="2111"/>
  <c r="AC20" i="2111" s="1"/>
  <c r="AD18" i="2111"/>
  <c r="P17" i="2111"/>
  <c r="AC17" i="2111" s="1"/>
  <c r="O16" i="2111"/>
  <c r="K28" i="2111"/>
  <c r="P16" i="2111"/>
  <c r="AC16" i="2111" s="1"/>
  <c r="M16" i="2111"/>
  <c r="AD11" i="2111"/>
  <c r="AD9" i="2111"/>
  <c r="Q28" i="2111"/>
  <c r="AD27" i="2111"/>
  <c r="AD23" i="2111"/>
  <c r="AD14" i="2111"/>
  <c r="AD12" i="2111"/>
  <c r="AD10" i="2111"/>
  <c r="AD13" i="2111"/>
  <c r="L28" i="2111"/>
  <c r="O28" i="2111" s="1"/>
  <c r="AB17" i="2111"/>
  <c r="M8" i="2111"/>
  <c r="M17" i="2111"/>
  <c r="M21" i="2111"/>
  <c r="AB21" i="2111"/>
  <c r="M24" i="2111"/>
  <c r="AB24" i="2111"/>
  <c r="AD24" i="2111" s="1"/>
  <c r="M7" i="2111"/>
  <c r="AB7" i="2111"/>
  <c r="AD7" i="2111" s="1"/>
  <c r="O8" i="2111"/>
  <c r="O17" i="2111"/>
  <c r="M20" i="2111"/>
  <c r="AB20" i="2111"/>
  <c r="O21" i="2111"/>
  <c r="O24" i="2111"/>
  <c r="AD6" i="2111"/>
  <c r="AB8" i="2111"/>
  <c r="M10" i="2111"/>
  <c r="M13" i="2111"/>
  <c r="AB8" i="2110"/>
  <c r="AD11" i="2110"/>
  <c r="P20" i="2110"/>
  <c r="AC20" i="2110" s="1"/>
  <c r="AD20" i="2110" s="1"/>
  <c r="P22" i="2110"/>
  <c r="AC22" i="2110" s="1"/>
  <c r="AD22" i="2110" s="1"/>
  <c r="K22" i="2110"/>
  <c r="AD23" i="2110"/>
  <c r="M8" i="2110"/>
  <c r="M13" i="2110"/>
  <c r="O25" i="2110"/>
  <c r="P7" i="2110"/>
  <c r="AC7" i="2110" s="1"/>
  <c r="P21" i="2110"/>
  <c r="AC21" i="2110" s="1"/>
  <c r="O21" i="2110"/>
  <c r="K21" i="2110"/>
  <c r="AB21" i="2110"/>
  <c r="P18" i="2110"/>
  <c r="AC18" i="2110" s="1"/>
  <c r="M19" i="2110"/>
  <c r="O18" i="2110"/>
  <c r="K18" i="2110"/>
  <c r="AD17" i="2110"/>
  <c r="P13" i="2110"/>
  <c r="AC13" i="2110" s="1"/>
  <c r="AD13" i="2110" s="1"/>
  <c r="K13" i="2110"/>
  <c r="K10" i="2110"/>
  <c r="Q28" i="2110"/>
  <c r="O8" i="2110"/>
  <c r="P8" i="2110"/>
  <c r="AC8" i="2110" s="1"/>
  <c r="L28" i="2110"/>
  <c r="O28" i="2110" s="1"/>
  <c r="M7" i="2110"/>
  <c r="AD24" i="2110"/>
  <c r="AD27" i="2110"/>
  <c r="AD14" i="2110"/>
  <c r="AD9" i="2110"/>
  <c r="AD12" i="2110"/>
  <c r="AD25" i="2110"/>
  <c r="M16" i="2110"/>
  <c r="AB7" i="2110"/>
  <c r="M10" i="2110"/>
  <c r="M15" i="2110"/>
  <c r="AB19" i="2110"/>
  <c r="O20" i="2110"/>
  <c r="M6" i="2110"/>
  <c r="AB6" i="2110"/>
  <c r="O7" i="2110"/>
  <c r="M9" i="2110"/>
  <c r="O10" i="2110"/>
  <c r="AD10" i="2110" s="1"/>
  <c r="M12" i="2110"/>
  <c r="O15" i="2110"/>
  <c r="AD15" i="2110" s="1"/>
  <c r="P16" i="2110"/>
  <c r="AC16" i="2110" s="1"/>
  <c r="M18" i="2110"/>
  <c r="O19" i="2110"/>
  <c r="M22" i="2110"/>
  <c r="M25" i="2110"/>
  <c r="P19" i="2110"/>
  <c r="AC19" i="2110" s="1"/>
  <c r="AB16" i="2110"/>
  <c r="AD11" i="2112" l="1"/>
  <c r="AB29" i="2112"/>
  <c r="M29" i="2112"/>
  <c r="AD8" i="2112"/>
  <c r="AD19" i="2112"/>
  <c r="P29" i="2112"/>
  <c r="AC29" i="2112"/>
  <c r="AD20" i="2111"/>
  <c r="AC28" i="2111"/>
  <c r="AD17" i="2111"/>
  <c r="P28" i="2111"/>
  <c r="AD16" i="2111"/>
  <c r="AD21" i="2111"/>
  <c r="AD8" i="2111"/>
  <c r="M28" i="2111"/>
  <c r="AB28" i="2111"/>
  <c r="AD19" i="2110"/>
  <c r="AD21" i="2110"/>
  <c r="AD8" i="2110"/>
  <c r="AD18" i="2110"/>
  <c r="K28" i="2110"/>
  <c r="AB28" i="2110"/>
  <c r="AD7" i="2110"/>
  <c r="AD6" i="2110"/>
  <c r="P28" i="2110"/>
  <c r="M28" i="2110"/>
  <c r="AD16" i="2110"/>
  <c r="AC28" i="2110"/>
  <c r="AD29" i="2112" l="1"/>
  <c r="AD28" i="2111"/>
  <c r="AD28" i="2110"/>
  <c r="AE27" i="2110" s="1"/>
  <c r="AE18" i="2112" l="1"/>
  <c r="AE12" i="2112"/>
  <c r="AE14" i="2112"/>
  <c r="AE25" i="2112"/>
  <c r="AE16" i="2112"/>
  <c r="AE23" i="2112"/>
  <c r="AE27" i="2112"/>
  <c r="AE26" i="2112"/>
  <c r="AE6" i="2112"/>
  <c r="AE13" i="2112"/>
  <c r="AE8" i="2112"/>
  <c r="AE17" i="2112"/>
  <c r="AE19" i="2112"/>
  <c r="AE20" i="2112"/>
  <c r="AE9" i="2112"/>
  <c r="AE22" i="2112"/>
  <c r="AE11" i="2112"/>
  <c r="AE24" i="2112"/>
  <c r="AE7" i="2112"/>
  <c r="AE10" i="2112"/>
  <c r="AE15" i="2112"/>
  <c r="AE21" i="2112"/>
  <c r="AE28" i="2112"/>
  <c r="AE25" i="2111"/>
  <c r="AE16" i="2111"/>
  <c r="AE19" i="2111"/>
  <c r="AE6" i="2111"/>
  <c r="AE24" i="2111"/>
  <c r="AE15" i="2111"/>
  <c r="AE20" i="2111"/>
  <c r="AE17" i="2111"/>
  <c r="AE27" i="2111"/>
  <c r="AE21" i="2111"/>
  <c r="AE26" i="2111"/>
  <c r="AE9" i="2111"/>
  <c r="AE12" i="2111"/>
  <c r="AE8" i="2111"/>
  <c r="AE10" i="2111"/>
  <c r="AE11" i="2111"/>
  <c r="AE18" i="2111"/>
  <c r="AE7" i="2111"/>
  <c r="AE23" i="2111"/>
  <c r="AE13" i="2111"/>
  <c r="AE14" i="2111"/>
  <c r="AE22" i="2111"/>
  <c r="AE24" i="2110"/>
  <c r="AE13" i="2110"/>
  <c r="AE14" i="2110"/>
  <c r="AE16" i="2110"/>
  <c r="AE7" i="2110"/>
  <c r="AE12" i="2110"/>
  <c r="AE18" i="2110"/>
  <c r="AE17" i="2110"/>
  <c r="AE20" i="2110"/>
  <c r="AE19" i="2110"/>
  <c r="AE15" i="2110"/>
  <c r="AE25" i="2110"/>
  <c r="AE8" i="2110"/>
  <c r="AE26" i="2110"/>
  <c r="AE9" i="2110"/>
  <c r="AE11" i="2110"/>
  <c r="AE10" i="2110"/>
  <c r="AE22" i="2110"/>
  <c r="AE21" i="2110"/>
  <c r="AE23" i="2110"/>
  <c r="AE6" i="2110"/>
  <c r="L16" i="2109" l="1"/>
  <c r="AB16" i="2109" s="1"/>
  <c r="L13" i="2109"/>
  <c r="L11" i="2109"/>
  <c r="L10" i="2109"/>
  <c r="L9" i="2109"/>
  <c r="AB9" i="2109" s="1"/>
  <c r="AF9" i="2109"/>
  <c r="Q9" i="2109"/>
  <c r="M9" i="2109"/>
  <c r="L8" i="2109"/>
  <c r="K8" i="2109" s="1"/>
  <c r="L7" i="2109"/>
  <c r="K7" i="2109" s="1"/>
  <c r="L6" i="2109"/>
  <c r="K6" i="2109" s="1"/>
  <c r="L26" i="2109"/>
  <c r="K26" i="2109" s="1"/>
  <c r="L25" i="2109"/>
  <c r="K25" i="2109" s="1"/>
  <c r="L23" i="2109"/>
  <c r="K23" i="2109" s="1"/>
  <c r="K22" i="2109"/>
  <c r="K21" i="2109"/>
  <c r="K18" i="2109"/>
  <c r="K16" i="2109"/>
  <c r="K14" i="2109"/>
  <c r="K13" i="2109"/>
  <c r="K12" i="2109"/>
  <c r="K10" i="2109"/>
  <c r="A84" i="2109"/>
  <c r="A85" i="2109" s="1"/>
  <c r="A86" i="2109" s="1"/>
  <c r="A87" i="2109" s="1"/>
  <c r="A88" i="2109" s="1"/>
  <c r="A89" i="2109" s="1"/>
  <c r="AF68" i="2109"/>
  <c r="AF67" i="2109"/>
  <c r="AF70" i="2109" s="1"/>
  <c r="AA29" i="2109"/>
  <c r="Z29" i="2109"/>
  <c r="Y29" i="2109"/>
  <c r="X29" i="2109"/>
  <c r="W29" i="2109"/>
  <c r="V29" i="2109"/>
  <c r="U29" i="2109"/>
  <c r="T29" i="2109"/>
  <c r="S29" i="2109"/>
  <c r="R29" i="2109"/>
  <c r="N29" i="2109"/>
  <c r="J29" i="2109"/>
  <c r="I29" i="2109"/>
  <c r="AF28" i="2109"/>
  <c r="AB28" i="2109"/>
  <c r="Q28" i="2109"/>
  <c r="P28" i="2109"/>
  <c r="AC28" i="2109" s="1"/>
  <c r="O28" i="2109"/>
  <c r="M28" i="2109"/>
  <c r="K28" i="2109"/>
  <c r="AF27" i="2109"/>
  <c r="AC27" i="2109"/>
  <c r="AD27" i="2109" s="1"/>
  <c r="AB27" i="2109"/>
  <c r="Q27" i="2109"/>
  <c r="P27" i="2109"/>
  <c r="O27" i="2109"/>
  <c r="M27" i="2109"/>
  <c r="K27" i="2109"/>
  <c r="AF26" i="2109"/>
  <c r="Q26" i="2109"/>
  <c r="AF25" i="2109"/>
  <c r="Q25" i="2109"/>
  <c r="O25" i="2109"/>
  <c r="AF24" i="2109"/>
  <c r="AB24" i="2109"/>
  <c r="Q24" i="2109"/>
  <c r="P24" i="2109"/>
  <c r="AC24" i="2109" s="1"/>
  <c r="AD24" i="2109" s="1"/>
  <c r="O24" i="2109"/>
  <c r="M24" i="2109"/>
  <c r="K24" i="2109"/>
  <c r="AF23" i="2109"/>
  <c r="Q23" i="2109"/>
  <c r="P23" i="2109" s="1"/>
  <c r="AC23" i="2109" s="1"/>
  <c r="AF22" i="2109"/>
  <c r="Q22" i="2109"/>
  <c r="P22" i="2109"/>
  <c r="AC22" i="2109" s="1"/>
  <c r="O22" i="2109"/>
  <c r="AF21" i="2109"/>
  <c r="Q21" i="2109"/>
  <c r="P21" i="2109"/>
  <c r="AC21" i="2109" s="1"/>
  <c r="O21" i="2109"/>
  <c r="M21" i="2109"/>
  <c r="AB21" i="2109"/>
  <c r="AF20" i="2109"/>
  <c r="AB20" i="2109"/>
  <c r="Q20" i="2109"/>
  <c r="P20" i="2109" s="1"/>
  <c r="AC20" i="2109" s="1"/>
  <c r="AD20" i="2109" s="1"/>
  <c r="O20" i="2109"/>
  <c r="M20" i="2109"/>
  <c r="AF19" i="2109"/>
  <c r="Q19" i="2109"/>
  <c r="P19" i="2109" s="1"/>
  <c r="AC19" i="2109" s="1"/>
  <c r="AF18" i="2109"/>
  <c r="Q18" i="2109"/>
  <c r="P18" i="2109"/>
  <c r="AC18" i="2109" s="1"/>
  <c r="O18" i="2109"/>
  <c r="AF17" i="2109"/>
  <c r="AB17" i="2109"/>
  <c r="Q17" i="2109"/>
  <c r="P17" i="2109" s="1"/>
  <c r="AC17" i="2109" s="1"/>
  <c r="O17" i="2109"/>
  <c r="M17" i="2109"/>
  <c r="AF16" i="2109"/>
  <c r="Q16" i="2109"/>
  <c r="O16" i="2109"/>
  <c r="M16" i="2109"/>
  <c r="AF15" i="2109"/>
  <c r="AB15" i="2109"/>
  <c r="Q15" i="2109"/>
  <c r="P15" i="2109"/>
  <c r="AC15" i="2109" s="1"/>
  <c r="O15" i="2109"/>
  <c r="M15" i="2109"/>
  <c r="K15" i="2109"/>
  <c r="AF14" i="2109"/>
  <c r="AB14" i="2109"/>
  <c r="Q14" i="2109"/>
  <c r="P14" i="2109" s="1"/>
  <c r="AC14" i="2109" s="1"/>
  <c r="O14" i="2109"/>
  <c r="M14" i="2109"/>
  <c r="AF13" i="2109"/>
  <c r="AB13" i="2109"/>
  <c r="Q13" i="2109"/>
  <c r="P13" i="2109" s="1"/>
  <c r="AC13" i="2109" s="1"/>
  <c r="O13" i="2109"/>
  <c r="M13" i="2109"/>
  <c r="AF12" i="2109"/>
  <c r="Q12" i="2109"/>
  <c r="P12" i="2109"/>
  <c r="AC12" i="2109" s="1"/>
  <c r="AF11" i="2109"/>
  <c r="AB11" i="2109"/>
  <c r="Q11" i="2109"/>
  <c r="O11" i="2109"/>
  <c r="M11" i="2109"/>
  <c r="K11" i="2109"/>
  <c r="AF10" i="2109"/>
  <c r="AB10" i="2109"/>
  <c r="Q10" i="2109"/>
  <c r="O10" i="2109"/>
  <c r="M10" i="2109"/>
  <c r="P10" i="2109"/>
  <c r="AC10" i="2109" s="1"/>
  <c r="AF8" i="2109"/>
  <c r="Q8" i="2109"/>
  <c r="AF7" i="2109"/>
  <c r="Q7" i="2109"/>
  <c r="P7" i="2109"/>
  <c r="AC7" i="2109" s="1"/>
  <c r="O7" i="2109"/>
  <c r="AF6" i="2109"/>
  <c r="AB6" i="2109"/>
  <c r="Q6" i="2109"/>
  <c r="P6" i="2109" s="1"/>
  <c r="AC6" i="2109" s="1"/>
  <c r="O6" i="2109"/>
  <c r="M6" i="2109"/>
  <c r="R25" i="16"/>
  <c r="R24" i="16"/>
  <c r="R23" i="16"/>
  <c r="R22" i="16"/>
  <c r="R21" i="16"/>
  <c r="R20" i="16"/>
  <c r="R19" i="16"/>
  <c r="R18" i="16"/>
  <c r="R17" i="16"/>
  <c r="R16" i="16"/>
  <c r="R15" i="16"/>
  <c r="R14" i="16"/>
  <c r="R13" i="16"/>
  <c r="R12" i="16"/>
  <c r="R11" i="16"/>
  <c r="R10" i="16"/>
  <c r="R9" i="16"/>
  <c r="R8" i="16"/>
  <c r="R7" i="16"/>
  <c r="R6" i="16"/>
  <c r="R5" i="16"/>
  <c r="R4" i="16"/>
  <c r="R3" i="16"/>
  <c r="L25" i="2108"/>
  <c r="L24" i="2108"/>
  <c r="M24" i="2108" s="1"/>
  <c r="L22" i="2108"/>
  <c r="L21" i="2108"/>
  <c r="AB21" i="2108" s="1"/>
  <c r="L20" i="2108"/>
  <c r="L19" i="2108"/>
  <c r="L18" i="2108"/>
  <c r="K18" i="2108" s="1"/>
  <c r="L17" i="2108"/>
  <c r="K17" i="2108" s="1"/>
  <c r="L16" i="2108"/>
  <c r="K16" i="2108" s="1"/>
  <c r="L15" i="2108"/>
  <c r="K15" i="2108" s="1"/>
  <c r="L13" i="2108"/>
  <c r="K13" i="2108" s="1"/>
  <c r="L12" i="2108"/>
  <c r="K12" i="2108" s="1"/>
  <c r="L11" i="2108"/>
  <c r="O11" i="2108" s="1"/>
  <c r="L9" i="2108"/>
  <c r="L8" i="2108"/>
  <c r="L7" i="2108"/>
  <c r="K7" i="2108"/>
  <c r="K27" i="2108"/>
  <c r="K25" i="2108"/>
  <c r="K24" i="2108"/>
  <c r="K22" i="2108"/>
  <c r="K21" i="2108"/>
  <c r="K20" i="2108"/>
  <c r="K19" i="2108"/>
  <c r="K8" i="2108"/>
  <c r="A83" i="2108"/>
  <c r="A84" i="2108" s="1"/>
  <c r="A85" i="2108" s="1"/>
  <c r="A86" i="2108" s="1"/>
  <c r="A87" i="2108" s="1"/>
  <c r="A88" i="2108" s="1"/>
  <c r="AF67" i="2108"/>
  <c r="AF69" i="2108" s="1"/>
  <c r="AF66" i="2108"/>
  <c r="AA28" i="2108"/>
  <c r="Z28" i="2108"/>
  <c r="Y28" i="2108"/>
  <c r="X28" i="2108"/>
  <c r="W28" i="2108"/>
  <c r="V28" i="2108"/>
  <c r="U28" i="2108"/>
  <c r="T28" i="2108"/>
  <c r="S28" i="2108"/>
  <c r="R28" i="2108"/>
  <c r="N28" i="2108"/>
  <c r="J28" i="2108"/>
  <c r="I28" i="2108"/>
  <c r="AF27" i="2108"/>
  <c r="AB27" i="2108"/>
  <c r="Q27" i="2108"/>
  <c r="P27" i="2108"/>
  <c r="AC27" i="2108" s="1"/>
  <c r="AD27" i="2108" s="1"/>
  <c r="O27" i="2108"/>
  <c r="M27" i="2108"/>
  <c r="AF26" i="2108"/>
  <c r="AB26" i="2108"/>
  <c r="Q26" i="2108"/>
  <c r="P26" i="2108"/>
  <c r="AC26" i="2108" s="1"/>
  <c r="O26" i="2108"/>
  <c r="M26" i="2108"/>
  <c r="K26" i="2108"/>
  <c r="AF25" i="2108"/>
  <c r="Q25" i="2108"/>
  <c r="O25" i="2108"/>
  <c r="AF24" i="2108"/>
  <c r="AB24" i="2108"/>
  <c r="Q24" i="2108"/>
  <c r="P24" i="2108" s="1"/>
  <c r="AC24" i="2108" s="1"/>
  <c r="O24" i="2108"/>
  <c r="AF23" i="2108"/>
  <c r="AB23" i="2108"/>
  <c r="Q23" i="2108"/>
  <c r="P23" i="2108"/>
  <c r="AC23" i="2108" s="1"/>
  <c r="AD23" i="2108" s="1"/>
  <c r="O23" i="2108"/>
  <c r="M23" i="2108"/>
  <c r="K23" i="2108"/>
  <c r="AF22" i="2108"/>
  <c r="Q22" i="2108"/>
  <c r="O22" i="2108"/>
  <c r="AB22" i="2108"/>
  <c r="AF21" i="2108"/>
  <c r="Q21" i="2108"/>
  <c r="P21" i="2108"/>
  <c r="AC21" i="2108" s="1"/>
  <c r="O21" i="2108"/>
  <c r="AF20" i="2108"/>
  <c r="Q20" i="2108"/>
  <c r="AF19" i="2108"/>
  <c r="AB19" i="2108"/>
  <c r="Q19" i="2108"/>
  <c r="P19" i="2108"/>
  <c r="AC19" i="2108" s="1"/>
  <c r="M19" i="2108"/>
  <c r="O19" i="2108"/>
  <c r="AF18" i="2108"/>
  <c r="AB18" i="2108"/>
  <c r="Q18" i="2108"/>
  <c r="O18" i="2108"/>
  <c r="M18" i="2108"/>
  <c r="AF17" i="2108"/>
  <c r="Q17" i="2108"/>
  <c r="P17" i="2108" s="1"/>
  <c r="AC17" i="2108" s="1"/>
  <c r="M17" i="2108"/>
  <c r="AF16" i="2108"/>
  <c r="Q16" i="2108"/>
  <c r="AF15" i="2108"/>
  <c r="AB15" i="2108"/>
  <c r="Q15" i="2108"/>
  <c r="O15" i="2108"/>
  <c r="M15" i="2108"/>
  <c r="AF14" i="2108"/>
  <c r="AB14" i="2108"/>
  <c r="Q14" i="2108"/>
  <c r="P14" i="2108"/>
  <c r="AC14" i="2108" s="1"/>
  <c r="O14" i="2108"/>
  <c r="M14" i="2108"/>
  <c r="K14" i="2108"/>
  <c r="AF13" i="2108"/>
  <c r="Q13" i="2108"/>
  <c r="O13" i="2108"/>
  <c r="AB13" i="2108"/>
  <c r="AF12" i="2108"/>
  <c r="Q12" i="2108"/>
  <c r="P12" i="2108" s="1"/>
  <c r="AC12" i="2108" s="1"/>
  <c r="O12" i="2108"/>
  <c r="AF11" i="2108"/>
  <c r="AB11" i="2108"/>
  <c r="Q11" i="2108"/>
  <c r="M11" i="2108"/>
  <c r="K11" i="2108"/>
  <c r="AF10" i="2108"/>
  <c r="AB10" i="2108"/>
  <c r="Q10" i="2108"/>
  <c r="P10" i="2108"/>
  <c r="AC10" i="2108" s="1"/>
  <c r="AD10" i="2108" s="1"/>
  <c r="O10" i="2108"/>
  <c r="M10" i="2108"/>
  <c r="K10" i="2108"/>
  <c r="AF9" i="2108"/>
  <c r="Q9" i="2108"/>
  <c r="AF8" i="2108"/>
  <c r="AB8" i="2108"/>
  <c r="Q8" i="2108"/>
  <c r="M8" i="2108"/>
  <c r="O8" i="2108"/>
  <c r="AF7" i="2108"/>
  <c r="Q7" i="2108"/>
  <c r="O7" i="2108"/>
  <c r="AB7" i="2108"/>
  <c r="AF6" i="2108"/>
  <c r="AB6" i="2108"/>
  <c r="Q6" i="2108"/>
  <c r="P6" i="2108"/>
  <c r="AC6" i="2108" s="1"/>
  <c r="O6" i="2108"/>
  <c r="M6" i="2108"/>
  <c r="K6" i="2108"/>
  <c r="Q25" i="16"/>
  <c r="Q24" i="16"/>
  <c r="Q23" i="16"/>
  <c r="Q22" i="16"/>
  <c r="Q21" i="16"/>
  <c r="Q20" i="16"/>
  <c r="Q19" i="16"/>
  <c r="Q18" i="16"/>
  <c r="Q17" i="16"/>
  <c r="Q16" i="16"/>
  <c r="Q15" i="16"/>
  <c r="Q14" i="16"/>
  <c r="Q13" i="16"/>
  <c r="Q12" i="16"/>
  <c r="Q11" i="16"/>
  <c r="Q10" i="16"/>
  <c r="Q9" i="16"/>
  <c r="Q8" i="16"/>
  <c r="Q7" i="16"/>
  <c r="Q6" i="16"/>
  <c r="Q5" i="16"/>
  <c r="Q4" i="16"/>
  <c r="Q3" i="16"/>
  <c r="L25" i="2107"/>
  <c r="K25" i="2107" s="1"/>
  <c r="L26" i="2107"/>
  <c r="K26" i="2107" s="1"/>
  <c r="L23" i="2107"/>
  <c r="K23" i="2107" s="1"/>
  <c r="L28" i="2107"/>
  <c r="L22" i="2107"/>
  <c r="L21" i="2107"/>
  <c r="L20" i="2107"/>
  <c r="L19" i="2107"/>
  <c r="K19" i="2107" s="1"/>
  <c r="K18" i="2107"/>
  <c r="P16" i="2109" l="1"/>
  <c r="AC16" i="2109" s="1"/>
  <c r="AD16" i="2109" s="1"/>
  <c r="AD13" i="2109"/>
  <c r="P11" i="2109"/>
  <c r="AC11" i="2109" s="1"/>
  <c r="AD11" i="2109" s="1"/>
  <c r="AD10" i="2109"/>
  <c r="O9" i="2109"/>
  <c r="AD28" i="2109"/>
  <c r="K9" i="2109"/>
  <c r="P9" i="2109"/>
  <c r="AC9" i="2109" s="1"/>
  <c r="AD9" i="2109" s="1"/>
  <c r="P26" i="2109"/>
  <c r="AC26" i="2109" s="1"/>
  <c r="P8" i="2109"/>
  <c r="AC8" i="2109" s="1"/>
  <c r="Q29" i="2109"/>
  <c r="P25" i="2109"/>
  <c r="AC25" i="2109" s="1"/>
  <c r="AD6" i="2109"/>
  <c r="AD14" i="2109"/>
  <c r="AD17" i="2109"/>
  <c r="AD15" i="2109"/>
  <c r="AD21" i="2109"/>
  <c r="M8" i="2109"/>
  <c r="M12" i="2109"/>
  <c r="M19" i="2109"/>
  <c r="AB23" i="2109"/>
  <c r="L29" i="2109"/>
  <c r="O29" i="2109" s="1"/>
  <c r="M7" i="2109"/>
  <c r="AB7" i="2109"/>
  <c r="O8" i="2109"/>
  <c r="O12" i="2109"/>
  <c r="M18" i="2109"/>
  <c r="AB18" i="2109"/>
  <c r="AD18" i="2109" s="1"/>
  <c r="O19" i="2109"/>
  <c r="M22" i="2109"/>
  <c r="AB22" i="2109"/>
  <c r="AD22" i="2109" s="1"/>
  <c r="O23" i="2109"/>
  <c r="M25" i="2109"/>
  <c r="AB25" i="2109"/>
  <c r="O26" i="2109"/>
  <c r="AB8" i="2109"/>
  <c r="AB12" i="2109"/>
  <c r="AB19" i="2109"/>
  <c r="AD19" i="2109" s="1"/>
  <c r="M23" i="2109"/>
  <c r="M26" i="2109"/>
  <c r="AB26" i="2109"/>
  <c r="K29" i="2109"/>
  <c r="P25" i="2108"/>
  <c r="AC25" i="2108" s="1"/>
  <c r="AD25" i="2108" s="1"/>
  <c r="M25" i="2108"/>
  <c r="AB25" i="2108"/>
  <c r="AD24" i="2108"/>
  <c r="M21" i="2108"/>
  <c r="P20" i="2108"/>
  <c r="AC20" i="2108" s="1"/>
  <c r="AD19" i="2108"/>
  <c r="O16" i="2108"/>
  <c r="AD26" i="2108"/>
  <c r="P8" i="2108"/>
  <c r="AC8" i="2108" s="1"/>
  <c r="P9" i="2108"/>
  <c r="AC9" i="2108" s="1"/>
  <c r="P18" i="2108"/>
  <c r="AC18" i="2108" s="1"/>
  <c r="AD18" i="2108" s="1"/>
  <c r="O17" i="2108"/>
  <c r="AB17" i="2108"/>
  <c r="AD17" i="2108" s="1"/>
  <c r="AB16" i="2108"/>
  <c r="P15" i="2108"/>
  <c r="AC15" i="2108" s="1"/>
  <c r="AD15" i="2108" s="1"/>
  <c r="Q28" i="2108"/>
  <c r="AD12" i="2108"/>
  <c r="M12" i="2108"/>
  <c r="AB12" i="2108"/>
  <c r="P11" i="2108"/>
  <c r="AC11" i="2108" s="1"/>
  <c r="AD11" i="2108" s="1"/>
  <c r="K9" i="2108"/>
  <c r="K28" i="2108" s="1"/>
  <c r="AD21" i="2108"/>
  <c r="AD14" i="2108"/>
  <c r="AD8" i="2108"/>
  <c r="AD6" i="2108"/>
  <c r="L28" i="2108"/>
  <c r="O28" i="2108" s="1"/>
  <c r="P7" i="2108"/>
  <c r="AC7" i="2108" s="1"/>
  <c r="AD7" i="2108" s="1"/>
  <c r="M9" i="2108"/>
  <c r="AB9" i="2108"/>
  <c r="P13" i="2108"/>
  <c r="AC13" i="2108" s="1"/>
  <c r="AD13" i="2108" s="1"/>
  <c r="P16" i="2108"/>
  <c r="AC16" i="2108" s="1"/>
  <c r="AD16" i="2108" s="1"/>
  <c r="M20" i="2108"/>
  <c r="AB20" i="2108"/>
  <c r="P22" i="2108"/>
  <c r="AC22" i="2108" s="1"/>
  <c r="AD22" i="2108" s="1"/>
  <c r="O20" i="2108"/>
  <c r="O9" i="2108"/>
  <c r="AD9" i="2108" s="1"/>
  <c r="M7" i="2108"/>
  <c r="M13" i="2108"/>
  <c r="M16" i="2108"/>
  <c r="M22" i="2108"/>
  <c r="AD26" i="2109" l="1"/>
  <c r="AC29" i="2109"/>
  <c r="AD8" i="2109"/>
  <c r="AD25" i="2109"/>
  <c r="P29" i="2109"/>
  <c r="AD12" i="2109"/>
  <c r="M29" i="2109"/>
  <c r="AD23" i="2109"/>
  <c r="AB29" i="2109"/>
  <c r="AD7" i="2109"/>
  <c r="AD20" i="2108"/>
  <c r="M28" i="2108"/>
  <c r="AB28" i="2108"/>
  <c r="P28" i="2108"/>
  <c r="AC28" i="2108"/>
  <c r="AD28" i="2108"/>
  <c r="AD29" i="2109" l="1"/>
  <c r="AE27" i="2108"/>
  <c r="AE24" i="2108"/>
  <c r="AE21" i="2108"/>
  <c r="AE18" i="2108"/>
  <c r="AE15" i="2108"/>
  <c r="AE12" i="2108"/>
  <c r="AE6" i="2108"/>
  <c r="AE13" i="2108"/>
  <c r="AE10" i="2108"/>
  <c r="AE25" i="2108"/>
  <c r="AE22" i="2108"/>
  <c r="AE16" i="2108"/>
  <c r="AE7" i="2108"/>
  <c r="AE19" i="2108"/>
  <c r="AE17" i="2108"/>
  <c r="AE8" i="2108"/>
  <c r="AE26" i="2108"/>
  <c r="AE23" i="2108"/>
  <c r="AE20" i="2108"/>
  <c r="AE14" i="2108"/>
  <c r="AE9" i="2108"/>
  <c r="AE11" i="2108"/>
  <c r="AE20" i="2109" l="1"/>
  <c r="AE9" i="2109"/>
  <c r="AE18" i="2109"/>
  <c r="AE14" i="2109"/>
  <c r="AE27" i="2109"/>
  <c r="AE26" i="2109"/>
  <c r="AE10" i="2109"/>
  <c r="AE22" i="2109"/>
  <c r="AE8" i="2109"/>
  <c r="AE13" i="2109"/>
  <c r="AE12" i="2109"/>
  <c r="AE25" i="2109"/>
  <c r="AE21" i="2109"/>
  <c r="AE15" i="2109"/>
  <c r="AE7" i="2109"/>
  <c r="AE16" i="2109"/>
  <c r="AE17" i="2109"/>
  <c r="AE28" i="2109"/>
  <c r="AE23" i="2109"/>
  <c r="AE6" i="2109"/>
  <c r="AE24" i="2109"/>
  <c r="AE19" i="2109"/>
  <c r="AE11" i="2109"/>
  <c r="L17" i="2107"/>
  <c r="L16" i="2107"/>
  <c r="L15" i="2107"/>
  <c r="L13" i="2107"/>
  <c r="O13" i="2107" s="1"/>
  <c r="L12" i="2107"/>
  <c r="L9" i="2107"/>
  <c r="K9" i="2107" s="1"/>
  <c r="L8" i="2107"/>
  <c r="K8" i="2107" s="1"/>
  <c r="L7" i="2107"/>
  <c r="K7" i="2107" s="1"/>
  <c r="K28" i="2107"/>
  <c r="K22" i="2107"/>
  <c r="K21" i="2107"/>
  <c r="K20" i="2107"/>
  <c r="K17" i="2107"/>
  <c r="K16" i="2107"/>
  <c r="K15" i="2107"/>
  <c r="K12" i="2107"/>
  <c r="K11" i="2107"/>
  <c r="K10" i="2107"/>
  <c r="K6" i="2107"/>
  <c r="A84" i="2107"/>
  <c r="A85" i="2107" s="1"/>
  <c r="A86" i="2107" s="1"/>
  <c r="A87" i="2107" s="1"/>
  <c r="A88" i="2107" s="1"/>
  <c r="A89" i="2107" s="1"/>
  <c r="AF70" i="2107"/>
  <c r="AF68" i="2107"/>
  <c r="AF67" i="2107"/>
  <c r="AA29" i="2107"/>
  <c r="Z29" i="2107"/>
  <c r="Y29" i="2107"/>
  <c r="X29" i="2107"/>
  <c r="W29" i="2107"/>
  <c r="V29" i="2107"/>
  <c r="U29" i="2107"/>
  <c r="T29" i="2107"/>
  <c r="S29" i="2107"/>
  <c r="R29" i="2107"/>
  <c r="N29" i="2107"/>
  <c r="J29" i="2107"/>
  <c r="I29" i="2107"/>
  <c r="AF28" i="2107"/>
  <c r="AB28" i="2107"/>
  <c r="Q28" i="2107"/>
  <c r="P28" i="2107"/>
  <c r="AC28" i="2107" s="1"/>
  <c r="O28" i="2107"/>
  <c r="M28" i="2107"/>
  <c r="AF27" i="2107"/>
  <c r="AB27" i="2107"/>
  <c r="Q27" i="2107"/>
  <c r="P27" i="2107"/>
  <c r="AC27" i="2107" s="1"/>
  <c r="O27" i="2107"/>
  <c r="M27" i="2107"/>
  <c r="K27" i="2107"/>
  <c r="AF26" i="2107"/>
  <c r="AB26" i="2107"/>
  <c r="Q26" i="2107"/>
  <c r="P26" i="2107" s="1"/>
  <c r="AC26" i="2107" s="1"/>
  <c r="O26" i="2107"/>
  <c r="M26" i="2107"/>
  <c r="AF25" i="2107"/>
  <c r="AB25" i="2107"/>
  <c r="Q25" i="2107"/>
  <c r="P25" i="2107" s="1"/>
  <c r="AC25" i="2107" s="1"/>
  <c r="O25" i="2107"/>
  <c r="M25" i="2107"/>
  <c r="AF24" i="2107"/>
  <c r="AB24" i="2107"/>
  <c r="Q24" i="2107"/>
  <c r="P24" i="2107"/>
  <c r="AC24" i="2107" s="1"/>
  <c r="O24" i="2107"/>
  <c r="M24" i="2107"/>
  <c r="K24" i="2107"/>
  <c r="AF23" i="2107"/>
  <c r="AB23" i="2107"/>
  <c r="Q23" i="2107"/>
  <c r="P23" i="2107" s="1"/>
  <c r="AC23" i="2107" s="1"/>
  <c r="O23" i="2107"/>
  <c r="M23" i="2107"/>
  <c r="AF22" i="2107"/>
  <c r="Q22" i="2107"/>
  <c r="O22" i="2107"/>
  <c r="AF21" i="2107"/>
  <c r="AB21" i="2107"/>
  <c r="Q21" i="2107"/>
  <c r="P21" i="2107" s="1"/>
  <c r="AC21" i="2107" s="1"/>
  <c r="M21" i="2107"/>
  <c r="O21" i="2107"/>
  <c r="AF20" i="2107"/>
  <c r="Q20" i="2107"/>
  <c r="O20" i="2107"/>
  <c r="P20" i="2107"/>
  <c r="AC20" i="2107" s="1"/>
  <c r="AF19" i="2107"/>
  <c r="AB19" i="2107"/>
  <c r="Q19" i="2107"/>
  <c r="P19" i="2107" s="1"/>
  <c r="AC19" i="2107" s="1"/>
  <c r="O19" i="2107"/>
  <c r="M19" i="2107"/>
  <c r="AF18" i="2107"/>
  <c r="Q18" i="2107"/>
  <c r="O18" i="2107"/>
  <c r="AF17" i="2107"/>
  <c r="AB17" i="2107"/>
  <c r="Q17" i="2107"/>
  <c r="P17" i="2107" s="1"/>
  <c r="AC17" i="2107" s="1"/>
  <c r="M17" i="2107"/>
  <c r="O17" i="2107"/>
  <c r="AF16" i="2107"/>
  <c r="AB16" i="2107"/>
  <c r="Q16" i="2107"/>
  <c r="P16" i="2107"/>
  <c r="AC16" i="2107" s="1"/>
  <c r="O16" i="2107"/>
  <c r="M16" i="2107"/>
  <c r="AF15" i="2107"/>
  <c r="Q15" i="2107"/>
  <c r="O15" i="2107"/>
  <c r="AF14" i="2107"/>
  <c r="AB14" i="2107"/>
  <c r="Q14" i="2107"/>
  <c r="P14" i="2107"/>
  <c r="AC14" i="2107" s="1"/>
  <c r="O14" i="2107"/>
  <c r="M14" i="2107"/>
  <c r="K14" i="2107"/>
  <c r="AF13" i="2107"/>
  <c r="AB13" i="2107"/>
  <c r="Q13" i="2107"/>
  <c r="P13" i="2107"/>
  <c r="AC13" i="2107" s="1"/>
  <c r="M13" i="2107"/>
  <c r="AF12" i="2107"/>
  <c r="Q12" i="2107"/>
  <c r="O12" i="2107"/>
  <c r="AF11" i="2107"/>
  <c r="AB11" i="2107"/>
  <c r="Q11" i="2107"/>
  <c r="P11" i="2107"/>
  <c r="AC11" i="2107" s="1"/>
  <c r="M11" i="2107"/>
  <c r="O11" i="2107"/>
  <c r="AF10" i="2107"/>
  <c r="Q10" i="2107"/>
  <c r="O10" i="2107"/>
  <c r="AF9" i="2107"/>
  <c r="AB9" i="2107"/>
  <c r="Q9" i="2107"/>
  <c r="P9" i="2107" s="1"/>
  <c r="AC9" i="2107" s="1"/>
  <c r="M9" i="2107"/>
  <c r="O9" i="2107"/>
  <c r="AF8" i="2107"/>
  <c r="Q8" i="2107"/>
  <c r="P8" i="2107" s="1"/>
  <c r="AC8" i="2107" s="1"/>
  <c r="O8" i="2107"/>
  <c r="AF7" i="2107"/>
  <c r="AB7" i="2107"/>
  <c r="Q7" i="2107"/>
  <c r="P7" i="2107"/>
  <c r="AC7" i="2107" s="1"/>
  <c r="M7" i="2107"/>
  <c r="AF6" i="2107"/>
  <c r="Q6" i="2107"/>
  <c r="O6" i="2107"/>
  <c r="P25" i="16"/>
  <c r="P24" i="16"/>
  <c r="P23" i="16"/>
  <c r="P22" i="16"/>
  <c r="P21" i="16"/>
  <c r="P20" i="16"/>
  <c r="P19" i="16"/>
  <c r="P18" i="16"/>
  <c r="P17" i="16"/>
  <c r="P16" i="16"/>
  <c r="P15" i="16"/>
  <c r="P14" i="16"/>
  <c r="P13" i="16"/>
  <c r="P12" i="16"/>
  <c r="P11" i="16"/>
  <c r="P10" i="16"/>
  <c r="P9" i="16"/>
  <c r="P8" i="16"/>
  <c r="P7" i="16"/>
  <c r="P6" i="16"/>
  <c r="P5" i="16"/>
  <c r="P4" i="16"/>
  <c r="P3" i="16"/>
  <c r="L22" i="2106"/>
  <c r="L20" i="2106"/>
  <c r="K20" i="2106" s="1"/>
  <c r="L23" i="2106"/>
  <c r="O23" i="2106" s="1"/>
  <c r="L24" i="2106"/>
  <c r="L21" i="2106"/>
  <c r="K21" i="2106" s="1"/>
  <c r="L19" i="2106"/>
  <c r="K19" i="2106" s="1"/>
  <c r="L17" i="2106"/>
  <c r="K17" i="2106" s="1"/>
  <c r="AF17" i="2106"/>
  <c r="Q17" i="2106"/>
  <c r="O17" i="2106"/>
  <c r="L18" i="2106"/>
  <c r="L16" i="2106"/>
  <c r="M16" i="2106" s="1"/>
  <c r="AF16" i="2106"/>
  <c r="Q16" i="2106"/>
  <c r="L14" i="2106"/>
  <c r="K14" i="2106" s="1"/>
  <c r="L13" i="2106"/>
  <c r="K13" i="2106" s="1"/>
  <c r="K11" i="2106"/>
  <c r="L12" i="2106"/>
  <c r="L10" i="2106"/>
  <c r="K10" i="2106" s="1"/>
  <c r="L9" i="2106"/>
  <c r="P9" i="2106" s="1"/>
  <c r="AC9" i="2106" s="1"/>
  <c r="L8" i="2106"/>
  <c r="L7" i="2106"/>
  <c r="L6" i="2106"/>
  <c r="O6" i="2106" s="1"/>
  <c r="K6" i="2106"/>
  <c r="L30" i="2106"/>
  <c r="M30" i="2106" s="1"/>
  <c r="L25" i="2106"/>
  <c r="K25" i="2106" s="1"/>
  <c r="K24" i="2106"/>
  <c r="K22" i="2106"/>
  <c r="K18" i="2106"/>
  <c r="K12" i="2106"/>
  <c r="K9" i="2106"/>
  <c r="K8" i="2106"/>
  <c r="K7" i="2106"/>
  <c r="A86" i="2106"/>
  <c r="A87" i="2106" s="1"/>
  <c r="A88" i="2106" s="1"/>
  <c r="A89" i="2106" s="1"/>
  <c r="A90" i="2106" s="1"/>
  <c r="A91" i="2106" s="1"/>
  <c r="AF70" i="2106"/>
  <c r="AF69" i="2106"/>
  <c r="AA31" i="2106"/>
  <c r="Z31" i="2106"/>
  <c r="Y31" i="2106"/>
  <c r="X31" i="2106"/>
  <c r="W31" i="2106"/>
  <c r="V31" i="2106"/>
  <c r="U31" i="2106"/>
  <c r="T31" i="2106"/>
  <c r="S31" i="2106"/>
  <c r="R31" i="2106"/>
  <c r="N31" i="2106"/>
  <c r="J31" i="2106"/>
  <c r="I31" i="2106"/>
  <c r="AF30" i="2106"/>
  <c r="AB30" i="2106"/>
  <c r="Q30" i="2106"/>
  <c r="AF29" i="2106"/>
  <c r="AB29" i="2106"/>
  <c r="Q29" i="2106"/>
  <c r="P29" i="2106"/>
  <c r="AC29" i="2106" s="1"/>
  <c r="O29" i="2106"/>
  <c r="M29" i="2106"/>
  <c r="K29" i="2106"/>
  <c r="AF28" i="2106"/>
  <c r="AC28" i="2106"/>
  <c r="AB28" i="2106"/>
  <c r="Q28" i="2106"/>
  <c r="P28" i="2106"/>
  <c r="O28" i="2106"/>
  <c r="M28" i="2106"/>
  <c r="K28" i="2106"/>
  <c r="AF27" i="2106"/>
  <c r="AB27" i="2106"/>
  <c r="Q27" i="2106"/>
  <c r="P27" i="2106"/>
  <c r="AC27" i="2106" s="1"/>
  <c r="O27" i="2106"/>
  <c r="M27" i="2106"/>
  <c r="K27" i="2106"/>
  <c r="AF26" i="2106"/>
  <c r="AC26" i="2106"/>
  <c r="AB26" i="2106"/>
  <c r="Q26" i="2106"/>
  <c r="P26" i="2106"/>
  <c r="O26" i="2106"/>
  <c r="M26" i="2106"/>
  <c r="K26" i="2106"/>
  <c r="AF25" i="2106"/>
  <c r="Q25" i="2106"/>
  <c r="P25" i="2106" s="1"/>
  <c r="AC25" i="2106" s="1"/>
  <c r="AF24" i="2106"/>
  <c r="AB24" i="2106"/>
  <c r="Q24" i="2106"/>
  <c r="P24" i="2106"/>
  <c r="AC24" i="2106" s="1"/>
  <c r="O24" i="2106"/>
  <c r="M24" i="2106"/>
  <c r="AF23" i="2106"/>
  <c r="Q23" i="2106"/>
  <c r="AB23" i="2106"/>
  <c r="AF22" i="2106"/>
  <c r="AB22" i="2106"/>
  <c r="Q22" i="2106"/>
  <c r="P22" i="2106" s="1"/>
  <c r="AC22" i="2106" s="1"/>
  <c r="M22" i="2106"/>
  <c r="AF21" i="2106"/>
  <c r="Q21" i="2106"/>
  <c r="M21" i="2106"/>
  <c r="AF20" i="2106"/>
  <c r="Q20" i="2106"/>
  <c r="P20" i="2106" s="1"/>
  <c r="AC20" i="2106" s="1"/>
  <c r="AF19" i="2106"/>
  <c r="AB19" i="2106"/>
  <c r="Q19" i="2106"/>
  <c r="M19" i="2106"/>
  <c r="AF18" i="2106"/>
  <c r="AB18" i="2106"/>
  <c r="Q18" i="2106"/>
  <c r="P18" i="2106" s="1"/>
  <c r="AC18" i="2106" s="1"/>
  <c r="M18" i="2106"/>
  <c r="AF15" i="2106"/>
  <c r="AB15" i="2106"/>
  <c r="Q15" i="2106"/>
  <c r="P15" i="2106"/>
  <c r="AC15" i="2106" s="1"/>
  <c r="O15" i="2106"/>
  <c r="M15" i="2106"/>
  <c r="K15" i="2106"/>
  <c r="AF14" i="2106"/>
  <c r="Q14" i="2106"/>
  <c r="O14" i="2106"/>
  <c r="AF13" i="2106"/>
  <c r="Q13" i="2106"/>
  <c r="M13" i="2106"/>
  <c r="AF12" i="2106"/>
  <c r="Q12" i="2106"/>
  <c r="P12" i="2106" s="1"/>
  <c r="AC12" i="2106" s="1"/>
  <c r="AF11" i="2106"/>
  <c r="AB11" i="2106"/>
  <c r="Q11" i="2106"/>
  <c r="P11" i="2106"/>
  <c r="AC11" i="2106" s="1"/>
  <c r="O11" i="2106"/>
  <c r="M11" i="2106"/>
  <c r="AF10" i="2106"/>
  <c r="AB10" i="2106"/>
  <c r="Q10" i="2106"/>
  <c r="M10" i="2106"/>
  <c r="O10" i="2106"/>
  <c r="AF9" i="2106"/>
  <c r="Q9" i="2106"/>
  <c r="AF8" i="2106"/>
  <c r="AB8" i="2106"/>
  <c r="Q8" i="2106"/>
  <c r="P8" i="2106" s="1"/>
  <c r="AC8" i="2106" s="1"/>
  <c r="O8" i="2106"/>
  <c r="M8" i="2106"/>
  <c r="AF7" i="2106"/>
  <c r="AB7" i="2106"/>
  <c r="Q7" i="2106"/>
  <c r="P7" i="2106" s="1"/>
  <c r="AC7" i="2106" s="1"/>
  <c r="O7" i="2106"/>
  <c r="M7" i="2106"/>
  <c r="AF6" i="2106"/>
  <c r="AB6" i="2106"/>
  <c r="Q6" i="2106"/>
  <c r="O25" i="16"/>
  <c r="O24" i="16"/>
  <c r="O23" i="16"/>
  <c r="O22" i="16"/>
  <c r="O21" i="16"/>
  <c r="O20" i="16"/>
  <c r="O19" i="16"/>
  <c r="O18" i="16"/>
  <c r="O17" i="16"/>
  <c r="O16" i="16"/>
  <c r="O15" i="16"/>
  <c r="O14" i="16"/>
  <c r="O13" i="16"/>
  <c r="O12" i="16"/>
  <c r="O11" i="16"/>
  <c r="O10" i="16"/>
  <c r="O9" i="16"/>
  <c r="O8" i="16"/>
  <c r="O7" i="16"/>
  <c r="O6" i="16"/>
  <c r="O5" i="16"/>
  <c r="O4" i="16"/>
  <c r="O3" i="16"/>
  <c r="L26" i="2105"/>
  <c r="L25" i="2105"/>
  <c r="L24" i="2105"/>
  <c r="K24" i="2105" s="1"/>
  <c r="AF24" i="2105"/>
  <c r="AB24" i="2105"/>
  <c r="Q24" i="2105"/>
  <c r="P24" i="2105" s="1"/>
  <c r="AC24" i="2105" s="1"/>
  <c r="O24" i="2105"/>
  <c r="M24" i="2105"/>
  <c r="AF22" i="2105"/>
  <c r="Q22" i="2105"/>
  <c r="O22" i="2105"/>
  <c r="AB22" i="2105"/>
  <c r="L21" i="2105"/>
  <c r="K21" i="2105" s="1"/>
  <c r="L19" i="2105"/>
  <c r="K19" i="2105" s="1"/>
  <c r="AF19" i="2105"/>
  <c r="Q19" i="2105"/>
  <c r="M19" i="2105"/>
  <c r="L15" i="2105"/>
  <c r="L14" i="2105"/>
  <c r="K14" i="2105" s="1"/>
  <c r="L13" i="2105"/>
  <c r="M13" i="2105" s="1"/>
  <c r="AF13" i="2105"/>
  <c r="Q13" i="2105"/>
  <c r="K12" i="2105"/>
  <c r="L11" i="2105"/>
  <c r="K11" i="2105" s="1"/>
  <c r="L10" i="2105"/>
  <c r="O10" i="2105" s="1"/>
  <c r="AF9" i="2105"/>
  <c r="AB9" i="2105"/>
  <c r="Q9" i="2105"/>
  <c r="P9" i="2105" s="1"/>
  <c r="AC9" i="2105" s="1"/>
  <c r="O9" i="2105"/>
  <c r="M9" i="2105"/>
  <c r="K9" i="2105"/>
  <c r="K8" i="2105"/>
  <c r="L7" i="2105"/>
  <c r="AB7" i="2105" s="1"/>
  <c r="L32" i="2105"/>
  <c r="K32" i="2105" s="1"/>
  <c r="L27" i="2105"/>
  <c r="K26" i="2105"/>
  <c r="K25" i="2105"/>
  <c r="K23" i="2105"/>
  <c r="K20" i="2105"/>
  <c r="K18" i="2105"/>
  <c r="K17" i="2105"/>
  <c r="K15" i="2105"/>
  <c r="K6" i="2105"/>
  <c r="A88" i="2105"/>
  <c r="A89" i="2105" s="1"/>
  <c r="A90" i="2105" s="1"/>
  <c r="A91" i="2105" s="1"/>
  <c r="A92" i="2105" s="1"/>
  <c r="A93" i="2105" s="1"/>
  <c r="AF72" i="2105"/>
  <c r="AF71" i="2105"/>
  <c r="AA33" i="2105"/>
  <c r="Z33" i="2105"/>
  <c r="Y33" i="2105"/>
  <c r="X33" i="2105"/>
  <c r="W33" i="2105"/>
  <c r="V33" i="2105"/>
  <c r="U33" i="2105"/>
  <c r="T33" i="2105"/>
  <c r="S33" i="2105"/>
  <c r="R33" i="2105"/>
  <c r="N33" i="2105"/>
  <c r="J33" i="2105"/>
  <c r="I33" i="2105"/>
  <c r="AF32" i="2105"/>
  <c r="Q32" i="2105"/>
  <c r="P32" i="2105" s="1"/>
  <c r="AC32" i="2105" s="1"/>
  <c r="AF31" i="2105"/>
  <c r="AB31" i="2105"/>
  <c r="Q31" i="2105"/>
  <c r="P31" i="2105"/>
  <c r="AC31" i="2105" s="1"/>
  <c r="O31" i="2105"/>
  <c r="M31" i="2105"/>
  <c r="K31" i="2105"/>
  <c r="AF30" i="2105"/>
  <c r="AB30" i="2105"/>
  <c r="Q30" i="2105"/>
  <c r="P30" i="2105"/>
  <c r="AC30" i="2105" s="1"/>
  <c r="O30" i="2105"/>
  <c r="M30" i="2105"/>
  <c r="K30" i="2105"/>
  <c r="AF29" i="2105"/>
  <c r="AB29" i="2105"/>
  <c r="Q29" i="2105"/>
  <c r="P29" i="2105"/>
  <c r="AC29" i="2105" s="1"/>
  <c r="O29" i="2105"/>
  <c r="M29" i="2105"/>
  <c r="K29" i="2105"/>
  <c r="AF28" i="2105"/>
  <c r="AB28" i="2105"/>
  <c r="Q28" i="2105"/>
  <c r="P28" i="2105"/>
  <c r="AC28" i="2105" s="1"/>
  <c r="O28" i="2105"/>
  <c r="M28" i="2105"/>
  <c r="K28" i="2105"/>
  <c r="AF27" i="2105"/>
  <c r="Q27" i="2105"/>
  <c r="AF26" i="2105"/>
  <c r="AB26" i="2105"/>
  <c r="Q26" i="2105"/>
  <c r="O26" i="2105"/>
  <c r="M26" i="2105"/>
  <c r="P26" i="2105"/>
  <c r="AC26" i="2105" s="1"/>
  <c r="AF25" i="2105"/>
  <c r="AB25" i="2105"/>
  <c r="Q25" i="2105"/>
  <c r="P25" i="2105" s="1"/>
  <c r="AC25" i="2105" s="1"/>
  <c r="M25" i="2105"/>
  <c r="AF23" i="2105"/>
  <c r="Q23" i="2105"/>
  <c r="P23" i="2105" s="1"/>
  <c r="AC23" i="2105" s="1"/>
  <c r="AF21" i="2105"/>
  <c r="Q21" i="2105"/>
  <c r="O21" i="2105"/>
  <c r="AF20" i="2105"/>
  <c r="AB20" i="2105"/>
  <c r="Q20" i="2105"/>
  <c r="O20" i="2105"/>
  <c r="M20" i="2105"/>
  <c r="P20" i="2105"/>
  <c r="AC20" i="2105" s="1"/>
  <c r="AF18" i="2105"/>
  <c r="AB18" i="2105"/>
  <c r="Q18" i="2105"/>
  <c r="P18" i="2105" s="1"/>
  <c r="AC18" i="2105" s="1"/>
  <c r="M18" i="2105"/>
  <c r="AF17" i="2105"/>
  <c r="Q17" i="2105"/>
  <c r="P17" i="2105"/>
  <c r="AC17" i="2105" s="1"/>
  <c r="AF16" i="2105"/>
  <c r="AB16" i="2105"/>
  <c r="Q16" i="2105"/>
  <c r="P16" i="2105"/>
  <c r="AC16" i="2105" s="1"/>
  <c r="O16" i="2105"/>
  <c r="M16" i="2105"/>
  <c r="K16" i="2105"/>
  <c r="AF15" i="2105"/>
  <c r="AB15" i="2105"/>
  <c r="Q15" i="2105"/>
  <c r="P15" i="2105" s="1"/>
  <c r="AC15" i="2105" s="1"/>
  <c r="O15" i="2105"/>
  <c r="M15" i="2105"/>
  <c r="AF14" i="2105"/>
  <c r="Q14" i="2105"/>
  <c r="AF12" i="2105"/>
  <c r="Q12" i="2105"/>
  <c r="O12" i="2105"/>
  <c r="AF11" i="2105"/>
  <c r="Q11" i="2105"/>
  <c r="AF10" i="2105"/>
  <c r="Q10" i="2105"/>
  <c r="AF8" i="2105"/>
  <c r="AB8" i="2105"/>
  <c r="Q8" i="2105"/>
  <c r="P8" i="2105" s="1"/>
  <c r="AC8" i="2105" s="1"/>
  <c r="O8" i="2105"/>
  <c r="M8" i="2105"/>
  <c r="AF7" i="2105"/>
  <c r="Q7" i="2105"/>
  <c r="AF6" i="2105"/>
  <c r="AB6" i="2105"/>
  <c r="Q6" i="2105"/>
  <c r="P6" i="2105" s="1"/>
  <c r="O6" i="2105"/>
  <c r="M6" i="2105"/>
  <c r="N25" i="16"/>
  <c r="N24" i="16"/>
  <c r="N23" i="16"/>
  <c r="N22" i="16"/>
  <c r="N21" i="16"/>
  <c r="N20" i="16"/>
  <c r="N19" i="16"/>
  <c r="N18" i="16"/>
  <c r="N17" i="16"/>
  <c r="N16" i="16"/>
  <c r="N15" i="16"/>
  <c r="N14" i="16"/>
  <c r="N13" i="16"/>
  <c r="N12" i="16"/>
  <c r="N11" i="16"/>
  <c r="N10" i="16"/>
  <c r="N9" i="16"/>
  <c r="N8" i="16"/>
  <c r="N7" i="16"/>
  <c r="N6" i="16"/>
  <c r="N5" i="16"/>
  <c r="N4" i="16"/>
  <c r="N3" i="16"/>
  <c r="L21" i="2104"/>
  <c r="O21" i="2104" s="1"/>
  <c r="L20" i="2104"/>
  <c r="L19" i="2104"/>
  <c r="L18" i="2104"/>
  <c r="K18" i="2104"/>
  <c r="L17" i="2104"/>
  <c r="K17" i="2104" s="1"/>
  <c r="L16" i="2104"/>
  <c r="K16" i="2104" s="1"/>
  <c r="L15" i="2104"/>
  <c r="L12" i="2104"/>
  <c r="O12" i="2104" s="1"/>
  <c r="L11" i="2104"/>
  <c r="O11" i="2104" s="1"/>
  <c r="L10" i="2104"/>
  <c r="K10" i="2104" s="1"/>
  <c r="L9" i="2104"/>
  <c r="L7" i="2104"/>
  <c r="L27" i="2104"/>
  <c r="O27" i="2104" s="1"/>
  <c r="L22" i="2104"/>
  <c r="K22" i="2104" s="1"/>
  <c r="K20" i="2104"/>
  <c r="K19" i="2104"/>
  <c r="K15" i="2104"/>
  <c r="K13" i="2104"/>
  <c r="K9" i="2104"/>
  <c r="K8" i="2104"/>
  <c r="K7" i="2104"/>
  <c r="K6" i="2104"/>
  <c r="A83" i="2104"/>
  <c r="A84" i="2104" s="1"/>
  <c r="A85" i="2104" s="1"/>
  <c r="A86" i="2104" s="1"/>
  <c r="A87" i="2104" s="1"/>
  <c r="A88" i="2104" s="1"/>
  <c r="AF67" i="2104"/>
  <c r="AF69" i="2104" s="1"/>
  <c r="AF66" i="2104"/>
  <c r="AA28" i="2104"/>
  <c r="Z28" i="2104"/>
  <c r="Y28" i="2104"/>
  <c r="X28" i="2104"/>
  <c r="W28" i="2104"/>
  <c r="V28" i="2104"/>
  <c r="U28" i="2104"/>
  <c r="T28" i="2104"/>
  <c r="S28" i="2104"/>
  <c r="R28" i="2104"/>
  <c r="N28" i="2104"/>
  <c r="J28" i="2104"/>
  <c r="I28" i="2104"/>
  <c r="AF27" i="2104"/>
  <c r="Q27" i="2104"/>
  <c r="P27" i="2104"/>
  <c r="AC27" i="2104" s="1"/>
  <c r="AF26" i="2104"/>
  <c r="AB26" i="2104"/>
  <c r="Q26" i="2104"/>
  <c r="P26" i="2104"/>
  <c r="AC26" i="2104" s="1"/>
  <c r="O26" i="2104"/>
  <c r="M26" i="2104"/>
  <c r="K26" i="2104"/>
  <c r="AF25" i="2104"/>
  <c r="AB25" i="2104"/>
  <c r="Q25" i="2104"/>
  <c r="P25" i="2104"/>
  <c r="AC25" i="2104" s="1"/>
  <c r="O25" i="2104"/>
  <c r="M25" i="2104"/>
  <c r="K25" i="2104"/>
  <c r="AF24" i="2104"/>
  <c r="AB24" i="2104"/>
  <c r="Q24" i="2104"/>
  <c r="P24" i="2104"/>
  <c r="AC24" i="2104" s="1"/>
  <c r="O24" i="2104"/>
  <c r="M24" i="2104"/>
  <c r="K24" i="2104"/>
  <c r="AF23" i="2104"/>
  <c r="AB23" i="2104"/>
  <c r="Q23" i="2104"/>
  <c r="P23" i="2104"/>
  <c r="AC23" i="2104" s="1"/>
  <c r="O23" i="2104"/>
  <c r="M23" i="2104"/>
  <c r="K23" i="2104"/>
  <c r="AF22" i="2104"/>
  <c r="AB22" i="2104"/>
  <c r="Q22" i="2104"/>
  <c r="P22" i="2104" s="1"/>
  <c r="AC22" i="2104" s="1"/>
  <c r="M22" i="2104"/>
  <c r="AF21" i="2104"/>
  <c r="Q21" i="2104"/>
  <c r="M21" i="2104"/>
  <c r="AB21" i="2104"/>
  <c r="AF20" i="2104"/>
  <c r="AB20" i="2104"/>
  <c r="Q20" i="2104"/>
  <c r="P20" i="2104" s="1"/>
  <c r="AC20" i="2104" s="1"/>
  <c r="O20" i="2104"/>
  <c r="M20" i="2104"/>
  <c r="AF19" i="2104"/>
  <c r="Q19" i="2104"/>
  <c r="P19" i="2104" s="1"/>
  <c r="AC19" i="2104" s="1"/>
  <c r="AF18" i="2104"/>
  <c r="Q18" i="2104"/>
  <c r="P18" i="2104"/>
  <c r="AC18" i="2104" s="1"/>
  <c r="O18" i="2104"/>
  <c r="AF17" i="2104"/>
  <c r="Q17" i="2104"/>
  <c r="P17" i="2104"/>
  <c r="AC17" i="2104" s="1"/>
  <c r="O17" i="2104"/>
  <c r="AB17" i="2104"/>
  <c r="AF16" i="2104"/>
  <c r="AB16" i="2104"/>
  <c r="Q16" i="2104"/>
  <c r="P16" i="2104" s="1"/>
  <c r="AC16" i="2104" s="1"/>
  <c r="O16" i="2104"/>
  <c r="M16" i="2104"/>
  <c r="AF15" i="2104"/>
  <c r="Q15" i="2104"/>
  <c r="P15" i="2104"/>
  <c r="AC15" i="2104" s="1"/>
  <c r="O15" i="2104"/>
  <c r="AF14" i="2104"/>
  <c r="AB14" i="2104"/>
  <c r="Q14" i="2104"/>
  <c r="P14" i="2104"/>
  <c r="AC14" i="2104" s="1"/>
  <c r="O14" i="2104"/>
  <c r="M14" i="2104"/>
  <c r="K14" i="2104"/>
  <c r="AF13" i="2104"/>
  <c r="Q13" i="2104"/>
  <c r="P13" i="2104"/>
  <c r="AC13" i="2104" s="1"/>
  <c r="AF12" i="2104"/>
  <c r="Q12" i="2104"/>
  <c r="P12" i="2104"/>
  <c r="AC12" i="2104" s="1"/>
  <c r="AF11" i="2104"/>
  <c r="Q11" i="2104"/>
  <c r="P11" i="2104"/>
  <c r="AC11" i="2104" s="1"/>
  <c r="AB11" i="2104"/>
  <c r="AF10" i="2104"/>
  <c r="Q10" i="2104"/>
  <c r="O10" i="2104"/>
  <c r="AF9" i="2104"/>
  <c r="Q9" i="2104"/>
  <c r="P9" i="2104" s="1"/>
  <c r="AC9" i="2104" s="1"/>
  <c r="O9" i="2104"/>
  <c r="AB9" i="2104"/>
  <c r="AF8" i="2104"/>
  <c r="Q8" i="2104"/>
  <c r="P8" i="2104"/>
  <c r="AC8" i="2104" s="1"/>
  <c r="AF7" i="2104"/>
  <c r="Q7" i="2104"/>
  <c r="P7" i="2104" s="1"/>
  <c r="AC7" i="2104" s="1"/>
  <c r="O7" i="2104"/>
  <c r="AF6" i="2104"/>
  <c r="AB6" i="2104"/>
  <c r="Q6" i="2104"/>
  <c r="P6" i="2104" s="1"/>
  <c r="AC6" i="2104" s="1"/>
  <c r="O6" i="2104"/>
  <c r="M6" i="2104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L22" i="2103"/>
  <c r="K22" i="2103" s="1"/>
  <c r="L21" i="2103"/>
  <c r="K21" i="2103"/>
  <c r="L20" i="2103"/>
  <c r="K20" i="2103" s="1"/>
  <c r="L19" i="2103"/>
  <c r="K19" i="2103" s="1"/>
  <c r="K18" i="2103"/>
  <c r="L17" i="2103"/>
  <c r="AB17" i="2103" s="1"/>
  <c r="L15" i="2103"/>
  <c r="L14" i="2103"/>
  <c r="K14" i="2103" s="1"/>
  <c r="L13" i="2103"/>
  <c r="AB13" i="2103" s="1"/>
  <c r="AF13" i="2103"/>
  <c r="Q13" i="2103"/>
  <c r="P13" i="2103" s="1"/>
  <c r="AC13" i="2103" s="1"/>
  <c r="O13" i="2103"/>
  <c r="M13" i="2103"/>
  <c r="K13" i="2103"/>
  <c r="K12" i="2103"/>
  <c r="L11" i="2103"/>
  <c r="L10" i="2103"/>
  <c r="L9" i="2103"/>
  <c r="K9" i="2103" s="1"/>
  <c r="AF9" i="2103"/>
  <c r="Q9" i="2103"/>
  <c r="L8" i="2103"/>
  <c r="AB8" i="2103" s="1"/>
  <c r="L7" i="2103"/>
  <c r="O7" i="2103" s="1"/>
  <c r="L6" i="2103"/>
  <c r="L23" i="2103"/>
  <c r="K23" i="2103" s="1"/>
  <c r="L29" i="2103"/>
  <c r="K29" i="2103" s="1"/>
  <c r="K24" i="2103"/>
  <c r="K17" i="2103"/>
  <c r="K15" i="2103"/>
  <c r="K10" i="2103"/>
  <c r="A85" i="2103"/>
  <c r="A86" i="2103" s="1"/>
  <c r="A87" i="2103" s="1"/>
  <c r="A88" i="2103" s="1"/>
  <c r="A89" i="2103" s="1"/>
  <c r="A90" i="2103" s="1"/>
  <c r="AF69" i="2103"/>
  <c r="AF68" i="2103"/>
  <c r="AA30" i="2103"/>
  <c r="Z30" i="2103"/>
  <c r="Y30" i="2103"/>
  <c r="X30" i="2103"/>
  <c r="W30" i="2103"/>
  <c r="V30" i="2103"/>
  <c r="U30" i="2103"/>
  <c r="T30" i="2103"/>
  <c r="S30" i="2103"/>
  <c r="R30" i="2103"/>
  <c r="N30" i="2103"/>
  <c r="J30" i="2103"/>
  <c r="I30" i="2103"/>
  <c r="AF29" i="2103"/>
  <c r="Q29" i="2103"/>
  <c r="M29" i="2103"/>
  <c r="AF28" i="2103"/>
  <c r="AB28" i="2103"/>
  <c r="Q28" i="2103"/>
  <c r="P28" i="2103"/>
  <c r="AC28" i="2103" s="1"/>
  <c r="O28" i="2103"/>
  <c r="M28" i="2103"/>
  <c r="K28" i="2103"/>
  <c r="AF27" i="2103"/>
  <c r="AB27" i="2103"/>
  <c r="Q27" i="2103"/>
  <c r="P27" i="2103"/>
  <c r="AC27" i="2103" s="1"/>
  <c r="O27" i="2103"/>
  <c r="M27" i="2103"/>
  <c r="K27" i="2103"/>
  <c r="AF26" i="2103"/>
  <c r="AB26" i="2103"/>
  <c r="Q26" i="2103"/>
  <c r="P26" i="2103"/>
  <c r="AC26" i="2103" s="1"/>
  <c r="O26" i="2103"/>
  <c r="M26" i="2103"/>
  <c r="K26" i="2103"/>
  <c r="AF25" i="2103"/>
  <c r="AB25" i="2103"/>
  <c r="Q25" i="2103"/>
  <c r="P25" i="2103"/>
  <c r="AC25" i="2103" s="1"/>
  <c r="O25" i="2103"/>
  <c r="M25" i="2103"/>
  <c r="K25" i="2103"/>
  <c r="AF24" i="2103"/>
  <c r="Q24" i="2103"/>
  <c r="P24" i="2103"/>
  <c r="AC24" i="2103" s="1"/>
  <c r="AF23" i="2103"/>
  <c r="Q23" i="2103"/>
  <c r="O23" i="2103"/>
  <c r="AF22" i="2103"/>
  <c r="Q22" i="2103"/>
  <c r="P22" i="2103"/>
  <c r="AC22" i="2103" s="1"/>
  <c r="AB22" i="2103"/>
  <c r="AF21" i="2103"/>
  <c r="AB21" i="2103"/>
  <c r="Q21" i="2103"/>
  <c r="O21" i="2103"/>
  <c r="M21" i="2103"/>
  <c r="AF20" i="2103"/>
  <c r="Q20" i="2103"/>
  <c r="P20" i="2103"/>
  <c r="AC20" i="2103" s="1"/>
  <c r="AF19" i="2103"/>
  <c r="AB19" i="2103"/>
  <c r="Q19" i="2103"/>
  <c r="P19" i="2103" s="1"/>
  <c r="AC19" i="2103" s="1"/>
  <c r="O19" i="2103"/>
  <c r="M19" i="2103"/>
  <c r="AF18" i="2103"/>
  <c r="AB18" i="2103"/>
  <c r="Q18" i="2103"/>
  <c r="P18" i="2103" s="1"/>
  <c r="AC18" i="2103" s="1"/>
  <c r="O18" i="2103"/>
  <c r="M18" i="2103"/>
  <c r="AF17" i="2103"/>
  <c r="Q17" i="2103"/>
  <c r="M17" i="2103"/>
  <c r="AF16" i="2103"/>
  <c r="AB16" i="2103"/>
  <c r="Q16" i="2103"/>
  <c r="P16" i="2103"/>
  <c r="AC16" i="2103" s="1"/>
  <c r="O16" i="2103"/>
  <c r="M16" i="2103"/>
  <c r="K16" i="2103"/>
  <c r="AF15" i="2103"/>
  <c r="Q15" i="2103"/>
  <c r="P15" i="2103" s="1"/>
  <c r="AC15" i="2103" s="1"/>
  <c r="O15" i="2103"/>
  <c r="AB15" i="2103"/>
  <c r="AF14" i="2103"/>
  <c r="Q14" i="2103"/>
  <c r="O14" i="2103"/>
  <c r="AF12" i="2103"/>
  <c r="Q12" i="2103"/>
  <c r="P12" i="2103" s="1"/>
  <c r="AC12" i="2103" s="1"/>
  <c r="O12" i="2103"/>
  <c r="AB12" i="2103"/>
  <c r="AF11" i="2103"/>
  <c r="Q11" i="2103"/>
  <c r="AF10" i="2103"/>
  <c r="Q10" i="2103"/>
  <c r="O10" i="2103"/>
  <c r="AF8" i="2103"/>
  <c r="Q8" i="2103"/>
  <c r="O8" i="2103"/>
  <c r="AF7" i="2103"/>
  <c r="Q7" i="2103"/>
  <c r="AF6" i="2103"/>
  <c r="Q6" i="2103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L24" i="2102"/>
  <c r="L23" i="2102"/>
  <c r="K22" i="2102"/>
  <c r="L22" i="2102"/>
  <c r="L21" i="2102"/>
  <c r="L19" i="2102"/>
  <c r="AF19" i="2102"/>
  <c r="Q19" i="2102"/>
  <c r="O19" i="2102"/>
  <c r="M19" i="2102"/>
  <c r="K19" i="2102"/>
  <c r="K20" i="2102"/>
  <c r="L18" i="2102"/>
  <c r="K18" i="2102" s="1"/>
  <c r="AF18" i="2102"/>
  <c r="Q18" i="2102"/>
  <c r="L16" i="2102"/>
  <c r="AB16" i="2102" s="1"/>
  <c r="L14" i="2102"/>
  <c r="K14" i="2102" s="1"/>
  <c r="AF14" i="2102"/>
  <c r="Q14" i="2102"/>
  <c r="L12" i="2102"/>
  <c r="O12" i="2102" s="1"/>
  <c r="L11" i="2102"/>
  <c r="K11" i="2102" s="1"/>
  <c r="L9" i="2102"/>
  <c r="L8" i="2102"/>
  <c r="K8" i="2102" s="1"/>
  <c r="L7" i="2102"/>
  <c r="M7" i="2102" s="1"/>
  <c r="L6" i="2102"/>
  <c r="K6" i="2102" s="1"/>
  <c r="L30" i="2102"/>
  <c r="M30" i="2102" s="1"/>
  <c r="K30" i="2102"/>
  <c r="L25" i="2102"/>
  <c r="K25" i="2102" s="1"/>
  <c r="K17" i="2102"/>
  <c r="K13" i="2102"/>
  <c r="K10" i="2102"/>
  <c r="K9" i="2102"/>
  <c r="A86" i="2102"/>
  <c r="A87" i="2102" s="1"/>
  <c r="A88" i="2102" s="1"/>
  <c r="A89" i="2102" s="1"/>
  <c r="A90" i="2102" s="1"/>
  <c r="A91" i="2102" s="1"/>
  <c r="AF70" i="2102"/>
  <c r="AF69" i="2102"/>
  <c r="AA31" i="2102"/>
  <c r="Z31" i="2102"/>
  <c r="Y31" i="2102"/>
  <c r="X31" i="2102"/>
  <c r="W31" i="2102"/>
  <c r="V31" i="2102"/>
  <c r="U31" i="2102"/>
  <c r="T31" i="2102"/>
  <c r="S31" i="2102"/>
  <c r="R31" i="2102"/>
  <c r="N31" i="2102"/>
  <c r="J31" i="2102"/>
  <c r="I31" i="2102"/>
  <c r="AF30" i="2102"/>
  <c r="AB30" i="2102"/>
  <c r="Q30" i="2102"/>
  <c r="P30" i="2102" s="1"/>
  <c r="AC30" i="2102" s="1"/>
  <c r="O30" i="2102"/>
  <c r="AF29" i="2102"/>
  <c r="AB29" i="2102"/>
  <c r="Q29" i="2102"/>
  <c r="P29" i="2102"/>
  <c r="AC29" i="2102" s="1"/>
  <c r="O29" i="2102"/>
  <c r="M29" i="2102"/>
  <c r="K29" i="2102"/>
  <c r="AF28" i="2102"/>
  <c r="AB28" i="2102"/>
  <c r="Q28" i="2102"/>
  <c r="P28" i="2102"/>
  <c r="AC28" i="2102" s="1"/>
  <c r="O28" i="2102"/>
  <c r="M28" i="2102"/>
  <c r="K28" i="2102"/>
  <c r="AF27" i="2102"/>
  <c r="AB27" i="2102"/>
  <c r="Q27" i="2102"/>
  <c r="P27" i="2102"/>
  <c r="AC27" i="2102" s="1"/>
  <c r="O27" i="2102"/>
  <c r="M27" i="2102"/>
  <c r="K27" i="2102"/>
  <c r="AF26" i="2102"/>
  <c r="AB26" i="2102"/>
  <c r="Q26" i="2102"/>
  <c r="P26" i="2102"/>
  <c r="AC26" i="2102" s="1"/>
  <c r="O26" i="2102"/>
  <c r="M26" i="2102"/>
  <c r="K26" i="2102"/>
  <c r="AF25" i="2102"/>
  <c r="Q25" i="2102"/>
  <c r="M25" i="2102"/>
  <c r="AF24" i="2102"/>
  <c r="AB24" i="2102"/>
  <c r="Q24" i="2102"/>
  <c r="P24" i="2102"/>
  <c r="AC24" i="2102" s="1"/>
  <c r="O24" i="2102"/>
  <c r="M24" i="2102"/>
  <c r="K24" i="2102"/>
  <c r="AF23" i="2102"/>
  <c r="AB23" i="2102"/>
  <c r="Q23" i="2102"/>
  <c r="P23" i="2102" s="1"/>
  <c r="AC23" i="2102" s="1"/>
  <c r="O23" i="2102"/>
  <c r="M23" i="2102"/>
  <c r="K23" i="2102"/>
  <c r="AF22" i="2102"/>
  <c r="AB22" i="2102"/>
  <c r="Q22" i="2102"/>
  <c r="P22" i="2102" s="1"/>
  <c r="AC22" i="2102" s="1"/>
  <c r="O22" i="2102"/>
  <c r="M22" i="2102"/>
  <c r="AF21" i="2102"/>
  <c r="AB21" i="2102"/>
  <c r="Q21" i="2102"/>
  <c r="P21" i="2102"/>
  <c r="AC21" i="2102" s="1"/>
  <c r="O21" i="2102"/>
  <c r="M21" i="2102"/>
  <c r="K21" i="2102"/>
  <c r="AF20" i="2102"/>
  <c r="AB20" i="2102"/>
  <c r="Q20" i="2102"/>
  <c r="P20" i="2102" s="1"/>
  <c r="AC20" i="2102" s="1"/>
  <c r="O20" i="2102"/>
  <c r="M20" i="2102"/>
  <c r="AF17" i="2102"/>
  <c r="AB17" i="2102"/>
  <c r="Q17" i="2102"/>
  <c r="P17" i="2102" s="1"/>
  <c r="AC17" i="2102" s="1"/>
  <c r="O17" i="2102"/>
  <c r="M17" i="2102"/>
  <c r="AF16" i="2102"/>
  <c r="Q16" i="2102"/>
  <c r="M16" i="2102"/>
  <c r="AF15" i="2102"/>
  <c r="AB15" i="2102"/>
  <c r="Q15" i="2102"/>
  <c r="P15" i="2102"/>
  <c r="AC15" i="2102" s="1"/>
  <c r="O15" i="2102"/>
  <c r="M15" i="2102"/>
  <c r="K15" i="2102"/>
  <c r="AF13" i="2102"/>
  <c r="AB13" i="2102"/>
  <c r="Q13" i="2102"/>
  <c r="P13" i="2102"/>
  <c r="AC13" i="2102" s="1"/>
  <c r="O13" i="2102"/>
  <c r="M13" i="2102"/>
  <c r="AF12" i="2102"/>
  <c r="Q12" i="2102"/>
  <c r="AF11" i="2102"/>
  <c r="AB11" i="2102"/>
  <c r="Q11" i="2102"/>
  <c r="P11" i="2102"/>
  <c r="AC11" i="2102" s="1"/>
  <c r="AF10" i="2102"/>
  <c r="Q10" i="2102"/>
  <c r="AB10" i="2102"/>
  <c r="AF9" i="2102"/>
  <c r="Q9" i="2102"/>
  <c r="P9" i="2102" s="1"/>
  <c r="AC9" i="2102" s="1"/>
  <c r="O9" i="2102"/>
  <c r="AF8" i="2102"/>
  <c r="AB8" i="2102"/>
  <c r="Q8" i="2102"/>
  <c r="M8" i="2102"/>
  <c r="AF7" i="2102"/>
  <c r="Q7" i="2102"/>
  <c r="AF6" i="2102"/>
  <c r="AB6" i="2102"/>
  <c r="Q6" i="2102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AD28" i="2107" l="1"/>
  <c r="O7" i="2107"/>
  <c r="K13" i="2107"/>
  <c r="AD21" i="2107"/>
  <c r="AD23" i="2107"/>
  <c r="AD27" i="2107"/>
  <c r="Q29" i="2107"/>
  <c r="AD7" i="2107"/>
  <c r="AD14" i="2107"/>
  <c r="AD19" i="2107"/>
  <c r="AD26" i="2107"/>
  <c r="AD13" i="2107"/>
  <c r="AD16" i="2107"/>
  <c r="AD25" i="2107"/>
  <c r="AD24" i="2107"/>
  <c r="AD9" i="2107"/>
  <c r="AD11" i="2107"/>
  <c r="AD17" i="2107"/>
  <c r="P6" i="2107"/>
  <c r="M8" i="2107"/>
  <c r="AB8" i="2107"/>
  <c r="AD8" i="2107" s="1"/>
  <c r="P10" i="2107"/>
  <c r="AC10" i="2107" s="1"/>
  <c r="P12" i="2107"/>
  <c r="AC12" i="2107" s="1"/>
  <c r="P15" i="2107"/>
  <c r="AC15" i="2107" s="1"/>
  <c r="P18" i="2107"/>
  <c r="AC18" i="2107" s="1"/>
  <c r="M20" i="2107"/>
  <c r="AB20" i="2107"/>
  <c r="AD20" i="2107" s="1"/>
  <c r="P22" i="2107"/>
  <c r="AC22" i="2107" s="1"/>
  <c r="L29" i="2107"/>
  <c r="O29" i="2107" s="1"/>
  <c r="M6" i="2107"/>
  <c r="AB6" i="2107"/>
  <c r="M10" i="2107"/>
  <c r="AB10" i="2107"/>
  <c r="M12" i="2107"/>
  <c r="AB12" i="2107"/>
  <c r="M15" i="2107"/>
  <c r="AB15" i="2107"/>
  <c r="M18" i="2107"/>
  <c r="AB18" i="2107"/>
  <c r="M22" i="2107"/>
  <c r="AB22" i="2107"/>
  <c r="P13" i="2106"/>
  <c r="AC13" i="2106" s="1"/>
  <c r="P30" i="2106"/>
  <c r="AC30" i="2106" s="1"/>
  <c r="K30" i="2106"/>
  <c r="AB16" i="2106"/>
  <c r="AB13" i="2106"/>
  <c r="P16" i="2106"/>
  <c r="AC16" i="2106" s="1"/>
  <c r="O13" i="2106"/>
  <c r="O16" i="2106"/>
  <c r="K16" i="2106"/>
  <c r="K23" i="2106"/>
  <c r="O21" i="2106"/>
  <c r="P21" i="2106"/>
  <c r="AC21" i="2106" s="1"/>
  <c r="AD21" i="2106" s="1"/>
  <c r="AB21" i="2106"/>
  <c r="P19" i="2106"/>
  <c r="AC19" i="2106" s="1"/>
  <c r="AD19" i="2106" s="1"/>
  <c r="O19" i="2106"/>
  <c r="AB17" i="2106"/>
  <c r="K31" i="2106"/>
  <c r="P17" i="2106"/>
  <c r="AC17" i="2106" s="1"/>
  <c r="M17" i="2106"/>
  <c r="AD16" i="2106"/>
  <c r="AB14" i="2106"/>
  <c r="P10" i="2106"/>
  <c r="AC10" i="2106" s="1"/>
  <c r="AD28" i="2106"/>
  <c r="AD11" i="2106"/>
  <c r="AD15" i="2106"/>
  <c r="M6" i="2106"/>
  <c r="AD24" i="2106"/>
  <c r="AF72" i="2106"/>
  <c r="Q31" i="2106"/>
  <c r="P6" i="2106"/>
  <c r="AC6" i="2106" s="1"/>
  <c r="AD6" i="2106" s="1"/>
  <c r="L31" i="2106"/>
  <c r="O31" i="2106" s="1"/>
  <c r="AD7" i="2106"/>
  <c r="AD26" i="2106"/>
  <c r="AD29" i="2106"/>
  <c r="AD10" i="2106"/>
  <c r="AD27" i="2106"/>
  <c r="AD8" i="2106"/>
  <c r="AD13" i="2106"/>
  <c r="M9" i="2106"/>
  <c r="AB9" i="2106"/>
  <c r="M12" i="2106"/>
  <c r="AB12" i="2106"/>
  <c r="P14" i="2106"/>
  <c r="AC14" i="2106" s="1"/>
  <c r="O18" i="2106"/>
  <c r="AD18" i="2106" s="1"/>
  <c r="M20" i="2106"/>
  <c r="AB20" i="2106"/>
  <c r="O22" i="2106"/>
  <c r="AD22" i="2106" s="1"/>
  <c r="P23" i="2106"/>
  <c r="AC23" i="2106" s="1"/>
  <c r="AD23" i="2106" s="1"/>
  <c r="M25" i="2106"/>
  <c r="AB25" i="2106"/>
  <c r="O30" i="2106"/>
  <c r="AD30" i="2106" s="1"/>
  <c r="O9" i="2106"/>
  <c r="AD9" i="2106" s="1"/>
  <c r="O12" i="2106"/>
  <c r="O20" i="2106"/>
  <c r="O25" i="2106"/>
  <c r="M14" i="2106"/>
  <c r="M23" i="2106"/>
  <c r="AD24" i="2105"/>
  <c r="O19" i="2105"/>
  <c r="P19" i="2105"/>
  <c r="AC19" i="2105" s="1"/>
  <c r="O13" i="2105"/>
  <c r="M7" i="2105"/>
  <c r="P10" i="2105"/>
  <c r="AC10" i="2105" s="1"/>
  <c r="P21" i="2105"/>
  <c r="AC21" i="2105" s="1"/>
  <c r="K22" i="2105"/>
  <c r="P22" i="2105"/>
  <c r="AC22" i="2105" s="1"/>
  <c r="AD22" i="2105" s="1"/>
  <c r="AB21" i="2105"/>
  <c r="AB13" i="2105"/>
  <c r="M21" i="2105"/>
  <c r="K13" i="2105"/>
  <c r="M22" i="2105"/>
  <c r="AB19" i="2105"/>
  <c r="AD19" i="2105" s="1"/>
  <c r="M14" i="2105"/>
  <c r="AB14" i="2105"/>
  <c r="O14" i="2105"/>
  <c r="M11" i="2105"/>
  <c r="P14" i="2105"/>
  <c r="AC14" i="2105" s="1"/>
  <c r="P13" i="2105"/>
  <c r="AC13" i="2105" s="1"/>
  <c r="P11" i="2105"/>
  <c r="AC11" i="2105" s="1"/>
  <c r="O11" i="2105"/>
  <c r="AB11" i="2105"/>
  <c r="AD16" i="2105"/>
  <c r="AD20" i="2105"/>
  <c r="AD26" i="2105"/>
  <c r="AF74" i="2105"/>
  <c r="K10" i="2105"/>
  <c r="AD9" i="2105"/>
  <c r="AD8" i="2105"/>
  <c r="AD30" i="2105"/>
  <c r="K7" i="2105"/>
  <c r="P27" i="2105"/>
  <c r="AC27" i="2105" s="1"/>
  <c r="L33" i="2105"/>
  <c r="O33" i="2105" s="1"/>
  <c r="P7" i="2105"/>
  <c r="AC7" i="2105" s="1"/>
  <c r="AD7" i="2105" s="1"/>
  <c r="AB27" i="2105"/>
  <c r="K27" i="2105"/>
  <c r="O27" i="2105"/>
  <c r="AD15" i="2105"/>
  <c r="AD29" i="2105"/>
  <c r="AD28" i="2105"/>
  <c r="AD31" i="2105"/>
  <c r="AC6" i="2105"/>
  <c r="AD11" i="2105"/>
  <c r="O7" i="2105"/>
  <c r="M10" i="2105"/>
  <c r="AB10" i="2105"/>
  <c r="P12" i="2105"/>
  <c r="AC12" i="2105" s="1"/>
  <c r="M17" i="2105"/>
  <c r="AB17" i="2105"/>
  <c r="O18" i="2105"/>
  <c r="AD18" i="2105" s="1"/>
  <c r="M23" i="2105"/>
  <c r="AB23" i="2105"/>
  <c r="O25" i="2105"/>
  <c r="AD25" i="2105" s="1"/>
  <c r="M32" i="2105"/>
  <c r="AB32" i="2105"/>
  <c r="O17" i="2105"/>
  <c r="O23" i="2105"/>
  <c r="M27" i="2105"/>
  <c r="O32" i="2105"/>
  <c r="Q33" i="2105"/>
  <c r="M12" i="2105"/>
  <c r="AB12" i="2105"/>
  <c r="K21" i="2104"/>
  <c r="K28" i="2104" s="1"/>
  <c r="K12" i="2104"/>
  <c r="K11" i="2104"/>
  <c r="AD23" i="2104"/>
  <c r="M27" i="2104"/>
  <c r="AB27" i="2104"/>
  <c r="K27" i="2104"/>
  <c r="P10" i="2104"/>
  <c r="AC10" i="2104" s="1"/>
  <c r="AD16" i="2104"/>
  <c r="AD20" i="2104"/>
  <c r="AD26" i="2104"/>
  <c r="AD25" i="2104"/>
  <c r="AD6" i="2104"/>
  <c r="Q28" i="2104"/>
  <c r="O22" i="2104"/>
  <c r="AD22" i="2104" s="1"/>
  <c r="AD24" i="2104"/>
  <c r="AD14" i="2104"/>
  <c r="AD27" i="2104"/>
  <c r="AD9" i="2104"/>
  <c r="AD11" i="2104"/>
  <c r="AD17" i="2104"/>
  <c r="M13" i="2104"/>
  <c r="AB13" i="2104"/>
  <c r="M19" i="2104"/>
  <c r="AB19" i="2104"/>
  <c r="P21" i="2104"/>
  <c r="AC21" i="2104" s="1"/>
  <c r="AD21" i="2104" s="1"/>
  <c r="M8" i="2104"/>
  <c r="M7" i="2104"/>
  <c r="AB7" i="2104"/>
  <c r="O8" i="2104"/>
  <c r="M10" i="2104"/>
  <c r="AB10" i="2104"/>
  <c r="AD10" i="2104" s="1"/>
  <c r="M12" i="2104"/>
  <c r="AB12" i="2104"/>
  <c r="AD12" i="2104" s="1"/>
  <c r="O13" i="2104"/>
  <c r="M15" i="2104"/>
  <c r="AB15" i="2104"/>
  <c r="AD15" i="2104" s="1"/>
  <c r="M18" i="2104"/>
  <c r="AB18" i="2104"/>
  <c r="AD18" i="2104" s="1"/>
  <c r="O19" i="2104"/>
  <c r="L28" i="2104"/>
  <c r="O28" i="2104" s="1"/>
  <c r="AB8" i="2104"/>
  <c r="AD8" i="2104" s="1"/>
  <c r="M9" i="2104"/>
  <c r="M11" i="2104"/>
  <c r="M17" i="2104"/>
  <c r="O22" i="2103"/>
  <c r="P21" i="2103"/>
  <c r="AC21" i="2103" s="1"/>
  <c r="O17" i="2103"/>
  <c r="M7" i="2103"/>
  <c r="P14" i="2103"/>
  <c r="AC14" i="2103" s="1"/>
  <c r="P17" i="2103"/>
  <c r="AC17" i="2103" s="1"/>
  <c r="AD17" i="2103" s="1"/>
  <c r="P7" i="2103"/>
  <c r="AC7" i="2103" s="1"/>
  <c r="P29" i="2103"/>
  <c r="AC29" i="2103" s="1"/>
  <c r="AB7" i="2103"/>
  <c r="AD7" i="2103" s="1"/>
  <c r="P9" i="2103"/>
  <c r="AC9" i="2103" s="1"/>
  <c r="P11" i="2103"/>
  <c r="AC11" i="2103" s="1"/>
  <c r="AB29" i="2103"/>
  <c r="K7" i="2103"/>
  <c r="AD13" i="2103"/>
  <c r="AB11" i="2103"/>
  <c r="K11" i="2103"/>
  <c r="O11" i="2103"/>
  <c r="AD11" i="2103" s="1"/>
  <c r="AF71" i="2103"/>
  <c r="M11" i="2103"/>
  <c r="P10" i="2103"/>
  <c r="AC10" i="2103" s="1"/>
  <c r="AB9" i="2103"/>
  <c r="O9" i="2103"/>
  <c r="AD18" i="2103"/>
  <c r="P23" i="2103"/>
  <c r="AC23" i="2103" s="1"/>
  <c r="P6" i="2103"/>
  <c r="AC6" i="2103" s="1"/>
  <c r="K6" i="2103"/>
  <c r="P8" i="2103"/>
  <c r="AC8" i="2103" s="1"/>
  <c r="AD8" i="2103" s="1"/>
  <c r="AD19" i="2103"/>
  <c r="K8" i="2103"/>
  <c r="M9" i="2103"/>
  <c r="Q30" i="2103"/>
  <c r="O29" i="2103"/>
  <c r="AD26" i="2103"/>
  <c r="AD21" i="2103"/>
  <c r="AD27" i="2103"/>
  <c r="AD16" i="2103"/>
  <c r="AD25" i="2103"/>
  <c r="AD28" i="2103"/>
  <c r="AD12" i="2103"/>
  <c r="AD15" i="2103"/>
  <c r="AD22" i="2103"/>
  <c r="L30" i="2103"/>
  <c r="O30" i="2103" s="1"/>
  <c r="AB6" i="2103"/>
  <c r="M20" i="2103"/>
  <c r="AB20" i="2103"/>
  <c r="M24" i="2103"/>
  <c r="AB24" i="2103"/>
  <c r="M6" i="2103"/>
  <c r="O20" i="2103"/>
  <c r="M23" i="2103"/>
  <c r="AB23" i="2103"/>
  <c r="O24" i="2103"/>
  <c r="O6" i="2103"/>
  <c r="M10" i="2103"/>
  <c r="AB10" i="2103"/>
  <c r="M14" i="2103"/>
  <c r="AB14" i="2103"/>
  <c r="AD14" i="2103" s="1"/>
  <c r="M8" i="2103"/>
  <c r="M12" i="2103"/>
  <c r="M15" i="2103"/>
  <c r="M22" i="2103"/>
  <c r="P19" i="2102"/>
  <c r="AC19" i="2102" s="1"/>
  <c r="AB19" i="2102"/>
  <c r="P12" i="2102"/>
  <c r="AC12" i="2102" s="1"/>
  <c r="O16" i="2102"/>
  <c r="M18" i="2102"/>
  <c r="AB18" i="2102"/>
  <c r="AD18" i="2102" s="1"/>
  <c r="K7" i="2102"/>
  <c r="K16" i="2102"/>
  <c r="O18" i="2102"/>
  <c r="AF72" i="2102"/>
  <c r="P18" i="2102"/>
  <c r="AC18" i="2102" s="1"/>
  <c r="AB12" i="2102"/>
  <c r="M14" i="2102"/>
  <c r="O8" i="2102"/>
  <c r="P16" i="2102"/>
  <c r="AC16" i="2102" s="1"/>
  <c r="AD16" i="2102" s="1"/>
  <c r="O25" i="2102"/>
  <c r="AD25" i="2102" s="1"/>
  <c r="O7" i="2102"/>
  <c r="P8" i="2102"/>
  <c r="AC8" i="2102" s="1"/>
  <c r="AD8" i="2102" s="1"/>
  <c r="K12" i="2102"/>
  <c r="AB14" i="2102"/>
  <c r="P14" i="2102"/>
  <c r="AC14" i="2102" s="1"/>
  <c r="O14" i="2102"/>
  <c r="M11" i="2102"/>
  <c r="AD29" i="2102"/>
  <c r="O6" i="2102"/>
  <c r="L31" i="2102"/>
  <c r="O31" i="2102" s="1"/>
  <c r="AB7" i="2102"/>
  <c r="O11" i="2102"/>
  <c r="AD11" i="2102" s="1"/>
  <c r="M12" i="2102"/>
  <c r="P25" i="2102"/>
  <c r="AC25" i="2102" s="1"/>
  <c r="AD28" i="2102"/>
  <c r="M6" i="2102"/>
  <c r="AD20" i="2102"/>
  <c r="AB25" i="2102"/>
  <c r="AD27" i="2102"/>
  <c r="AD13" i="2102"/>
  <c r="AD12" i="2102"/>
  <c r="AD26" i="2102"/>
  <c r="AD17" i="2102"/>
  <c r="AD30" i="2102"/>
  <c r="Q31" i="2102"/>
  <c r="AD22" i="2102"/>
  <c r="AD23" i="2102"/>
  <c r="AD15" i="2102"/>
  <c r="AD21" i="2102"/>
  <c r="AD24" i="2102"/>
  <c r="K31" i="2102"/>
  <c r="P7" i="2102"/>
  <c r="AC7" i="2102" s="1"/>
  <c r="M9" i="2102"/>
  <c r="AB9" i="2102"/>
  <c r="AD9" i="2102" s="1"/>
  <c r="O10" i="2102"/>
  <c r="M10" i="2102"/>
  <c r="P6" i="2102"/>
  <c r="P10" i="2102"/>
  <c r="AC10" i="2102" s="1"/>
  <c r="K19" i="2101"/>
  <c r="L18" i="2101"/>
  <c r="M18" i="2101" s="1"/>
  <c r="K18" i="2101"/>
  <c r="L17" i="2101"/>
  <c r="K17" i="2101" s="1"/>
  <c r="L15" i="2101"/>
  <c r="O15" i="2101" s="1"/>
  <c r="K15" i="2101"/>
  <c r="L14" i="2101"/>
  <c r="L11" i="2101"/>
  <c r="K11" i="2101" s="1"/>
  <c r="L13" i="2101"/>
  <c r="AB13" i="2101" s="1"/>
  <c r="L10" i="2101"/>
  <c r="L9" i="2101"/>
  <c r="K9" i="2101" s="1"/>
  <c r="L8" i="2101"/>
  <c r="AB8" i="2101" s="1"/>
  <c r="L7" i="2101"/>
  <c r="O7" i="2101" s="1"/>
  <c r="L24" i="2101"/>
  <c r="K24" i="2101"/>
  <c r="K23" i="2101"/>
  <c r="K22" i="2101"/>
  <c r="K20" i="2101"/>
  <c r="K14" i="2101"/>
  <c r="K12" i="2101"/>
  <c r="A85" i="2101"/>
  <c r="A86" i="2101" s="1"/>
  <c r="A87" i="2101" s="1"/>
  <c r="A88" i="2101" s="1"/>
  <c r="A89" i="2101" s="1"/>
  <c r="A90" i="2101" s="1"/>
  <c r="AF69" i="2101"/>
  <c r="AF68" i="2101"/>
  <c r="AF71" i="2101" s="1"/>
  <c r="AA30" i="2101"/>
  <c r="Z30" i="2101"/>
  <c r="Y30" i="2101"/>
  <c r="X30" i="2101"/>
  <c r="W30" i="2101"/>
  <c r="V30" i="2101"/>
  <c r="U30" i="2101"/>
  <c r="T30" i="2101"/>
  <c r="S30" i="2101"/>
  <c r="R30" i="2101"/>
  <c r="N30" i="2101"/>
  <c r="J30" i="2101"/>
  <c r="I30" i="2101"/>
  <c r="AF29" i="2101"/>
  <c r="AB29" i="2101"/>
  <c r="Q29" i="2101"/>
  <c r="P29" i="2101"/>
  <c r="AC29" i="2101" s="1"/>
  <c r="O29" i="2101"/>
  <c r="M29" i="2101"/>
  <c r="K29" i="2101"/>
  <c r="AF28" i="2101"/>
  <c r="AB28" i="2101"/>
  <c r="Q28" i="2101"/>
  <c r="P28" i="2101"/>
  <c r="AC28" i="2101" s="1"/>
  <c r="O28" i="2101"/>
  <c r="M28" i="2101"/>
  <c r="K28" i="2101"/>
  <c r="AF27" i="2101"/>
  <c r="AB27" i="2101"/>
  <c r="Q27" i="2101"/>
  <c r="P27" i="2101"/>
  <c r="AC27" i="2101" s="1"/>
  <c r="O27" i="2101"/>
  <c r="M27" i="2101"/>
  <c r="K27" i="2101"/>
  <c r="AF26" i="2101"/>
  <c r="AC26" i="2101"/>
  <c r="AB26" i="2101"/>
  <c r="Q26" i="2101"/>
  <c r="P26" i="2101"/>
  <c r="O26" i="2101"/>
  <c r="M26" i="2101"/>
  <c r="K26" i="2101"/>
  <c r="AF25" i="2101"/>
  <c r="AB25" i="2101"/>
  <c r="Q25" i="2101"/>
  <c r="P25" i="2101"/>
  <c r="AC25" i="2101" s="1"/>
  <c r="O25" i="2101"/>
  <c r="M25" i="2101"/>
  <c r="K25" i="2101"/>
  <c r="AF24" i="2101"/>
  <c r="AB24" i="2101"/>
  <c r="Q24" i="2101"/>
  <c r="P24" i="2101" s="1"/>
  <c r="AC24" i="2101" s="1"/>
  <c r="O24" i="2101"/>
  <c r="M24" i="2101"/>
  <c r="AF23" i="2101"/>
  <c r="Q23" i="2101"/>
  <c r="P23" i="2101"/>
  <c r="AC23" i="2101" s="1"/>
  <c r="AF22" i="2101"/>
  <c r="Q22" i="2101"/>
  <c r="P22" i="2101"/>
  <c r="AC22" i="2101" s="1"/>
  <c r="O22" i="2101"/>
  <c r="AF21" i="2101"/>
  <c r="AB21" i="2101"/>
  <c r="Q21" i="2101"/>
  <c r="P21" i="2101"/>
  <c r="AC21" i="2101" s="1"/>
  <c r="O21" i="2101"/>
  <c r="M21" i="2101"/>
  <c r="K21" i="2101"/>
  <c r="AF20" i="2101"/>
  <c r="Q20" i="2101"/>
  <c r="AB20" i="2101"/>
  <c r="AF19" i="2101"/>
  <c r="AB19" i="2101"/>
  <c r="Q19" i="2101"/>
  <c r="P19" i="2101" s="1"/>
  <c r="AC19" i="2101" s="1"/>
  <c r="O19" i="2101"/>
  <c r="M19" i="2101"/>
  <c r="AF18" i="2101"/>
  <c r="AB18" i="2101"/>
  <c r="Q18" i="2101"/>
  <c r="P18" i="2101" s="1"/>
  <c r="AC18" i="2101" s="1"/>
  <c r="O18" i="2101"/>
  <c r="AF17" i="2101"/>
  <c r="Q17" i="2101"/>
  <c r="O17" i="2101"/>
  <c r="AB17" i="2101"/>
  <c r="AF16" i="2101"/>
  <c r="AC16" i="2101"/>
  <c r="AB16" i="2101"/>
  <c r="Q16" i="2101"/>
  <c r="P16" i="2101"/>
  <c r="O16" i="2101"/>
  <c r="M16" i="2101"/>
  <c r="K16" i="2101"/>
  <c r="AF15" i="2101"/>
  <c r="Q15" i="2101"/>
  <c r="P15" i="2101" s="1"/>
  <c r="AC15" i="2101" s="1"/>
  <c r="AF14" i="2101"/>
  <c r="Q14" i="2101"/>
  <c r="P14" i="2101" s="1"/>
  <c r="AC14" i="2101" s="1"/>
  <c r="O14" i="2101"/>
  <c r="AB14" i="2101"/>
  <c r="AF13" i="2101"/>
  <c r="Q13" i="2101"/>
  <c r="M13" i="2101"/>
  <c r="AF12" i="2101"/>
  <c r="AB12" i="2101"/>
  <c r="Q12" i="2101"/>
  <c r="P12" i="2101" s="1"/>
  <c r="AC12" i="2101" s="1"/>
  <c r="O12" i="2101"/>
  <c r="M12" i="2101"/>
  <c r="AF11" i="2101"/>
  <c r="AB11" i="2101"/>
  <c r="Q11" i="2101"/>
  <c r="AF10" i="2101"/>
  <c r="AB10" i="2101"/>
  <c r="Q10" i="2101"/>
  <c r="P10" i="2101" s="1"/>
  <c r="AC10" i="2101" s="1"/>
  <c r="O10" i="2101"/>
  <c r="M10" i="2101"/>
  <c r="K10" i="2101"/>
  <c r="AF9" i="2101"/>
  <c r="Q9" i="2101"/>
  <c r="O9" i="2101"/>
  <c r="M9" i="2101"/>
  <c r="AF8" i="2101"/>
  <c r="Q8" i="2101"/>
  <c r="AF7" i="2101"/>
  <c r="Q7" i="2101"/>
  <c r="P7" i="2101" s="1"/>
  <c r="AC7" i="2101" s="1"/>
  <c r="AF6" i="2101"/>
  <c r="AB6" i="2101"/>
  <c r="Q6" i="2101"/>
  <c r="O6" i="2101"/>
  <c r="M6" i="2101"/>
  <c r="K6" i="2101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L25" i="2100"/>
  <c r="L24" i="2100"/>
  <c r="L22" i="2100"/>
  <c r="K21" i="2100"/>
  <c r="AF19" i="2100"/>
  <c r="Q19" i="2100"/>
  <c r="O19" i="2100"/>
  <c r="AB19" i="2100"/>
  <c r="L20" i="2100"/>
  <c r="K20" i="2100" s="1"/>
  <c r="L18" i="2100"/>
  <c r="L16" i="2100"/>
  <c r="K16" i="2100" s="1"/>
  <c r="L15" i="2100"/>
  <c r="L14" i="2100"/>
  <c r="M14" i="2100" s="1"/>
  <c r="AF14" i="2100"/>
  <c r="Q14" i="2100"/>
  <c r="K14" i="2100"/>
  <c r="AF13" i="2100"/>
  <c r="AB13" i="2100"/>
  <c r="Q13" i="2100"/>
  <c r="P13" i="2100" s="1"/>
  <c r="AC13" i="2100" s="1"/>
  <c r="O13" i="2100"/>
  <c r="M13" i="2100"/>
  <c r="K13" i="2100"/>
  <c r="K12" i="2100"/>
  <c r="AB29" i="2107" l="1"/>
  <c r="AD22" i="2107"/>
  <c r="AD18" i="2107"/>
  <c r="AD15" i="2107"/>
  <c r="AD10" i="2107"/>
  <c r="AC6" i="2107"/>
  <c r="P29" i="2107"/>
  <c r="M29" i="2107"/>
  <c r="AD12" i="2107"/>
  <c r="K29" i="2107"/>
  <c r="AD17" i="2106"/>
  <c r="AD14" i="2106"/>
  <c r="AD25" i="2106"/>
  <c r="M31" i="2106"/>
  <c r="AD20" i="2106"/>
  <c r="AD12" i="2106"/>
  <c r="P31" i="2106"/>
  <c r="AB31" i="2106"/>
  <c r="AC31" i="2106"/>
  <c r="AD21" i="2105"/>
  <c r="AD14" i="2105"/>
  <c r="AD17" i="2105"/>
  <c r="AD13" i="2105"/>
  <c r="K33" i="2105"/>
  <c r="AD27" i="2105"/>
  <c r="M33" i="2105"/>
  <c r="AD23" i="2105"/>
  <c r="AD32" i="2105"/>
  <c r="AB33" i="2105"/>
  <c r="AD10" i="2105"/>
  <c r="P33" i="2105"/>
  <c r="AD12" i="2105"/>
  <c r="AD6" i="2105"/>
  <c r="AC33" i="2105"/>
  <c r="M28" i="2104"/>
  <c r="AD19" i="2104"/>
  <c r="AC28" i="2104"/>
  <c r="AD13" i="2104"/>
  <c r="AB28" i="2104"/>
  <c r="AD7" i="2104"/>
  <c r="P28" i="2104"/>
  <c r="AD23" i="2103"/>
  <c r="AD29" i="2103"/>
  <c r="AD9" i="2103"/>
  <c r="AD10" i="2103"/>
  <c r="P30" i="2103"/>
  <c r="AD24" i="2103"/>
  <c r="AD20" i="2103"/>
  <c r="K30" i="2103"/>
  <c r="M30" i="2103"/>
  <c r="AD6" i="2103"/>
  <c r="K3" i="16" s="1"/>
  <c r="AC30" i="2103"/>
  <c r="AB30" i="2103"/>
  <c r="AD19" i="2102"/>
  <c r="AD7" i="2102"/>
  <c r="AD14" i="2102"/>
  <c r="M31" i="2102"/>
  <c r="AD10" i="2102"/>
  <c r="AB31" i="2102"/>
  <c r="P31" i="2102"/>
  <c r="AC6" i="2102"/>
  <c r="K13" i="2101"/>
  <c r="M7" i="2101"/>
  <c r="P13" i="2101"/>
  <c r="AC13" i="2101" s="1"/>
  <c r="AD13" i="2101" s="1"/>
  <c r="P17" i="2101"/>
  <c r="AC17" i="2101" s="1"/>
  <c r="AD26" i="2101"/>
  <c r="AD28" i="2101"/>
  <c r="K7" i="2101"/>
  <c r="AB7" i="2101"/>
  <c r="AD7" i="2101" s="1"/>
  <c r="O13" i="2101"/>
  <c r="AD29" i="2101"/>
  <c r="M11" i="2101"/>
  <c r="K8" i="2101"/>
  <c r="L30" i="2101"/>
  <c r="O30" i="2101" s="1"/>
  <c r="O11" i="2101"/>
  <c r="P11" i="2101"/>
  <c r="AC11" i="2101" s="1"/>
  <c r="AD11" i="2101" s="1"/>
  <c r="P9" i="2101"/>
  <c r="AC9" i="2101" s="1"/>
  <c r="AB9" i="2101"/>
  <c r="AD27" i="2101"/>
  <c r="AD21" i="2101"/>
  <c r="AD25" i="2101"/>
  <c r="Q30" i="2101"/>
  <c r="P6" i="2101"/>
  <c r="AC6" i="2101" s="1"/>
  <c r="AD6" i="2101" s="1"/>
  <c r="AD16" i="2101"/>
  <c r="AD10" i="2101"/>
  <c r="AD18" i="2101"/>
  <c r="AD19" i="2101"/>
  <c r="AD12" i="2101"/>
  <c r="AD24" i="2101"/>
  <c r="AD14" i="2101"/>
  <c r="AD17" i="2101"/>
  <c r="M20" i="2101"/>
  <c r="M23" i="2101"/>
  <c r="AB23" i="2101"/>
  <c r="O8" i="2101"/>
  <c r="M15" i="2101"/>
  <c r="AB15" i="2101"/>
  <c r="AD15" i="2101" s="1"/>
  <c r="O20" i="2101"/>
  <c r="M22" i="2101"/>
  <c r="AB22" i="2101"/>
  <c r="AD22" i="2101" s="1"/>
  <c r="O23" i="2101"/>
  <c r="M8" i="2101"/>
  <c r="K30" i="2101"/>
  <c r="P8" i="2101"/>
  <c r="AC8" i="2101" s="1"/>
  <c r="M14" i="2101"/>
  <c r="M17" i="2101"/>
  <c r="P20" i="2101"/>
  <c r="AC20" i="2101" s="1"/>
  <c r="O14" i="2100"/>
  <c r="K19" i="2100"/>
  <c r="P19" i="2100"/>
  <c r="AC19" i="2100" s="1"/>
  <c r="AD19" i="2100" s="1"/>
  <c r="M19" i="2100"/>
  <c r="P14" i="2100"/>
  <c r="AC14" i="2100" s="1"/>
  <c r="AB14" i="2100"/>
  <c r="AD13" i="2100"/>
  <c r="AC29" i="2107" l="1"/>
  <c r="AD6" i="2107"/>
  <c r="AD29" i="2107" s="1"/>
  <c r="AD31" i="2106"/>
  <c r="AE16" i="2106" s="1"/>
  <c r="AD33" i="2105"/>
  <c r="AE24" i="2105" s="1"/>
  <c r="AD28" i="2104"/>
  <c r="AE27" i="2104" s="1"/>
  <c r="AD30" i="2103"/>
  <c r="AE29" i="2103" s="1"/>
  <c r="AC31" i="2102"/>
  <c r="AD6" i="2102"/>
  <c r="AD31" i="2102" s="1"/>
  <c r="AE19" i="2102" s="1"/>
  <c r="AD8" i="2101"/>
  <c r="AD9" i="2101"/>
  <c r="AD23" i="2101"/>
  <c r="AD20" i="2101"/>
  <c r="AD30" i="2101" s="1"/>
  <c r="M30" i="2101"/>
  <c r="AB30" i="2101"/>
  <c r="P30" i="2101"/>
  <c r="AC30" i="2101"/>
  <c r="AD14" i="2100"/>
  <c r="AE28" i="2107" l="1"/>
  <c r="AE20" i="2107"/>
  <c r="AE8" i="2107"/>
  <c r="AE18" i="2107"/>
  <c r="AE15" i="2107"/>
  <c r="AE26" i="2107"/>
  <c r="AE24" i="2107"/>
  <c r="AE21" i="2107"/>
  <c r="AE17" i="2107"/>
  <c r="AE14" i="2107"/>
  <c r="AE11" i="2107"/>
  <c r="AE9" i="2107"/>
  <c r="AE22" i="2107"/>
  <c r="AE10" i="2107"/>
  <c r="AE6" i="2107"/>
  <c r="AE27" i="2107"/>
  <c r="AE25" i="2107"/>
  <c r="AE23" i="2107"/>
  <c r="AE19" i="2107"/>
  <c r="AE16" i="2107"/>
  <c r="AE13" i="2107"/>
  <c r="AE7" i="2107"/>
  <c r="AE12" i="2107"/>
  <c r="AE15" i="2106"/>
  <c r="AE19" i="2106"/>
  <c r="AE8" i="2106"/>
  <c r="AE20" i="2106"/>
  <c r="AE24" i="2106"/>
  <c r="AE30" i="2106"/>
  <c r="AE9" i="2106"/>
  <c r="AE7" i="2106"/>
  <c r="AE6" i="2106"/>
  <c r="AE26" i="2106"/>
  <c r="AE13" i="2106"/>
  <c r="AE17" i="2106"/>
  <c r="AE27" i="2106"/>
  <c r="AE21" i="2106"/>
  <c r="AE22" i="2106"/>
  <c r="AE29" i="2106"/>
  <c r="AE23" i="2106"/>
  <c r="AE10" i="2106"/>
  <c r="AE12" i="2106"/>
  <c r="AE25" i="2106"/>
  <c r="AE11" i="2106"/>
  <c r="AE14" i="2106"/>
  <c r="AE28" i="2106"/>
  <c r="AE18" i="2106"/>
  <c r="AE19" i="2105"/>
  <c r="AE22" i="2105"/>
  <c r="AE9" i="2105"/>
  <c r="AE13" i="2105"/>
  <c r="AE32" i="2105"/>
  <c r="AE23" i="2105"/>
  <c r="AE17" i="2105"/>
  <c r="AE10" i="2105"/>
  <c r="AE6" i="2105"/>
  <c r="AE30" i="2105"/>
  <c r="AE28" i="2105"/>
  <c r="AE25" i="2105"/>
  <c r="AE18" i="2105"/>
  <c r="AE15" i="2105"/>
  <c r="AE11" i="2105"/>
  <c r="AE7" i="2105"/>
  <c r="AE12" i="2105"/>
  <c r="AE26" i="2105"/>
  <c r="AE20" i="2105"/>
  <c r="AE31" i="2105"/>
  <c r="AE29" i="2105"/>
  <c r="AE27" i="2105"/>
  <c r="AE21" i="2105"/>
  <c r="AE16" i="2105"/>
  <c r="AE14" i="2105"/>
  <c r="AE8" i="2105"/>
  <c r="AE10" i="2104"/>
  <c r="AE26" i="2104"/>
  <c r="AE11" i="2104"/>
  <c r="AE23" i="2104"/>
  <c r="AE19" i="2104"/>
  <c r="AE12" i="2104"/>
  <c r="AE7" i="2104"/>
  <c r="AE14" i="2104"/>
  <c r="AE25" i="2104"/>
  <c r="AE22" i="2104"/>
  <c r="AE16" i="2104"/>
  <c r="AE15" i="2104"/>
  <c r="AE6" i="2104"/>
  <c r="AE17" i="2104"/>
  <c r="AE8" i="2104"/>
  <c r="AE24" i="2104"/>
  <c r="AE20" i="2104"/>
  <c r="AE18" i="2104"/>
  <c r="AE9" i="2104"/>
  <c r="AE21" i="2104"/>
  <c r="AE13" i="2104"/>
  <c r="AE15" i="2103"/>
  <c r="AE14" i="2103"/>
  <c r="AE22" i="2103"/>
  <c r="AE18" i="2103"/>
  <c r="AE25" i="2103"/>
  <c r="AE7" i="2103"/>
  <c r="AE23" i="2103"/>
  <c r="AE17" i="2103"/>
  <c r="AE26" i="2103"/>
  <c r="AE16" i="2103"/>
  <c r="AE28" i="2103"/>
  <c r="AE19" i="2103"/>
  <c r="AE20" i="2103"/>
  <c r="AE27" i="2103"/>
  <c r="AE8" i="2103"/>
  <c r="AE11" i="2103"/>
  <c r="AE21" i="2103"/>
  <c r="AE24" i="2103"/>
  <c r="AE10" i="2103"/>
  <c r="AE6" i="2103"/>
  <c r="AE12" i="2103"/>
  <c r="AE9" i="2103"/>
  <c r="AE13" i="2103"/>
  <c r="AE14" i="2102"/>
  <c r="AE18" i="2102"/>
  <c r="AE30" i="2102"/>
  <c r="AE28" i="2102"/>
  <c r="AE26" i="2102"/>
  <c r="AE15" i="2102"/>
  <c r="AE24" i="2102"/>
  <c r="AE22" i="2102"/>
  <c r="AE29" i="2102"/>
  <c r="AE27" i="2102"/>
  <c r="AE25" i="2102"/>
  <c r="AE16" i="2102"/>
  <c r="AE12" i="2102"/>
  <c r="AE11" i="2102"/>
  <c r="AE7" i="2102"/>
  <c r="AE20" i="2102"/>
  <c r="AE10" i="2102"/>
  <c r="AE6" i="2102"/>
  <c r="AE23" i="2102"/>
  <c r="AE21" i="2102"/>
  <c r="AE17" i="2102"/>
  <c r="AE13" i="2102"/>
  <c r="AE8" i="2102"/>
  <c r="AE9" i="2102"/>
  <c r="AE27" i="2101"/>
  <c r="AE20" i="2101"/>
  <c r="AE23" i="2101"/>
  <c r="AE18" i="2101"/>
  <c r="AE8" i="2101"/>
  <c r="AE28" i="2101"/>
  <c r="AE26" i="2101"/>
  <c r="AE24" i="2101"/>
  <c r="AE16" i="2101"/>
  <c r="AE13" i="2101"/>
  <c r="AE6" i="2101"/>
  <c r="AE19" i="2101"/>
  <c r="AE12" i="2101"/>
  <c r="AE10" i="2101"/>
  <c r="AE21" i="2101"/>
  <c r="AE17" i="2101"/>
  <c r="AE14" i="2101"/>
  <c r="AE11" i="2101"/>
  <c r="AE9" i="2101"/>
  <c r="AE7" i="2101"/>
  <c r="AE29" i="2101"/>
  <c r="AE25" i="2101"/>
  <c r="AE22" i="2101"/>
  <c r="AE15" i="2101"/>
  <c r="L9" i="2100" l="1"/>
  <c r="K9" i="2100" s="1"/>
  <c r="AF9" i="2100"/>
  <c r="Q9" i="2100"/>
  <c r="L8" i="2100"/>
  <c r="AB8" i="2100" s="1"/>
  <c r="L7" i="2100"/>
  <c r="K7" i="2100" s="1"/>
  <c r="L26" i="2100"/>
  <c r="K26" i="2100"/>
  <c r="K25" i="2100"/>
  <c r="K24" i="2100"/>
  <c r="K22" i="2100"/>
  <c r="K18" i="2100"/>
  <c r="K15" i="2100"/>
  <c r="K11" i="2100"/>
  <c r="K10" i="2100"/>
  <c r="A87" i="2100"/>
  <c r="A88" i="2100" s="1"/>
  <c r="A89" i="2100" s="1"/>
  <c r="A90" i="2100" s="1"/>
  <c r="A91" i="2100" s="1"/>
  <c r="A92" i="2100" s="1"/>
  <c r="AF71" i="2100"/>
  <c r="AF70" i="2100"/>
  <c r="AF73" i="2100" s="1"/>
  <c r="AA32" i="2100"/>
  <c r="Z32" i="2100"/>
  <c r="Y32" i="2100"/>
  <c r="X32" i="2100"/>
  <c r="W32" i="2100"/>
  <c r="V32" i="2100"/>
  <c r="U32" i="2100"/>
  <c r="T32" i="2100"/>
  <c r="S32" i="2100"/>
  <c r="R32" i="2100"/>
  <c r="N32" i="2100"/>
  <c r="J32" i="2100"/>
  <c r="I32" i="2100"/>
  <c r="AF31" i="2100"/>
  <c r="AB31" i="2100"/>
  <c r="Q31" i="2100"/>
  <c r="P31" i="2100"/>
  <c r="AC31" i="2100" s="1"/>
  <c r="O31" i="2100"/>
  <c r="M31" i="2100"/>
  <c r="K31" i="2100"/>
  <c r="AF30" i="2100"/>
  <c r="AB30" i="2100"/>
  <c r="Q30" i="2100"/>
  <c r="P30" i="2100"/>
  <c r="AC30" i="2100" s="1"/>
  <c r="O30" i="2100"/>
  <c r="M30" i="2100"/>
  <c r="K30" i="2100"/>
  <c r="AF29" i="2100"/>
  <c r="AB29" i="2100"/>
  <c r="Q29" i="2100"/>
  <c r="P29" i="2100"/>
  <c r="AC29" i="2100" s="1"/>
  <c r="O29" i="2100"/>
  <c r="M29" i="2100"/>
  <c r="K29" i="2100"/>
  <c r="AF28" i="2100"/>
  <c r="AB28" i="2100"/>
  <c r="Q28" i="2100"/>
  <c r="P28" i="2100"/>
  <c r="AC28" i="2100" s="1"/>
  <c r="O28" i="2100"/>
  <c r="M28" i="2100"/>
  <c r="K28" i="2100"/>
  <c r="AF27" i="2100"/>
  <c r="AB27" i="2100"/>
  <c r="Q27" i="2100"/>
  <c r="P27" i="2100"/>
  <c r="AC27" i="2100" s="1"/>
  <c r="O27" i="2100"/>
  <c r="M27" i="2100"/>
  <c r="K27" i="2100"/>
  <c r="AF26" i="2100"/>
  <c r="AB26" i="2100"/>
  <c r="Q26" i="2100"/>
  <c r="P26" i="2100" s="1"/>
  <c r="AC26" i="2100" s="1"/>
  <c r="O26" i="2100"/>
  <c r="M26" i="2100"/>
  <c r="AF25" i="2100"/>
  <c r="Q25" i="2100"/>
  <c r="AB25" i="2100"/>
  <c r="AF24" i="2100"/>
  <c r="Q24" i="2100"/>
  <c r="P24" i="2100"/>
  <c r="AC24" i="2100" s="1"/>
  <c r="O24" i="2100"/>
  <c r="AF23" i="2100"/>
  <c r="AB23" i="2100"/>
  <c r="Q23" i="2100"/>
  <c r="P23" i="2100"/>
  <c r="AC23" i="2100" s="1"/>
  <c r="O23" i="2100"/>
  <c r="M23" i="2100"/>
  <c r="K23" i="2100"/>
  <c r="AF22" i="2100"/>
  <c r="Q22" i="2100"/>
  <c r="AB22" i="2100"/>
  <c r="AF21" i="2100"/>
  <c r="Q21" i="2100"/>
  <c r="P21" i="2100"/>
  <c r="AC21" i="2100" s="1"/>
  <c r="O21" i="2100"/>
  <c r="AF20" i="2100"/>
  <c r="AB20" i="2100"/>
  <c r="Q20" i="2100"/>
  <c r="P20" i="2100" s="1"/>
  <c r="AC20" i="2100" s="1"/>
  <c r="O20" i="2100"/>
  <c r="M20" i="2100"/>
  <c r="AF18" i="2100"/>
  <c r="AB18" i="2100"/>
  <c r="Q18" i="2100"/>
  <c r="P18" i="2100" s="1"/>
  <c r="AC18" i="2100" s="1"/>
  <c r="O18" i="2100"/>
  <c r="M18" i="2100"/>
  <c r="AF17" i="2100"/>
  <c r="AB17" i="2100"/>
  <c r="Q17" i="2100"/>
  <c r="P17" i="2100"/>
  <c r="AC17" i="2100" s="1"/>
  <c r="O17" i="2100"/>
  <c r="M17" i="2100"/>
  <c r="K17" i="2100"/>
  <c r="AF16" i="2100"/>
  <c r="AB16" i="2100"/>
  <c r="Q16" i="2100"/>
  <c r="P16" i="2100" s="1"/>
  <c r="AC16" i="2100" s="1"/>
  <c r="O16" i="2100"/>
  <c r="M16" i="2100"/>
  <c r="AF15" i="2100"/>
  <c r="AB15" i="2100"/>
  <c r="Q15" i="2100"/>
  <c r="O15" i="2100"/>
  <c r="M15" i="2100"/>
  <c r="P15" i="2100"/>
  <c r="AC15" i="2100" s="1"/>
  <c r="AF12" i="2100"/>
  <c r="Q12" i="2100"/>
  <c r="AB12" i="2100"/>
  <c r="AF11" i="2100"/>
  <c r="Q11" i="2100"/>
  <c r="P11" i="2100"/>
  <c r="AC11" i="2100" s="1"/>
  <c r="O11" i="2100"/>
  <c r="AF10" i="2100"/>
  <c r="AB10" i="2100"/>
  <c r="Q10" i="2100"/>
  <c r="P10" i="2100" s="1"/>
  <c r="AC10" i="2100" s="1"/>
  <c r="O10" i="2100"/>
  <c r="M10" i="2100"/>
  <c r="AF8" i="2100"/>
  <c r="Q8" i="2100"/>
  <c r="AF7" i="2100"/>
  <c r="Q7" i="2100"/>
  <c r="P7" i="2100" s="1"/>
  <c r="AC7" i="2100" s="1"/>
  <c r="AF6" i="2100"/>
  <c r="AB6" i="2100"/>
  <c r="Q6" i="2100"/>
  <c r="P6" i="2100"/>
  <c r="AC6" i="2100" s="1"/>
  <c r="O6" i="2100"/>
  <c r="M6" i="2100"/>
  <c r="K6" i="2100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L21" i="2099"/>
  <c r="L20" i="2099"/>
  <c r="L18" i="2099"/>
  <c r="L17" i="2099"/>
  <c r="K17" i="2099" s="1"/>
  <c r="AD30" i="2100" l="1"/>
  <c r="AD18" i="2100"/>
  <c r="M8" i="2100"/>
  <c r="AB9" i="2100"/>
  <c r="O9" i="2100"/>
  <c r="P9" i="2100"/>
  <c r="AC9" i="2100" s="1"/>
  <c r="O8" i="2100"/>
  <c r="AD17" i="2100"/>
  <c r="AD20" i="2100"/>
  <c r="K8" i="2100"/>
  <c r="K32" i="2100" s="1"/>
  <c r="P8" i="2100"/>
  <c r="AC8" i="2100" s="1"/>
  <c r="AD8" i="2100" s="1"/>
  <c r="AD15" i="2100"/>
  <c r="AD16" i="2100"/>
  <c r="AD29" i="2100"/>
  <c r="AD28" i="2100"/>
  <c r="AD31" i="2100"/>
  <c r="AD10" i="2100"/>
  <c r="AD23" i="2100"/>
  <c r="AD27" i="2100"/>
  <c r="M9" i="2100"/>
  <c r="Q32" i="2100"/>
  <c r="AD26" i="2100"/>
  <c r="AD6" i="2100"/>
  <c r="AB7" i="2100"/>
  <c r="M22" i="2100"/>
  <c r="O7" i="2100"/>
  <c r="M11" i="2100"/>
  <c r="AB11" i="2100"/>
  <c r="AD11" i="2100" s="1"/>
  <c r="O12" i="2100"/>
  <c r="M21" i="2100"/>
  <c r="AB21" i="2100"/>
  <c r="AD21" i="2100" s="1"/>
  <c r="O22" i="2100"/>
  <c r="M24" i="2100"/>
  <c r="AB24" i="2100"/>
  <c r="AD24" i="2100" s="1"/>
  <c r="O25" i="2100"/>
  <c r="L32" i="2100"/>
  <c r="O32" i="2100" s="1"/>
  <c r="M7" i="2100"/>
  <c r="M12" i="2100"/>
  <c r="M25" i="2100"/>
  <c r="P12" i="2100"/>
  <c r="AC12" i="2100" s="1"/>
  <c r="AD12" i="2100" s="1"/>
  <c r="P22" i="2100"/>
  <c r="AC22" i="2100" s="1"/>
  <c r="P25" i="2100"/>
  <c r="AC25" i="2100" s="1"/>
  <c r="AD7" i="2100" l="1"/>
  <c r="AD25" i="2100"/>
  <c r="AD9" i="2100"/>
  <c r="AD22" i="2100"/>
  <c r="M32" i="2100"/>
  <c r="AC32" i="2100"/>
  <c r="AB32" i="2100"/>
  <c r="P32" i="2100"/>
  <c r="AD32" i="2100" l="1"/>
  <c r="AE13" i="2100" s="1"/>
  <c r="AE21" i="2100" l="1"/>
  <c r="AE15" i="2100"/>
  <c r="AE22" i="2100"/>
  <c r="AE20" i="2100"/>
  <c r="AE6" i="2100"/>
  <c r="AE12" i="2100"/>
  <c r="AE27" i="2100"/>
  <c r="AE23" i="2100"/>
  <c r="AE26" i="2100"/>
  <c r="AE17" i="2100"/>
  <c r="AE29" i="2100"/>
  <c r="AE16" i="2100"/>
  <c r="AE30" i="2100"/>
  <c r="AE24" i="2100"/>
  <c r="AE18" i="2100"/>
  <c r="AE7" i="2100"/>
  <c r="AE11" i="2100"/>
  <c r="AE10" i="2100"/>
  <c r="AE8" i="2100"/>
  <c r="AE28" i="2100"/>
  <c r="AE25" i="2100"/>
  <c r="AE9" i="2100"/>
  <c r="AE31" i="2100"/>
  <c r="AE14" i="2100"/>
  <c r="AE19" i="2100"/>
  <c r="L16" i="2099"/>
  <c r="K16" i="2099"/>
  <c r="L15" i="2099"/>
  <c r="K15" i="2099" s="1"/>
  <c r="L13" i="2099"/>
  <c r="AB13" i="2099" s="1"/>
  <c r="L12" i="2099"/>
  <c r="L11" i="2099"/>
  <c r="K11" i="2099" s="1"/>
  <c r="L10" i="2099"/>
  <c r="L9" i="2099"/>
  <c r="K9" i="2099" s="1"/>
  <c r="L8" i="2099"/>
  <c r="L7" i="2099"/>
  <c r="P7" i="2099" s="1"/>
  <c r="AC7" i="2099" s="1"/>
  <c r="K6" i="2099"/>
  <c r="L22" i="2099"/>
  <c r="K21" i="2099"/>
  <c r="K20" i="2099"/>
  <c r="K19" i="2099"/>
  <c r="K18" i="2099"/>
  <c r="K12" i="2099"/>
  <c r="K10" i="2099"/>
  <c r="K8" i="2099"/>
  <c r="K7" i="2099"/>
  <c r="A83" i="2099"/>
  <c r="A84" i="2099" s="1"/>
  <c r="A85" i="2099" s="1"/>
  <c r="A86" i="2099" s="1"/>
  <c r="A87" i="2099" s="1"/>
  <c r="A88" i="2099" s="1"/>
  <c r="AF67" i="2099"/>
  <c r="AF66" i="2099"/>
  <c r="AF69" i="2099" s="1"/>
  <c r="AA28" i="2099"/>
  <c r="Z28" i="2099"/>
  <c r="Y28" i="2099"/>
  <c r="X28" i="2099"/>
  <c r="W28" i="2099"/>
  <c r="V28" i="2099"/>
  <c r="U28" i="2099"/>
  <c r="T28" i="2099"/>
  <c r="S28" i="2099"/>
  <c r="R28" i="2099"/>
  <c r="N28" i="2099"/>
  <c r="J28" i="2099"/>
  <c r="I28" i="2099"/>
  <c r="AF27" i="2099"/>
  <c r="AB27" i="2099"/>
  <c r="Q27" i="2099"/>
  <c r="P27" i="2099"/>
  <c r="AC27" i="2099" s="1"/>
  <c r="AD27" i="2099" s="1"/>
  <c r="O27" i="2099"/>
  <c r="M27" i="2099"/>
  <c r="K27" i="2099"/>
  <c r="AF26" i="2099"/>
  <c r="AB26" i="2099"/>
  <c r="Q26" i="2099"/>
  <c r="P26" i="2099"/>
  <c r="AC26" i="2099" s="1"/>
  <c r="AD26" i="2099" s="1"/>
  <c r="O26" i="2099"/>
  <c r="M26" i="2099"/>
  <c r="K26" i="2099"/>
  <c r="AF25" i="2099"/>
  <c r="AB25" i="2099"/>
  <c r="Q25" i="2099"/>
  <c r="P25" i="2099"/>
  <c r="AC25" i="2099" s="1"/>
  <c r="O25" i="2099"/>
  <c r="M25" i="2099"/>
  <c r="K25" i="2099"/>
  <c r="AF24" i="2099"/>
  <c r="AB24" i="2099"/>
  <c r="Q24" i="2099"/>
  <c r="P24" i="2099"/>
  <c r="AC24" i="2099" s="1"/>
  <c r="O24" i="2099"/>
  <c r="M24" i="2099"/>
  <c r="K24" i="2099"/>
  <c r="AF23" i="2099"/>
  <c r="AC23" i="2099"/>
  <c r="AB23" i="2099"/>
  <c r="Q23" i="2099"/>
  <c r="P23" i="2099"/>
  <c r="O23" i="2099"/>
  <c r="M23" i="2099"/>
  <c r="K23" i="2099"/>
  <c r="AF22" i="2099"/>
  <c r="AB22" i="2099"/>
  <c r="Q22" i="2099"/>
  <c r="P22" i="2099" s="1"/>
  <c r="AC22" i="2099" s="1"/>
  <c r="O22" i="2099"/>
  <c r="M22" i="2099"/>
  <c r="K22" i="2099"/>
  <c r="AF21" i="2099"/>
  <c r="Q21" i="2099"/>
  <c r="P21" i="2099"/>
  <c r="AC21" i="2099" s="1"/>
  <c r="O21" i="2099"/>
  <c r="AB21" i="2099"/>
  <c r="AF20" i="2099"/>
  <c r="AB20" i="2099"/>
  <c r="Q20" i="2099"/>
  <c r="P20" i="2099" s="1"/>
  <c r="AC20" i="2099" s="1"/>
  <c r="O20" i="2099"/>
  <c r="M20" i="2099"/>
  <c r="AF19" i="2099"/>
  <c r="AB19" i="2099"/>
  <c r="Q19" i="2099"/>
  <c r="P19" i="2099" s="1"/>
  <c r="AC19" i="2099" s="1"/>
  <c r="O19" i="2099"/>
  <c r="M19" i="2099"/>
  <c r="AF18" i="2099"/>
  <c r="Q18" i="2099"/>
  <c r="P18" i="2099"/>
  <c r="AC18" i="2099" s="1"/>
  <c r="O18" i="2099"/>
  <c r="AB18" i="2099"/>
  <c r="AF17" i="2099"/>
  <c r="AB17" i="2099"/>
  <c r="Q17" i="2099"/>
  <c r="O17" i="2099"/>
  <c r="M17" i="2099"/>
  <c r="P17" i="2099"/>
  <c r="AC17" i="2099" s="1"/>
  <c r="AF16" i="2099"/>
  <c r="Q16" i="2099"/>
  <c r="O16" i="2099"/>
  <c r="AF15" i="2099"/>
  <c r="AB15" i="2099"/>
  <c r="Q15" i="2099"/>
  <c r="P15" i="2099" s="1"/>
  <c r="AC15" i="2099" s="1"/>
  <c r="O15" i="2099"/>
  <c r="M15" i="2099"/>
  <c r="AF14" i="2099"/>
  <c r="AB14" i="2099"/>
  <c r="Q14" i="2099"/>
  <c r="P14" i="2099"/>
  <c r="AC14" i="2099" s="1"/>
  <c r="O14" i="2099"/>
  <c r="M14" i="2099"/>
  <c r="K14" i="2099"/>
  <c r="AF13" i="2099"/>
  <c r="Q13" i="2099"/>
  <c r="P13" i="2099" s="1"/>
  <c r="AC13" i="2099" s="1"/>
  <c r="O13" i="2099"/>
  <c r="M13" i="2099"/>
  <c r="AF12" i="2099"/>
  <c r="Q12" i="2099"/>
  <c r="O12" i="2099"/>
  <c r="AF11" i="2099"/>
  <c r="Q11" i="2099"/>
  <c r="AB11" i="2099"/>
  <c r="AF10" i="2099"/>
  <c r="Q10" i="2099"/>
  <c r="P10" i="2099" s="1"/>
  <c r="AC10" i="2099" s="1"/>
  <c r="O10" i="2099"/>
  <c r="AB10" i="2099"/>
  <c r="AF9" i="2099"/>
  <c r="AB9" i="2099"/>
  <c r="Q9" i="2099"/>
  <c r="P9" i="2099" s="1"/>
  <c r="AC9" i="2099" s="1"/>
  <c r="O9" i="2099"/>
  <c r="M9" i="2099"/>
  <c r="AF8" i="2099"/>
  <c r="Q8" i="2099"/>
  <c r="O8" i="2099"/>
  <c r="AF7" i="2099"/>
  <c r="Q7" i="2099"/>
  <c r="AB7" i="2099"/>
  <c r="AF6" i="2099"/>
  <c r="AB6" i="2099"/>
  <c r="Q6" i="2099"/>
  <c r="P6" i="2099"/>
  <c r="AC6" i="2099" s="1"/>
  <c r="AD6" i="2099" s="1"/>
  <c r="O6" i="2099"/>
  <c r="M6" i="2099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L22" i="2098"/>
  <c r="L21" i="2098"/>
  <c r="M21" i="2098" s="1"/>
  <c r="L19" i="2098"/>
  <c r="L18" i="2098"/>
  <c r="K18" i="2098" s="1"/>
  <c r="L17" i="2098"/>
  <c r="AB17" i="2098" s="1"/>
  <c r="AF14" i="2098"/>
  <c r="AB14" i="2098"/>
  <c r="Q14" i="2098"/>
  <c r="P14" i="2098" s="1"/>
  <c r="AC14" i="2098" s="1"/>
  <c r="O14" i="2098"/>
  <c r="M14" i="2098"/>
  <c r="L13" i="2098"/>
  <c r="M13" i="2098" s="1"/>
  <c r="L12" i="2098"/>
  <c r="AB12" i="2098" s="1"/>
  <c r="L11" i="2098"/>
  <c r="O11" i="2098" s="1"/>
  <c r="L10" i="2098"/>
  <c r="K10" i="2098" s="1"/>
  <c r="L9" i="2098"/>
  <c r="K9" i="2098" s="1"/>
  <c r="L8" i="2098"/>
  <c r="L7" i="2098"/>
  <c r="K7" i="2098" s="1"/>
  <c r="K28" i="2098"/>
  <c r="K23" i="2098"/>
  <c r="K22" i="2098"/>
  <c r="K20" i="2098"/>
  <c r="K19" i="2098"/>
  <c r="K17" i="2098"/>
  <c r="K8" i="2098"/>
  <c r="K6" i="2098"/>
  <c r="A84" i="2098"/>
  <c r="A85" i="2098" s="1"/>
  <c r="A86" i="2098" s="1"/>
  <c r="A87" i="2098" s="1"/>
  <c r="A88" i="2098" s="1"/>
  <c r="A89" i="2098" s="1"/>
  <c r="AF68" i="2098"/>
  <c r="AF67" i="2098"/>
  <c r="AA29" i="2098"/>
  <c r="Z29" i="2098"/>
  <c r="Y29" i="2098"/>
  <c r="X29" i="2098"/>
  <c r="W29" i="2098"/>
  <c r="V29" i="2098"/>
  <c r="U29" i="2098"/>
  <c r="T29" i="2098"/>
  <c r="S29" i="2098"/>
  <c r="R29" i="2098"/>
  <c r="N29" i="2098"/>
  <c r="J29" i="2098"/>
  <c r="I29" i="2098"/>
  <c r="AF28" i="2098"/>
  <c r="Q28" i="2098"/>
  <c r="P28" i="2098"/>
  <c r="AC28" i="2098" s="1"/>
  <c r="M28" i="2098"/>
  <c r="O28" i="2098"/>
  <c r="AF27" i="2098"/>
  <c r="AB27" i="2098"/>
  <c r="Q27" i="2098"/>
  <c r="P27" i="2098"/>
  <c r="AC27" i="2098" s="1"/>
  <c r="O27" i="2098"/>
  <c r="M27" i="2098"/>
  <c r="K27" i="2098"/>
  <c r="AF26" i="2098"/>
  <c r="AB26" i="2098"/>
  <c r="Q26" i="2098"/>
  <c r="P26" i="2098"/>
  <c r="AC26" i="2098" s="1"/>
  <c r="O26" i="2098"/>
  <c r="M26" i="2098"/>
  <c r="K26" i="2098"/>
  <c r="AF25" i="2098"/>
  <c r="AB25" i="2098"/>
  <c r="Q25" i="2098"/>
  <c r="P25" i="2098"/>
  <c r="AC25" i="2098" s="1"/>
  <c r="O25" i="2098"/>
  <c r="M25" i="2098"/>
  <c r="K25" i="2098"/>
  <c r="AF24" i="2098"/>
  <c r="AB24" i="2098"/>
  <c r="Q24" i="2098"/>
  <c r="P24" i="2098"/>
  <c r="AC24" i="2098" s="1"/>
  <c r="O24" i="2098"/>
  <c r="M24" i="2098"/>
  <c r="K24" i="2098"/>
  <c r="AF23" i="2098"/>
  <c r="Q23" i="2098"/>
  <c r="P23" i="2098"/>
  <c r="AC23" i="2098" s="1"/>
  <c r="O23" i="2098"/>
  <c r="M23" i="2098"/>
  <c r="AB23" i="2098"/>
  <c r="AF22" i="2098"/>
  <c r="AB22" i="2098"/>
  <c r="Q22" i="2098"/>
  <c r="O22" i="2098"/>
  <c r="M22" i="2098"/>
  <c r="P22" i="2098"/>
  <c r="AC22" i="2098" s="1"/>
  <c r="AF21" i="2098"/>
  <c r="Q21" i="2098"/>
  <c r="AF20" i="2098"/>
  <c r="Q20" i="2098"/>
  <c r="P20" i="2098" s="1"/>
  <c r="AC20" i="2098" s="1"/>
  <c r="AF19" i="2098"/>
  <c r="AB19" i="2098"/>
  <c r="Q19" i="2098"/>
  <c r="P19" i="2098"/>
  <c r="AC19" i="2098" s="1"/>
  <c r="O19" i="2098"/>
  <c r="M19" i="2098"/>
  <c r="AF18" i="2098"/>
  <c r="AB18" i="2098"/>
  <c r="Q18" i="2098"/>
  <c r="AF17" i="2098"/>
  <c r="Q17" i="2098"/>
  <c r="O17" i="2098"/>
  <c r="AF16" i="2098"/>
  <c r="AB16" i="2098"/>
  <c r="Q16" i="2098"/>
  <c r="P16" i="2098"/>
  <c r="AC16" i="2098" s="1"/>
  <c r="O16" i="2098"/>
  <c r="M16" i="2098"/>
  <c r="K16" i="2098"/>
  <c r="AF15" i="2098"/>
  <c r="AB15" i="2098"/>
  <c r="Q15" i="2098"/>
  <c r="P15" i="2098"/>
  <c r="AC15" i="2098" s="1"/>
  <c r="O15" i="2098"/>
  <c r="M15" i="2098"/>
  <c r="K15" i="2098"/>
  <c r="AF13" i="2098"/>
  <c r="Q13" i="2098"/>
  <c r="AF12" i="2098"/>
  <c r="Q12" i="2098"/>
  <c r="P12" i="2098" s="1"/>
  <c r="AC12" i="2098" s="1"/>
  <c r="AF11" i="2098"/>
  <c r="AB11" i="2098"/>
  <c r="Q11" i="2098"/>
  <c r="M11" i="2098"/>
  <c r="AF10" i="2098"/>
  <c r="Q10" i="2098"/>
  <c r="AF9" i="2098"/>
  <c r="Q9" i="2098"/>
  <c r="AF8" i="2098"/>
  <c r="Q8" i="2098"/>
  <c r="AF7" i="2098"/>
  <c r="Q7" i="2098"/>
  <c r="P7" i="2098"/>
  <c r="AC7" i="2098" s="1"/>
  <c r="O7" i="2098"/>
  <c r="AF6" i="2098"/>
  <c r="AB6" i="2098"/>
  <c r="Q6" i="2098"/>
  <c r="O6" i="2098"/>
  <c r="M6" i="2098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L24" i="2097"/>
  <c r="K24" i="2097" s="1"/>
  <c r="L23" i="2097"/>
  <c r="K23" i="2097" s="1"/>
  <c r="L22" i="2097"/>
  <c r="M22" i="2097" s="1"/>
  <c r="K22" i="2097"/>
  <c r="L21" i="2097"/>
  <c r="K21" i="2097" s="1"/>
  <c r="L20" i="2097"/>
  <c r="M20" i="2097" s="1"/>
  <c r="AF20" i="2097"/>
  <c r="AB20" i="2097"/>
  <c r="Q20" i="2097"/>
  <c r="O20" i="2097"/>
  <c r="K20" i="2097"/>
  <c r="K19" i="2097"/>
  <c r="L18" i="2097"/>
  <c r="K18" i="2097" s="1"/>
  <c r="L15" i="2097"/>
  <c r="K15" i="2097"/>
  <c r="L14" i="2097"/>
  <c r="AF12" i="2097"/>
  <c r="AB12" i="2097"/>
  <c r="Q12" i="2097"/>
  <c r="P12" i="2097" s="1"/>
  <c r="AC12" i="2097" s="1"/>
  <c r="AD12" i="2097" s="1"/>
  <c r="O12" i="2097"/>
  <c r="M12" i="2097"/>
  <c r="K12" i="2097"/>
  <c r="K13" i="2097"/>
  <c r="K11" i="2097"/>
  <c r="L10" i="2097"/>
  <c r="K10" i="2097" s="1"/>
  <c r="L9" i="2097"/>
  <c r="K9" i="2097" s="1"/>
  <c r="L8" i="2097"/>
  <c r="K8" i="2097" s="1"/>
  <c r="L7" i="2097"/>
  <c r="K7" i="2097" s="1"/>
  <c r="L6" i="2097"/>
  <c r="K6" i="2097" s="1"/>
  <c r="L25" i="2097"/>
  <c r="L30" i="2097"/>
  <c r="K30" i="2097" s="1"/>
  <c r="K28" i="2097"/>
  <c r="K27" i="2097"/>
  <c r="K25" i="2097"/>
  <c r="K17" i="2097"/>
  <c r="K14" i="2097"/>
  <c r="A86" i="2097"/>
  <c r="A87" i="2097" s="1"/>
  <c r="A88" i="2097" s="1"/>
  <c r="A89" i="2097" s="1"/>
  <c r="A90" i="2097" s="1"/>
  <c r="A91" i="2097" s="1"/>
  <c r="AF70" i="2097"/>
  <c r="AF69" i="2097"/>
  <c r="AA31" i="2097"/>
  <c r="Z31" i="2097"/>
  <c r="Y31" i="2097"/>
  <c r="X31" i="2097"/>
  <c r="W31" i="2097"/>
  <c r="V31" i="2097"/>
  <c r="U31" i="2097"/>
  <c r="T31" i="2097"/>
  <c r="S31" i="2097"/>
  <c r="R31" i="2097"/>
  <c r="N31" i="2097"/>
  <c r="J31" i="2097"/>
  <c r="I31" i="2097"/>
  <c r="AF30" i="2097"/>
  <c r="Q30" i="2097"/>
  <c r="AF29" i="2097"/>
  <c r="AB29" i="2097"/>
  <c r="Q29" i="2097"/>
  <c r="P29" i="2097"/>
  <c r="AC29" i="2097" s="1"/>
  <c r="O29" i="2097"/>
  <c r="M29" i="2097"/>
  <c r="K29" i="2097"/>
  <c r="AF28" i="2097"/>
  <c r="Q28" i="2097"/>
  <c r="P28" i="2097"/>
  <c r="AC28" i="2097" s="1"/>
  <c r="AF27" i="2097"/>
  <c r="Q27" i="2097"/>
  <c r="P27" i="2097"/>
  <c r="AC27" i="2097" s="1"/>
  <c r="O27" i="2097"/>
  <c r="AF26" i="2097"/>
  <c r="AB26" i="2097"/>
  <c r="Q26" i="2097"/>
  <c r="P26" i="2097"/>
  <c r="AC26" i="2097" s="1"/>
  <c r="O26" i="2097"/>
  <c r="M26" i="2097"/>
  <c r="K26" i="2097"/>
  <c r="AF25" i="2097"/>
  <c r="Q25" i="2097"/>
  <c r="P25" i="2097" s="1"/>
  <c r="AC25" i="2097" s="1"/>
  <c r="AF24" i="2097"/>
  <c r="Q24" i="2097"/>
  <c r="P24" i="2097" s="1"/>
  <c r="AC24" i="2097" s="1"/>
  <c r="O24" i="2097"/>
  <c r="AF23" i="2097"/>
  <c r="Q23" i="2097"/>
  <c r="P23" i="2097"/>
  <c r="AC23" i="2097" s="1"/>
  <c r="O23" i="2097"/>
  <c r="AF22" i="2097"/>
  <c r="AB22" i="2097"/>
  <c r="Q22" i="2097"/>
  <c r="P22" i="2097" s="1"/>
  <c r="AC22" i="2097" s="1"/>
  <c r="O22" i="2097"/>
  <c r="AF21" i="2097"/>
  <c r="Q21" i="2097"/>
  <c r="AF19" i="2097"/>
  <c r="AB19" i="2097"/>
  <c r="Q19" i="2097"/>
  <c r="P19" i="2097" s="1"/>
  <c r="AC19" i="2097" s="1"/>
  <c r="O19" i="2097"/>
  <c r="M19" i="2097"/>
  <c r="AF18" i="2097"/>
  <c r="AB18" i="2097"/>
  <c r="Q18" i="2097"/>
  <c r="AF17" i="2097"/>
  <c r="AB17" i="2097"/>
  <c r="Q17" i="2097"/>
  <c r="P17" i="2097" s="1"/>
  <c r="AC17" i="2097" s="1"/>
  <c r="O17" i="2097"/>
  <c r="M17" i="2097"/>
  <c r="AF16" i="2097"/>
  <c r="AB16" i="2097"/>
  <c r="Q16" i="2097"/>
  <c r="P16" i="2097"/>
  <c r="AC16" i="2097" s="1"/>
  <c r="O16" i="2097"/>
  <c r="M16" i="2097"/>
  <c r="K16" i="2097"/>
  <c r="AF15" i="2097"/>
  <c r="AB15" i="2097"/>
  <c r="Q15" i="2097"/>
  <c r="O15" i="2097"/>
  <c r="M15" i="2097"/>
  <c r="AF14" i="2097"/>
  <c r="AB14" i="2097"/>
  <c r="Q14" i="2097"/>
  <c r="P14" i="2097" s="1"/>
  <c r="AC14" i="2097" s="1"/>
  <c r="O14" i="2097"/>
  <c r="M14" i="2097"/>
  <c r="AF13" i="2097"/>
  <c r="AB13" i="2097"/>
  <c r="Q13" i="2097"/>
  <c r="P13" i="2097" s="1"/>
  <c r="AC13" i="2097" s="1"/>
  <c r="O13" i="2097"/>
  <c r="M13" i="2097"/>
  <c r="AF11" i="2097"/>
  <c r="Q11" i="2097"/>
  <c r="P11" i="2097" s="1"/>
  <c r="AC11" i="2097" s="1"/>
  <c r="AF10" i="2097"/>
  <c r="Q10" i="2097"/>
  <c r="AF9" i="2097"/>
  <c r="AB9" i="2097"/>
  <c r="Q9" i="2097"/>
  <c r="P9" i="2097" s="1"/>
  <c r="AC9" i="2097" s="1"/>
  <c r="O9" i="2097"/>
  <c r="M9" i="2097"/>
  <c r="AF8" i="2097"/>
  <c r="Q8" i="2097"/>
  <c r="M8" i="2097"/>
  <c r="AF7" i="2097"/>
  <c r="Q7" i="2097"/>
  <c r="P7" i="2097" s="1"/>
  <c r="AC7" i="2097" s="1"/>
  <c r="AF6" i="2097"/>
  <c r="Q6" i="2097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AD9" i="2099" l="1"/>
  <c r="P11" i="2099"/>
  <c r="AC11" i="2099" s="1"/>
  <c r="AD14" i="2099"/>
  <c r="AD23" i="2099"/>
  <c r="AD25" i="2099"/>
  <c r="AD24" i="2099"/>
  <c r="K13" i="2099"/>
  <c r="AD13" i="2099"/>
  <c r="Q28" i="2099"/>
  <c r="AD22" i="2099"/>
  <c r="AD17" i="2099"/>
  <c r="AD15" i="2099"/>
  <c r="AD20" i="2099"/>
  <c r="AD19" i="2099"/>
  <c r="AD21" i="2099"/>
  <c r="AD10" i="2099"/>
  <c r="AD18" i="2099"/>
  <c r="O7" i="2099"/>
  <c r="AD7" i="2099" s="1"/>
  <c r="K28" i="2099"/>
  <c r="P8" i="2099"/>
  <c r="AC8" i="2099" s="1"/>
  <c r="M10" i="2099"/>
  <c r="O11" i="2099"/>
  <c r="AD11" i="2099" s="1"/>
  <c r="P12" i="2099"/>
  <c r="AC12" i="2099" s="1"/>
  <c r="P16" i="2099"/>
  <c r="AC16" i="2099" s="1"/>
  <c r="AC28" i="2099" s="1"/>
  <c r="M18" i="2099"/>
  <c r="M21" i="2099"/>
  <c r="L28" i="2099"/>
  <c r="O28" i="2099" s="1"/>
  <c r="M8" i="2099"/>
  <c r="AB8" i="2099"/>
  <c r="M12" i="2099"/>
  <c r="AB12" i="2099"/>
  <c r="M16" i="2099"/>
  <c r="AB16" i="2099"/>
  <c r="M7" i="2099"/>
  <c r="M11" i="2099"/>
  <c r="AB21" i="2098"/>
  <c r="K21" i="2098"/>
  <c r="P21" i="2098"/>
  <c r="AC21" i="2098" s="1"/>
  <c r="P8" i="2098"/>
  <c r="AC8" i="2098" s="1"/>
  <c r="M10" i="2098"/>
  <c r="M12" i="2098"/>
  <c r="O13" i="2098"/>
  <c r="K12" i="2098"/>
  <c r="AD22" i="2098"/>
  <c r="K13" i="2098"/>
  <c r="AD14" i="2098"/>
  <c r="M18" i="2098"/>
  <c r="O18" i="2098"/>
  <c r="P18" i="2098"/>
  <c r="AC18" i="2098" s="1"/>
  <c r="P17" i="2098"/>
  <c r="AC17" i="2098" s="1"/>
  <c r="AD17" i="2098" s="1"/>
  <c r="M17" i="2098"/>
  <c r="AD19" i="2098"/>
  <c r="AD27" i="2098"/>
  <c r="P9" i="2098"/>
  <c r="AC9" i="2098" s="1"/>
  <c r="O10" i="2098"/>
  <c r="P13" i="2098"/>
  <c r="AC13" i="2098" s="1"/>
  <c r="AD13" i="2098" s="1"/>
  <c r="AB13" i="2098"/>
  <c r="K14" i="2098"/>
  <c r="AF70" i="2098"/>
  <c r="AD16" i="2098"/>
  <c r="AB9" i="2098"/>
  <c r="K11" i="2098"/>
  <c r="Q29" i="2098"/>
  <c r="P11" i="2098"/>
  <c r="AC11" i="2098" s="1"/>
  <c r="AD11" i="2098" s="1"/>
  <c r="P10" i="2098"/>
  <c r="AC10" i="2098" s="1"/>
  <c r="AB10" i="2098"/>
  <c r="M9" i="2098"/>
  <c r="L29" i="2098"/>
  <c r="O29" i="2098" s="1"/>
  <c r="M7" i="2098"/>
  <c r="AB7" i="2098"/>
  <c r="AD7" i="2098" s="1"/>
  <c r="AD15" i="2098"/>
  <c r="AD23" i="2098"/>
  <c r="AD26" i="2098"/>
  <c r="AD25" i="2098"/>
  <c r="AD24" i="2098"/>
  <c r="P6" i="2098"/>
  <c r="M8" i="2098"/>
  <c r="AB8" i="2098"/>
  <c r="O9" i="2098"/>
  <c r="AD9" i="2098" s="1"/>
  <c r="O12" i="2098"/>
  <c r="AD12" i="2098" s="1"/>
  <c r="M20" i="2098"/>
  <c r="AB20" i="2098"/>
  <c r="O21" i="2098"/>
  <c r="AD21" i="2098" s="1"/>
  <c r="AB28" i="2098"/>
  <c r="AD28" i="2098" s="1"/>
  <c r="O8" i="2098"/>
  <c r="O20" i="2098"/>
  <c r="AD20" i="2098" s="1"/>
  <c r="P8" i="2097"/>
  <c r="AC8" i="2097" s="1"/>
  <c r="AB8" i="2097"/>
  <c r="O30" i="2097"/>
  <c r="M23" i="2097"/>
  <c r="AB23" i="2097"/>
  <c r="AD23" i="2097" s="1"/>
  <c r="AD22" i="2097"/>
  <c r="P21" i="2097"/>
  <c r="AC21" i="2097" s="1"/>
  <c r="P20" i="2097"/>
  <c r="AC20" i="2097" s="1"/>
  <c r="AD20" i="2097" s="1"/>
  <c r="M18" i="2097"/>
  <c r="O18" i="2097"/>
  <c r="P18" i="2097"/>
  <c r="AC18" i="2097" s="1"/>
  <c r="AD18" i="2097" s="1"/>
  <c r="AF72" i="2097"/>
  <c r="P15" i="2097"/>
  <c r="AC15" i="2097" s="1"/>
  <c r="AD15" i="2097" s="1"/>
  <c r="O6" i="2097"/>
  <c r="P30" i="2097"/>
  <c r="AC30" i="2097" s="1"/>
  <c r="O10" i="2097"/>
  <c r="AD14" i="2097"/>
  <c r="AD29" i="2097"/>
  <c r="AD26" i="2097"/>
  <c r="P10" i="2097"/>
  <c r="AC10" i="2097" s="1"/>
  <c r="O8" i="2097"/>
  <c r="P6" i="2097"/>
  <c r="AC6" i="2097" s="1"/>
  <c r="Q31" i="2097"/>
  <c r="AD16" i="2097"/>
  <c r="AD17" i="2097"/>
  <c r="AD19" i="2097"/>
  <c r="AD9" i="2097"/>
  <c r="AD13" i="2097"/>
  <c r="AB7" i="2097"/>
  <c r="AB11" i="2097"/>
  <c r="AB21" i="2097"/>
  <c r="M25" i="2097"/>
  <c r="AB25" i="2097"/>
  <c r="M6" i="2097"/>
  <c r="AB6" i="2097"/>
  <c r="O7" i="2097"/>
  <c r="M10" i="2097"/>
  <c r="AB10" i="2097"/>
  <c r="O11" i="2097"/>
  <c r="O21" i="2097"/>
  <c r="M24" i="2097"/>
  <c r="AB24" i="2097"/>
  <c r="AD24" i="2097" s="1"/>
  <c r="O25" i="2097"/>
  <c r="M27" i="2097"/>
  <c r="AB27" i="2097"/>
  <c r="AD27" i="2097" s="1"/>
  <c r="O28" i="2097"/>
  <c r="M30" i="2097"/>
  <c r="AB30" i="2097"/>
  <c r="AD30" i="2097" s="1"/>
  <c r="L31" i="2097"/>
  <c r="O31" i="2097" s="1"/>
  <c r="M7" i="2097"/>
  <c r="M11" i="2097"/>
  <c r="M21" i="2097"/>
  <c r="M28" i="2097"/>
  <c r="AB28" i="2097"/>
  <c r="K31" i="2097"/>
  <c r="AD16" i="2099" l="1"/>
  <c r="AB28" i="2099"/>
  <c r="M28" i="2099"/>
  <c r="P28" i="2099"/>
  <c r="AD12" i="2099"/>
  <c r="AD8" i="2099"/>
  <c r="AD18" i="2098"/>
  <c r="AD10" i="2098"/>
  <c r="AD8" i="2098"/>
  <c r="M29" i="2098"/>
  <c r="AC6" i="2098"/>
  <c r="P29" i="2098"/>
  <c r="K29" i="2098"/>
  <c r="AB29" i="2098"/>
  <c r="AD8" i="2097"/>
  <c r="AD10" i="2097"/>
  <c r="AD21" i="2097"/>
  <c r="AC31" i="2097"/>
  <c r="AD6" i="2097"/>
  <c r="P31" i="2097"/>
  <c r="AD28" i="2097"/>
  <c r="AD11" i="2097"/>
  <c r="AD25" i="2097"/>
  <c r="AD7" i="2097"/>
  <c r="M31" i="2097"/>
  <c r="AB31" i="2097"/>
  <c r="AD28" i="2099" l="1"/>
  <c r="AE27" i="2099" s="1"/>
  <c r="AC29" i="2098"/>
  <c r="AD6" i="2098"/>
  <c r="AD29" i="2098" s="1"/>
  <c r="AE14" i="2098" s="1"/>
  <c r="AD31" i="2097"/>
  <c r="AE20" i="2097" s="1"/>
  <c r="AE15" i="2099" l="1"/>
  <c r="AE16" i="2099"/>
  <c r="AE26" i="2099"/>
  <c r="AE17" i="2099"/>
  <c r="AE21" i="2099"/>
  <c r="AE9" i="2099"/>
  <c r="AE20" i="2099"/>
  <c r="AE19" i="2099"/>
  <c r="AE7" i="2099"/>
  <c r="AE6" i="2099"/>
  <c r="AE23" i="2099"/>
  <c r="AE13" i="2099"/>
  <c r="AE8" i="2099"/>
  <c r="AE22" i="2099"/>
  <c r="AE11" i="2099"/>
  <c r="AE10" i="2099"/>
  <c r="AE25" i="2099"/>
  <c r="AE14" i="2099"/>
  <c r="AE12" i="2099"/>
  <c r="AE24" i="2099"/>
  <c r="AE18" i="2099"/>
  <c r="AE28" i="2098"/>
  <c r="AE20" i="2098"/>
  <c r="AE15" i="2098"/>
  <c r="AE11" i="2098"/>
  <c r="AE26" i="2098"/>
  <c r="AE24" i="2098"/>
  <c r="AE21" i="2098"/>
  <c r="AE18" i="2098"/>
  <c r="AE12" i="2098"/>
  <c r="AE9" i="2098"/>
  <c r="AE22" i="2098"/>
  <c r="AE16" i="2098"/>
  <c r="AE13" i="2098"/>
  <c r="AE10" i="2098"/>
  <c r="AE6" i="2098"/>
  <c r="AE27" i="2098"/>
  <c r="AE25" i="2098"/>
  <c r="AE23" i="2098"/>
  <c r="AE19" i="2098"/>
  <c r="AE17" i="2098"/>
  <c r="AE7" i="2098"/>
  <c r="AE8" i="2098"/>
  <c r="AE7" i="2097"/>
  <c r="AE12" i="2097"/>
  <c r="AE6" i="2097"/>
  <c r="AE14" i="2097"/>
  <c r="AE26" i="2097"/>
  <c r="AE17" i="2097"/>
  <c r="AE10" i="2097"/>
  <c r="AE13" i="2097"/>
  <c r="AE19" i="2097"/>
  <c r="AE15" i="2097"/>
  <c r="AE29" i="2097"/>
  <c r="AE21" i="2097"/>
  <c r="AE24" i="2097"/>
  <c r="AE18" i="2097"/>
  <c r="AE30" i="2097"/>
  <c r="AE16" i="2097"/>
  <c r="AE25" i="2097"/>
  <c r="AE27" i="2097"/>
  <c r="AE22" i="2097"/>
  <c r="AE11" i="2097"/>
  <c r="AE9" i="2097"/>
  <c r="AE23" i="2097"/>
  <c r="AE28" i="2097"/>
  <c r="AE8" i="2097"/>
  <c r="AF15" i="2096"/>
  <c r="AB15" i="2096"/>
  <c r="Q15" i="2096"/>
  <c r="P15" i="2096" s="1"/>
  <c r="AC15" i="2096" s="1"/>
  <c r="O15" i="2096"/>
  <c r="M15" i="2096"/>
  <c r="K15" i="2096"/>
  <c r="L24" i="2096"/>
  <c r="L23" i="2096"/>
  <c r="L22" i="2096"/>
  <c r="L21" i="2096"/>
  <c r="L19" i="2096"/>
  <c r="K18" i="2096"/>
  <c r="K14" i="2096"/>
  <c r="L13" i="2096"/>
  <c r="K13" i="2096" s="1"/>
  <c r="L11" i="2096"/>
  <c r="K11" i="2096" s="1"/>
  <c r="L12" i="2096"/>
  <c r="K12" i="2096" s="1"/>
  <c r="L10" i="2096"/>
  <c r="L9" i="2096"/>
  <c r="L8" i="2096"/>
  <c r="L7" i="2096"/>
  <c r="L6" i="2096"/>
  <c r="K6" i="2096" s="1"/>
  <c r="L25" i="2096"/>
  <c r="L30" i="2096"/>
  <c r="L28" i="2096"/>
  <c r="L27" i="2096"/>
  <c r="AD15" i="2096" l="1"/>
  <c r="K28" i="2096" l="1"/>
  <c r="K30" i="2096"/>
  <c r="K27" i="2096"/>
  <c r="K25" i="2096"/>
  <c r="K24" i="2096"/>
  <c r="K23" i="2096"/>
  <c r="K22" i="2096"/>
  <c r="K21" i="2096"/>
  <c r="K20" i="2096"/>
  <c r="K19" i="2096"/>
  <c r="K17" i="2096"/>
  <c r="K16" i="2096"/>
  <c r="K10" i="2096"/>
  <c r="K9" i="2096"/>
  <c r="K8" i="2096"/>
  <c r="K7" i="2096"/>
  <c r="A86" i="2096"/>
  <c r="A87" i="2096" s="1"/>
  <c r="A88" i="2096" s="1"/>
  <c r="A89" i="2096" s="1"/>
  <c r="A90" i="2096" s="1"/>
  <c r="A91" i="2096" s="1"/>
  <c r="AF70" i="2096"/>
  <c r="AF69" i="2096"/>
  <c r="AF72" i="2096" s="1"/>
  <c r="AA31" i="2096"/>
  <c r="Z31" i="2096"/>
  <c r="Y31" i="2096"/>
  <c r="X31" i="2096"/>
  <c r="W31" i="2096"/>
  <c r="V31" i="2096"/>
  <c r="U31" i="2096"/>
  <c r="T31" i="2096"/>
  <c r="S31" i="2096"/>
  <c r="R31" i="2096"/>
  <c r="N31" i="2096"/>
  <c r="J31" i="2096"/>
  <c r="AF30" i="2096"/>
  <c r="Q30" i="2096"/>
  <c r="P30" i="2096" s="1"/>
  <c r="AC30" i="2096" s="1"/>
  <c r="AF29" i="2096"/>
  <c r="AB29" i="2096"/>
  <c r="Q29" i="2096"/>
  <c r="P29" i="2096"/>
  <c r="AC29" i="2096" s="1"/>
  <c r="AD29" i="2096" s="1"/>
  <c r="O29" i="2096"/>
  <c r="M29" i="2096"/>
  <c r="K29" i="2096"/>
  <c r="AF28" i="2096"/>
  <c r="AB28" i="2096"/>
  <c r="Q28" i="2096"/>
  <c r="M28" i="2096"/>
  <c r="P28" i="2096"/>
  <c r="AC28" i="2096" s="1"/>
  <c r="AF27" i="2096"/>
  <c r="Q27" i="2096"/>
  <c r="P27" i="2096" s="1"/>
  <c r="AC27" i="2096" s="1"/>
  <c r="AF26" i="2096"/>
  <c r="AB26" i="2096"/>
  <c r="Q26" i="2096"/>
  <c r="P26" i="2096"/>
  <c r="AC26" i="2096" s="1"/>
  <c r="O26" i="2096"/>
  <c r="M26" i="2096"/>
  <c r="K26" i="2096"/>
  <c r="AF25" i="2096"/>
  <c r="AB25" i="2096"/>
  <c r="Q25" i="2096"/>
  <c r="P25" i="2096" s="1"/>
  <c r="AC25" i="2096" s="1"/>
  <c r="M25" i="2096"/>
  <c r="AF24" i="2096"/>
  <c r="Q24" i="2096"/>
  <c r="P24" i="2096" s="1"/>
  <c r="AC24" i="2096" s="1"/>
  <c r="AF23" i="2096"/>
  <c r="Q23" i="2096"/>
  <c r="O23" i="2096"/>
  <c r="AB23" i="2096"/>
  <c r="AF22" i="2096"/>
  <c r="AB22" i="2096"/>
  <c r="Q22" i="2096"/>
  <c r="P22" i="2096" s="1"/>
  <c r="AC22" i="2096" s="1"/>
  <c r="M22" i="2096"/>
  <c r="AF21" i="2096"/>
  <c r="Q21" i="2096"/>
  <c r="P21" i="2096" s="1"/>
  <c r="AC21" i="2096" s="1"/>
  <c r="AF20" i="2096"/>
  <c r="Q20" i="2096"/>
  <c r="O20" i="2096"/>
  <c r="AB20" i="2096"/>
  <c r="AF19" i="2096"/>
  <c r="AB19" i="2096"/>
  <c r="Q19" i="2096"/>
  <c r="P19" i="2096" s="1"/>
  <c r="AC19" i="2096" s="1"/>
  <c r="M19" i="2096"/>
  <c r="AF18" i="2096"/>
  <c r="AB18" i="2096"/>
  <c r="Q18" i="2096"/>
  <c r="P18" i="2096" s="1"/>
  <c r="AC18" i="2096" s="1"/>
  <c r="O18" i="2096"/>
  <c r="M18" i="2096"/>
  <c r="AF17" i="2096"/>
  <c r="AB17" i="2096"/>
  <c r="Q17" i="2096"/>
  <c r="P17" i="2096" s="1"/>
  <c r="AC17" i="2096" s="1"/>
  <c r="O17" i="2096"/>
  <c r="M17" i="2096"/>
  <c r="AF16" i="2096"/>
  <c r="AB16" i="2096"/>
  <c r="Q16" i="2096"/>
  <c r="P16" i="2096" s="1"/>
  <c r="AC16" i="2096" s="1"/>
  <c r="O16" i="2096"/>
  <c r="M16" i="2096"/>
  <c r="AF14" i="2096"/>
  <c r="AB14" i="2096"/>
  <c r="Q14" i="2096"/>
  <c r="P14" i="2096" s="1"/>
  <c r="AC14" i="2096" s="1"/>
  <c r="O14" i="2096"/>
  <c r="M14" i="2096"/>
  <c r="AF13" i="2096"/>
  <c r="Q13" i="2096"/>
  <c r="P13" i="2096"/>
  <c r="AC13" i="2096" s="1"/>
  <c r="I31" i="2096"/>
  <c r="AF12" i="2096"/>
  <c r="Q12" i="2096"/>
  <c r="P12" i="2096"/>
  <c r="AC12" i="2096" s="1"/>
  <c r="AF11" i="2096"/>
  <c r="Q11" i="2096"/>
  <c r="P11" i="2096" s="1"/>
  <c r="AC11" i="2096" s="1"/>
  <c r="O11" i="2096"/>
  <c r="AF10" i="2096"/>
  <c r="Q10" i="2096"/>
  <c r="O10" i="2096"/>
  <c r="AB10" i="2096"/>
  <c r="AF9" i="2096"/>
  <c r="AB9" i="2096"/>
  <c r="Q9" i="2096"/>
  <c r="P9" i="2096" s="1"/>
  <c r="AC9" i="2096" s="1"/>
  <c r="M9" i="2096"/>
  <c r="AF8" i="2096"/>
  <c r="Q8" i="2096"/>
  <c r="P8" i="2096" s="1"/>
  <c r="AC8" i="2096" s="1"/>
  <c r="AF7" i="2096"/>
  <c r="Q7" i="2096"/>
  <c r="P7" i="2096" s="1"/>
  <c r="AC7" i="2096" s="1"/>
  <c r="AF6" i="2096"/>
  <c r="AB6" i="2096"/>
  <c r="Q6" i="2096"/>
  <c r="P6" i="2096" s="1"/>
  <c r="AC6" i="2096" s="1"/>
  <c r="O6" i="2096"/>
  <c r="M6" i="209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L22" i="2095"/>
  <c r="L21" i="2095"/>
  <c r="AF21" i="2095"/>
  <c r="Q21" i="2095"/>
  <c r="O21" i="2095"/>
  <c r="AB21" i="2095"/>
  <c r="L20" i="2095"/>
  <c r="K20" i="2095" s="1"/>
  <c r="L19" i="2095"/>
  <c r="L18" i="2095"/>
  <c r="K16" i="2095"/>
  <c r="K15" i="2095"/>
  <c r="K14" i="2095"/>
  <c r="AF14" i="2095"/>
  <c r="AB14" i="2095"/>
  <c r="Q14" i="2095"/>
  <c r="P14" i="2095" s="1"/>
  <c r="AC14" i="2095" s="1"/>
  <c r="O14" i="2095"/>
  <c r="M14" i="2095"/>
  <c r="L13" i="2095"/>
  <c r="L12" i="2095"/>
  <c r="O12" i="2095" s="1"/>
  <c r="AF12" i="2095"/>
  <c r="Q12" i="2095"/>
  <c r="L11" i="2095"/>
  <c r="K11" i="2095" s="1"/>
  <c r="AD17" i="2096" l="1"/>
  <c r="AD18" i="2096"/>
  <c r="AD26" i="2096"/>
  <c r="Q31" i="2096"/>
  <c r="AD14" i="2096"/>
  <c r="AD16" i="2096"/>
  <c r="AD6" i="2096"/>
  <c r="M8" i="2096"/>
  <c r="AB8" i="2096"/>
  <c r="O9" i="2096"/>
  <c r="AD9" i="2096" s="1"/>
  <c r="P10" i="2096"/>
  <c r="AC10" i="2096" s="1"/>
  <c r="AD10" i="2096" s="1"/>
  <c r="M12" i="2096"/>
  <c r="AB12" i="2096"/>
  <c r="M13" i="2096"/>
  <c r="AB13" i="2096"/>
  <c r="O19" i="2096"/>
  <c r="AD19" i="2096" s="1"/>
  <c r="P20" i="2096"/>
  <c r="AC20" i="2096" s="1"/>
  <c r="AD20" i="2096" s="1"/>
  <c r="M21" i="2096"/>
  <c r="AB21" i="2096"/>
  <c r="O22" i="2096"/>
  <c r="AD22" i="2096" s="1"/>
  <c r="P23" i="2096"/>
  <c r="AC23" i="2096" s="1"/>
  <c r="AD23" i="2096" s="1"/>
  <c r="M24" i="2096"/>
  <c r="AB24" i="2096"/>
  <c r="O25" i="2096"/>
  <c r="AD25" i="2096" s="1"/>
  <c r="M27" i="2096"/>
  <c r="AB27" i="2096"/>
  <c r="O28" i="2096"/>
  <c r="AD28" i="2096" s="1"/>
  <c r="M30" i="2096"/>
  <c r="AB30" i="2096"/>
  <c r="L31" i="2096"/>
  <c r="O31" i="2096" s="1"/>
  <c r="M7" i="2096"/>
  <c r="AB7" i="2096"/>
  <c r="O8" i="2096"/>
  <c r="M11" i="2096"/>
  <c r="AB11" i="2096"/>
  <c r="AD11" i="2096" s="1"/>
  <c r="O12" i="2096"/>
  <c r="O13" i="2096"/>
  <c r="O21" i="2096"/>
  <c r="O24" i="2096"/>
  <c r="O27" i="2096"/>
  <c r="O30" i="2096"/>
  <c r="O7" i="2096"/>
  <c r="M10" i="2096"/>
  <c r="M20" i="2096"/>
  <c r="M23" i="2096"/>
  <c r="K31" i="2096"/>
  <c r="K21" i="2095"/>
  <c r="P21" i="2095"/>
  <c r="AC21" i="2095" s="1"/>
  <c r="AD21" i="2095" s="1"/>
  <c r="M21" i="2095"/>
  <c r="AD14" i="2095"/>
  <c r="P12" i="2095"/>
  <c r="AC12" i="2095" s="1"/>
  <c r="K12" i="2095"/>
  <c r="AB12" i="2095"/>
  <c r="AD12" i="2095" s="1"/>
  <c r="M12" i="2095"/>
  <c r="AD24" i="2096" l="1"/>
  <c r="AD27" i="2096"/>
  <c r="AD30" i="2096"/>
  <c r="AD8" i="2096"/>
  <c r="AD12" i="2096"/>
  <c r="AB31" i="2096"/>
  <c r="M31" i="2096"/>
  <c r="AD21" i="2096"/>
  <c r="AD13" i="2096"/>
  <c r="P31" i="2096"/>
  <c r="AD7" i="2096"/>
  <c r="AC31" i="2096"/>
  <c r="AD31" i="2096" l="1"/>
  <c r="AE8" i="2096" s="1"/>
  <c r="AE9" i="2096"/>
  <c r="AE23" i="2096"/>
  <c r="AE20" i="2096"/>
  <c r="AE17" i="2096"/>
  <c r="AE14" i="2096"/>
  <c r="AE10" i="2096"/>
  <c r="AE6" i="2096"/>
  <c r="AE29" i="2096"/>
  <c r="AE26" i="2096"/>
  <c r="AE11" i="2096"/>
  <c r="AE7" i="2096"/>
  <c r="AE19" i="2096" l="1"/>
  <c r="AE22" i="2096"/>
  <c r="AE25" i="2096"/>
  <c r="AE28" i="2096"/>
  <c r="AE30" i="2096"/>
  <c r="AE15" i="2096"/>
  <c r="AE12" i="2096"/>
  <c r="AE13" i="2096"/>
  <c r="AE18" i="2096"/>
  <c r="AE16" i="2096"/>
  <c r="AE21" i="2096"/>
  <c r="AE24" i="2096"/>
  <c r="AE27" i="2096"/>
  <c r="L10" i="2095"/>
  <c r="K10" i="2095" s="1"/>
  <c r="L9" i="2095"/>
  <c r="K9" i="2095" s="1"/>
  <c r="L8" i="2095"/>
  <c r="K8" i="2095" s="1"/>
  <c r="L7" i="2095"/>
  <c r="K7" i="2095" s="1"/>
  <c r="L23" i="2095"/>
  <c r="K23" i="2095" s="1"/>
  <c r="L25" i="2095"/>
  <c r="K25" i="2095"/>
  <c r="AF25" i="2095"/>
  <c r="Q25" i="2095"/>
  <c r="O25" i="2095"/>
  <c r="AB25" i="2095"/>
  <c r="L24" i="2095"/>
  <c r="AB24" i="2095" s="1"/>
  <c r="L26" i="2095"/>
  <c r="L31" i="2095"/>
  <c r="K31" i="2095" s="1"/>
  <c r="L29" i="2095"/>
  <c r="AB29" i="2095" s="1"/>
  <c r="L28" i="2095"/>
  <c r="O28" i="2095" s="1"/>
  <c r="K22" i="2095"/>
  <c r="K19" i="2095"/>
  <c r="K18" i="2095"/>
  <c r="K13" i="2095"/>
  <c r="AG25" i="16"/>
  <c r="AG24" i="16"/>
  <c r="AG23" i="16"/>
  <c r="AG22" i="16"/>
  <c r="AG21" i="16"/>
  <c r="AG20" i="16"/>
  <c r="AG19" i="16"/>
  <c r="AG18" i="16"/>
  <c r="AG17" i="16"/>
  <c r="AG16" i="16"/>
  <c r="AG15" i="16"/>
  <c r="AG14" i="16"/>
  <c r="AG13" i="16"/>
  <c r="AG12" i="16"/>
  <c r="AG11" i="16"/>
  <c r="AG10" i="16"/>
  <c r="AG9" i="16"/>
  <c r="AG8" i="16"/>
  <c r="AG7" i="16"/>
  <c r="AG6" i="16"/>
  <c r="AG5" i="16"/>
  <c r="AG4" i="16"/>
  <c r="AG3" i="16"/>
  <c r="AB20" i="2095"/>
  <c r="AB19" i="2095"/>
  <c r="AF8" i="2095"/>
  <c r="Q8" i="2095"/>
  <c r="K6" i="2095"/>
  <c r="A87" i="2095"/>
  <c r="A88" i="2095" s="1"/>
  <c r="A89" i="2095" s="1"/>
  <c r="A90" i="2095" s="1"/>
  <c r="A91" i="2095" s="1"/>
  <c r="A92" i="2095" s="1"/>
  <c r="AF71" i="2095"/>
  <c r="AF70" i="2095"/>
  <c r="AF73" i="2095" s="1"/>
  <c r="AA32" i="2095"/>
  <c r="Z32" i="2095"/>
  <c r="Y32" i="2095"/>
  <c r="X32" i="2095"/>
  <c r="W32" i="2095"/>
  <c r="V32" i="2095"/>
  <c r="U32" i="2095"/>
  <c r="T32" i="2095"/>
  <c r="S32" i="2095"/>
  <c r="R32" i="2095"/>
  <c r="N32" i="2095"/>
  <c r="J32" i="2095"/>
  <c r="AF31" i="2095"/>
  <c r="AB31" i="2095"/>
  <c r="Q31" i="2095"/>
  <c r="O31" i="2095"/>
  <c r="M31" i="2095"/>
  <c r="AF30" i="2095"/>
  <c r="AB30" i="2095"/>
  <c r="Q30" i="2095"/>
  <c r="P30" i="2095"/>
  <c r="AC30" i="2095" s="1"/>
  <c r="O30" i="2095"/>
  <c r="M30" i="2095"/>
  <c r="K30" i="2095"/>
  <c r="AF29" i="2095"/>
  <c r="Q29" i="2095"/>
  <c r="AF28" i="2095"/>
  <c r="Q28" i="2095"/>
  <c r="AF27" i="2095"/>
  <c r="AB27" i="2095"/>
  <c r="Q27" i="2095"/>
  <c r="P27" i="2095"/>
  <c r="AC27" i="2095" s="1"/>
  <c r="O27" i="2095"/>
  <c r="M27" i="2095"/>
  <c r="K27" i="2095"/>
  <c r="AF26" i="2095"/>
  <c r="AB26" i="2095"/>
  <c r="Q26" i="2095"/>
  <c r="P26" i="2095" s="1"/>
  <c r="AC26" i="2095" s="1"/>
  <c r="O26" i="2095"/>
  <c r="M26" i="2095"/>
  <c r="K26" i="2095"/>
  <c r="AF24" i="2095"/>
  <c r="Q24" i="2095"/>
  <c r="O24" i="2095"/>
  <c r="AF23" i="2095"/>
  <c r="Q23" i="2095"/>
  <c r="M23" i="2095"/>
  <c r="AF22" i="2095"/>
  <c r="Q22" i="2095"/>
  <c r="M22" i="2095"/>
  <c r="O22" i="2095"/>
  <c r="AF20" i="2095"/>
  <c r="Q20" i="2095"/>
  <c r="AF19" i="2095"/>
  <c r="Q19" i="2095"/>
  <c r="P19" i="2095" s="1"/>
  <c r="AC19" i="2095" s="1"/>
  <c r="O19" i="2095"/>
  <c r="AF18" i="2095"/>
  <c r="AB18" i="2095"/>
  <c r="Q18" i="2095"/>
  <c r="O18" i="2095"/>
  <c r="M18" i="2095"/>
  <c r="AF17" i="2095"/>
  <c r="AB17" i="2095"/>
  <c r="Q17" i="2095"/>
  <c r="P17" i="2095"/>
  <c r="AC17" i="2095" s="1"/>
  <c r="O17" i="2095"/>
  <c r="M17" i="2095"/>
  <c r="K17" i="2095"/>
  <c r="AF16" i="2095"/>
  <c r="AB16" i="2095"/>
  <c r="Q16" i="2095"/>
  <c r="P16" i="2095" s="1"/>
  <c r="AC16" i="2095" s="1"/>
  <c r="O16" i="2095"/>
  <c r="M16" i="2095"/>
  <c r="AF15" i="2095"/>
  <c r="Q15" i="2095"/>
  <c r="AB15" i="2095"/>
  <c r="AF13" i="2095"/>
  <c r="Q13" i="2095"/>
  <c r="P13" i="2095" s="1"/>
  <c r="AC13" i="2095" s="1"/>
  <c r="O13" i="2095"/>
  <c r="I13" i="2095"/>
  <c r="I32" i="2095" s="1"/>
  <c r="AF11" i="2095"/>
  <c r="AB11" i="2095"/>
  <c r="Q11" i="2095"/>
  <c r="O11" i="2095"/>
  <c r="M11" i="2095"/>
  <c r="AF10" i="2095"/>
  <c r="AB10" i="2095"/>
  <c r="Q10" i="2095"/>
  <c r="M10" i="2095"/>
  <c r="O10" i="2095"/>
  <c r="AF9" i="2095"/>
  <c r="AB9" i="2095"/>
  <c r="Q9" i="2095"/>
  <c r="P9" i="2095" s="1"/>
  <c r="AC9" i="2095" s="1"/>
  <c r="O9" i="2095"/>
  <c r="M9" i="2095"/>
  <c r="AF7" i="2095"/>
  <c r="Q7" i="2095"/>
  <c r="AF6" i="2095"/>
  <c r="Q6" i="2095"/>
  <c r="P6" i="2095"/>
  <c r="AC6" i="2095" s="1"/>
  <c r="O6" i="2095"/>
  <c r="AB8" i="2095" l="1"/>
  <c r="M29" i="2095"/>
  <c r="O8" i="2095"/>
  <c r="P8" i="2095"/>
  <c r="AC8" i="2095" s="1"/>
  <c r="AD8" i="2095" s="1"/>
  <c r="O29" i="2095"/>
  <c r="K29" i="2095"/>
  <c r="P23" i="2095"/>
  <c r="AC23" i="2095" s="1"/>
  <c r="AB23" i="2095"/>
  <c r="AD23" i="2095" s="1"/>
  <c r="O23" i="2095"/>
  <c r="P24" i="2095"/>
  <c r="AC24" i="2095" s="1"/>
  <c r="AD24" i="2095" s="1"/>
  <c r="M28" i="2095"/>
  <c r="K24" i="2095"/>
  <c r="K32" i="2095" s="1"/>
  <c r="P25" i="2095"/>
  <c r="AC25" i="2095" s="1"/>
  <c r="AD25" i="2095" s="1"/>
  <c r="P28" i="2095"/>
  <c r="AC28" i="2095" s="1"/>
  <c r="K28" i="2095"/>
  <c r="AB28" i="2095"/>
  <c r="M25" i="2095"/>
  <c r="AD30" i="2095"/>
  <c r="P31" i="2095"/>
  <c r="AC31" i="2095" s="1"/>
  <c r="AD31" i="2095" s="1"/>
  <c r="P29" i="2095"/>
  <c r="AC29" i="2095" s="1"/>
  <c r="AD29" i="2095" s="1"/>
  <c r="P18" i="2095"/>
  <c r="AC18" i="2095" s="1"/>
  <c r="AD18" i="2095" s="1"/>
  <c r="AD16" i="2095"/>
  <c r="AB13" i="2095"/>
  <c r="AD13" i="2095" s="1"/>
  <c r="P11" i="2095"/>
  <c r="AC11" i="2095" s="1"/>
  <c r="AD11" i="2095" s="1"/>
  <c r="AD9" i="2095"/>
  <c r="M8" i="2095"/>
  <c r="Q32" i="2095"/>
  <c r="AD26" i="2095"/>
  <c r="L32" i="2095"/>
  <c r="O32" i="2095" s="1"/>
  <c r="AD27" i="2095"/>
  <c r="AD17" i="2095"/>
  <c r="M7" i="2095"/>
  <c r="AD19" i="2095"/>
  <c r="AB7" i="2095"/>
  <c r="M6" i="2095"/>
  <c r="AB6" i="2095"/>
  <c r="AD6" i="2095" s="1"/>
  <c r="O7" i="2095"/>
  <c r="P10" i="2095"/>
  <c r="AC10" i="2095" s="1"/>
  <c r="AD10" i="2095" s="1"/>
  <c r="M13" i="2095"/>
  <c r="O15" i="2095"/>
  <c r="M19" i="2095"/>
  <c r="O20" i="2095"/>
  <c r="P22" i="2095"/>
  <c r="AC22" i="2095" s="1"/>
  <c r="M24" i="2095"/>
  <c r="P7" i="2095"/>
  <c r="AC7" i="2095" s="1"/>
  <c r="P15" i="2095"/>
  <c r="AC15" i="2095" s="1"/>
  <c r="P20" i="2095"/>
  <c r="AC20" i="2095" s="1"/>
  <c r="AD20" i="2095" s="1"/>
  <c r="AB22" i="2095"/>
  <c r="M15" i="2095"/>
  <c r="M20" i="2095"/>
  <c r="AD28" i="2095" l="1"/>
  <c r="AD15" i="2095"/>
  <c r="AB32" i="2095"/>
  <c r="P32" i="2095"/>
  <c r="M32" i="2095"/>
  <c r="AD7" i="2095"/>
  <c r="AD22" i="2095"/>
  <c r="AC32" i="2095"/>
  <c r="AD32" i="2095" l="1"/>
  <c r="AE14" i="2095" l="1"/>
  <c r="AE21" i="2095"/>
  <c r="AE25" i="2095"/>
  <c r="AE12" i="2095"/>
  <c r="AE31" i="2095"/>
  <c r="AE8" i="2095"/>
  <c r="AE16" i="2095"/>
  <c r="AE22" i="2095"/>
  <c r="AE7" i="2095"/>
  <c r="AE6" i="2095"/>
  <c r="AE24" i="2095"/>
  <c r="AE18" i="2095"/>
  <c r="AE26" i="2095"/>
  <c r="AE9" i="2095"/>
  <c r="AE11" i="2095"/>
  <c r="AE27" i="2095"/>
  <c r="AE17" i="2095"/>
  <c r="AE23" i="2095"/>
  <c r="AE28" i="2095"/>
  <c r="AE20" i="2095"/>
  <c r="AE13" i="2095"/>
  <c r="AE29" i="2095"/>
  <c r="AE10" i="2095"/>
  <c r="AE30" i="2095"/>
  <c r="AE15" i="2095"/>
  <c r="AE19" i="2095"/>
</calcChain>
</file>

<file path=xl/sharedStrings.xml><?xml version="1.0" encoding="utf-8"?>
<sst xmlns="http://schemas.openxmlformats.org/spreadsheetml/2006/main" count="5586" uniqueCount="900">
  <si>
    <t>호
기</t>
  </si>
  <si>
    <t>구분</t>
  </si>
  <si>
    <t>고객사</t>
  </si>
  <si>
    <t>품  명</t>
  </si>
  <si>
    <t>품   번</t>
  </si>
  <si>
    <t>원료명</t>
  </si>
  <si>
    <t>Cav't</t>
  </si>
  <si>
    <t>C/T
(sec)</t>
  </si>
  <si>
    <t>생산실적</t>
  </si>
  <si>
    <t>시간
실적</t>
  </si>
  <si>
    <t>유실시간(시간)</t>
  </si>
  <si>
    <t>계획정지시간(시간)</t>
  </si>
  <si>
    <t>성능
가동율</t>
  </si>
  <si>
    <t>시간
가동율</t>
  </si>
  <si>
    <t>설비
효율</t>
  </si>
  <si>
    <t>발주
수량</t>
  </si>
  <si>
    <t>당일
목표
수량</t>
  </si>
  <si>
    <t>생산누계
수량</t>
  </si>
  <si>
    <t>생산
수량</t>
  </si>
  <si>
    <t>양품
수량</t>
  </si>
  <si>
    <t>불량
(공정
불량)</t>
  </si>
  <si>
    <t>불
량
율</t>
  </si>
  <si>
    <t>작업
시간</t>
  </si>
  <si>
    <t>총
loss
시간</t>
  </si>
  <si>
    <t>설비
수리</t>
  </si>
  <si>
    <t>금형
수리</t>
  </si>
  <si>
    <t>기종
변경</t>
  </si>
  <si>
    <t>관리
loss</t>
  </si>
  <si>
    <t>기타</t>
  </si>
  <si>
    <t>발주
완료</t>
  </si>
  <si>
    <t>금형
청소</t>
  </si>
  <si>
    <t>교육
조회</t>
  </si>
  <si>
    <t>정기
점검</t>
  </si>
  <si>
    <t>시
사출</t>
  </si>
  <si>
    <t>TOTAL</t>
  </si>
  <si>
    <t>◆ 품목별 생산 계획 대비 실적 현황</t>
  </si>
  <si>
    <t>◆ 품목별 생산 가동효율</t>
  </si>
  <si>
    <t>금형번호</t>
  </si>
  <si>
    <t>품  번</t>
  </si>
  <si>
    <t>원재료</t>
  </si>
  <si>
    <t>구 분</t>
  </si>
  <si>
    <t>사용호기</t>
  </si>
  <si>
    <t>수 량</t>
  </si>
  <si>
    <t>내        용</t>
  </si>
  <si>
    <t>비   고</t>
  </si>
  <si>
    <t>ISSUE 사항</t>
  </si>
  <si>
    <t>호기</t>
  </si>
  <si>
    <t>품 명</t>
  </si>
  <si>
    <t>내 용</t>
  </si>
  <si>
    <t>시작일</t>
  </si>
  <si>
    <t>완료예정일</t>
  </si>
  <si>
    <t>비      고</t>
  </si>
  <si>
    <t>호   기</t>
  </si>
  <si>
    <t>Error 내역</t>
  </si>
  <si>
    <t>수 리 내 역</t>
  </si>
  <si>
    <t>업 체</t>
  </si>
  <si>
    <t>발 생 금 액</t>
  </si>
  <si>
    <t>발주</t>
    <phoneticPr fontId="2" type="noConversion"/>
  </si>
  <si>
    <t>불량 내역</t>
    <phoneticPr fontId="2" type="noConversion"/>
  </si>
  <si>
    <t>호기</t>
    <phoneticPr fontId="2" type="noConversion"/>
  </si>
  <si>
    <t>1호기</t>
    <phoneticPr fontId="2" type="noConversion"/>
  </si>
  <si>
    <t>2호기</t>
    <phoneticPr fontId="2" type="noConversion"/>
  </si>
  <si>
    <t>3호기</t>
  </si>
  <si>
    <t>4호기</t>
  </si>
  <si>
    <t>5호기</t>
  </si>
  <si>
    <t>6호기</t>
  </si>
  <si>
    <t>7호기</t>
  </si>
  <si>
    <t>8호기</t>
  </si>
  <si>
    <t>9호기</t>
  </si>
  <si>
    <t>10호기</t>
  </si>
  <si>
    <t>11호기</t>
  </si>
  <si>
    <t>12호기</t>
  </si>
  <si>
    <t>13호기</t>
  </si>
  <si>
    <t>1일</t>
    <phoneticPr fontId="2" type="noConversion"/>
  </si>
  <si>
    <t>2일</t>
    <phoneticPr fontId="2" type="noConversion"/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</si>
  <si>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</si>
  <si>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</si>
  <si>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</si>
  <si>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</si>
  <si>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</si>
  <si>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</si>
  <si>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</si>
  <si>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</si>
  <si>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</si>
  <si>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</si>
  <si>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</si>
  <si>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</si>
  <si>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</si>
  <si>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</si>
  <si>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</si>
  <si>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</si>
  <si>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</si>
  <si>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</si>
  <si>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</si>
  <si>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</si>
  <si>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</si>
  <si>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</si>
  <si>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</si>
  <si>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</si>
  <si>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</si>
  <si>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</si>
  <si>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</si>
  <si>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</si>
  <si>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</si>
  <si>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평균</t>
    <phoneticPr fontId="2" type="noConversion"/>
  </si>
  <si>
    <t>평균</t>
    <phoneticPr fontId="2" type="noConversion"/>
  </si>
  <si>
    <t>내   용</t>
    <phoneticPr fontId="2" type="noConversion"/>
  </si>
  <si>
    <t>품 번</t>
    <phoneticPr fontId="2" type="noConversion"/>
  </si>
  <si>
    <t>목표</t>
    <phoneticPr fontId="2" type="noConversion"/>
  </si>
  <si>
    <t>품  번</t>
    <phoneticPr fontId="2" type="noConversion"/>
  </si>
  <si>
    <t>고객사</t>
    <phoneticPr fontId="2" type="noConversion"/>
  </si>
  <si>
    <t>순위</t>
    <phoneticPr fontId="2" type="noConversion"/>
  </si>
  <si>
    <t>MCS</t>
    <phoneticPr fontId="2" type="noConversion"/>
  </si>
  <si>
    <t>DI</t>
    <phoneticPr fontId="2" type="noConversion"/>
  </si>
  <si>
    <t>PA46</t>
    <phoneticPr fontId="2" type="noConversion"/>
  </si>
  <si>
    <t>BASE</t>
    <phoneticPr fontId="2" type="noConversion"/>
  </si>
  <si>
    <t>SST</t>
    <phoneticPr fontId="2" type="noConversion"/>
  </si>
  <si>
    <t>14호기</t>
    <phoneticPr fontId="2" type="noConversion"/>
  </si>
  <si>
    <t>15호기</t>
    <phoneticPr fontId="2" type="noConversion"/>
  </si>
  <si>
    <t>16호기</t>
    <phoneticPr fontId="2" type="noConversion"/>
  </si>
  <si>
    <t>품  명</t>
    <phoneticPr fontId="2" type="noConversion"/>
  </si>
  <si>
    <t>COVER</t>
    <phoneticPr fontId="2" type="noConversion"/>
  </si>
  <si>
    <t>발주분양산</t>
    <phoneticPr fontId="2" type="noConversion"/>
  </si>
  <si>
    <t>SF2255</t>
    <phoneticPr fontId="2" type="noConversion"/>
  </si>
  <si>
    <t>SGF2030</t>
    <phoneticPr fontId="2" type="noConversion"/>
  </si>
  <si>
    <t>SGF2033 N/P</t>
    <phoneticPr fontId="2" type="noConversion"/>
  </si>
  <si>
    <t>K-AR3533-1A</t>
    <phoneticPr fontId="2" type="noConversion"/>
  </si>
  <si>
    <t>HICON</t>
    <phoneticPr fontId="2" type="noConversion"/>
  </si>
  <si>
    <t>JD4901</t>
    <phoneticPr fontId="2" type="noConversion"/>
  </si>
  <si>
    <t>SLIDER</t>
    <phoneticPr fontId="2" type="noConversion"/>
  </si>
  <si>
    <t>KR6463-GA180PLA</t>
  </si>
  <si>
    <t>EEEEEEEEEEEEEEEEEEEEEEEEE</t>
    <phoneticPr fontId="2" type="noConversion"/>
  </si>
  <si>
    <t>31호기</t>
    <phoneticPr fontId="2" type="noConversion"/>
  </si>
  <si>
    <t>32호기</t>
    <phoneticPr fontId="2" type="noConversion"/>
  </si>
  <si>
    <t>33호기</t>
    <phoneticPr fontId="2" type="noConversion"/>
  </si>
  <si>
    <t>34호기</t>
    <phoneticPr fontId="2" type="noConversion"/>
  </si>
  <si>
    <t>35호기</t>
    <phoneticPr fontId="2" type="noConversion"/>
  </si>
  <si>
    <t>36호기</t>
    <phoneticPr fontId="2" type="noConversion"/>
  </si>
  <si>
    <t>SGF2033</t>
    <phoneticPr fontId="2" type="noConversion"/>
  </si>
  <si>
    <t>SF2255 I/V</t>
    <phoneticPr fontId="2" type="noConversion"/>
  </si>
  <si>
    <t>ADAPTER</t>
    <phoneticPr fontId="2" type="noConversion"/>
  </si>
  <si>
    <t>LATCH</t>
    <phoneticPr fontId="2" type="noConversion"/>
  </si>
  <si>
    <t>8301</t>
    <phoneticPr fontId="2" type="noConversion"/>
  </si>
  <si>
    <t>1</t>
    <phoneticPr fontId="2" type="noConversion"/>
  </si>
  <si>
    <t>FLOATING</t>
    <phoneticPr fontId="2" type="noConversion"/>
  </si>
  <si>
    <t>SGP2030R</t>
    <phoneticPr fontId="2" type="noConversion"/>
  </si>
  <si>
    <t>KR6458BB456PMA</t>
    <phoneticPr fontId="2" type="noConversion"/>
  </si>
  <si>
    <t>LEAD GUIDER</t>
    <phoneticPr fontId="2" type="noConversion"/>
  </si>
  <si>
    <t>AMB0172A-KAA-R3</t>
    <phoneticPr fontId="2" type="noConversion"/>
  </si>
  <si>
    <t>AMB07U1A-KAA-R5</t>
    <phoneticPr fontId="2" type="noConversion"/>
  </si>
  <si>
    <t>5</t>
    <phoneticPr fontId="2" type="noConversion"/>
  </si>
  <si>
    <t>6</t>
    <phoneticPr fontId="2" type="noConversion"/>
  </si>
  <si>
    <t>8</t>
    <phoneticPr fontId="2" type="noConversion"/>
  </si>
  <si>
    <t>수리후양산</t>
    <phoneticPr fontId="2" type="noConversion"/>
  </si>
  <si>
    <t>4</t>
    <phoneticPr fontId="2" type="noConversion"/>
  </si>
  <si>
    <t>SGF2030 N/P</t>
    <phoneticPr fontId="2" type="noConversion"/>
  </si>
  <si>
    <t>SGF2041</t>
    <phoneticPr fontId="2" type="noConversion"/>
  </si>
  <si>
    <t>수리후양산-&gt;코아파손수리</t>
    <phoneticPr fontId="2" type="noConversion"/>
  </si>
  <si>
    <t>TOP</t>
    <phoneticPr fontId="2" type="noConversion"/>
  </si>
  <si>
    <t>10</t>
    <phoneticPr fontId="2" type="noConversion"/>
  </si>
  <si>
    <t>22P(4POST)</t>
    <phoneticPr fontId="2" type="noConversion"/>
  </si>
  <si>
    <t>AYE</t>
    <phoneticPr fontId="2" type="noConversion"/>
  </si>
  <si>
    <t>SF2250EPR N/P</t>
    <phoneticPr fontId="2" type="noConversion"/>
  </si>
  <si>
    <t>AMB07AB3A-KAA-R1</t>
    <phoneticPr fontId="2" type="noConversion"/>
  </si>
  <si>
    <t>발주분양산-&gt;뜯김2회정지</t>
    <phoneticPr fontId="2" type="noConversion"/>
  </si>
  <si>
    <t>AMM0827A-KAA-R2</t>
    <phoneticPr fontId="2" type="noConversion"/>
  </si>
  <si>
    <t>NP413-187-105#MO</t>
    <phoneticPr fontId="2" type="noConversion"/>
  </si>
  <si>
    <t>BLUE</t>
    <phoneticPr fontId="2" type="noConversion"/>
  </si>
  <si>
    <t>NP413-187-105#IN-B</t>
    <phoneticPr fontId="2" type="noConversion"/>
  </si>
  <si>
    <t>HDB0708-B1</t>
    <phoneticPr fontId="2" type="noConversion"/>
  </si>
  <si>
    <t>요청</t>
    <phoneticPr fontId="2" type="noConversion"/>
  </si>
  <si>
    <t>발주분양산-&gt;코아파손수리</t>
    <phoneticPr fontId="2" type="noConversion"/>
  </si>
  <si>
    <t>K-AR3545-1A</t>
    <phoneticPr fontId="2" type="noConversion"/>
  </si>
  <si>
    <t>KR6197-GG153PNB</t>
    <phoneticPr fontId="2" type="noConversion"/>
  </si>
  <si>
    <t>K-AR3544-1A</t>
    <phoneticPr fontId="2" type="noConversion"/>
  </si>
  <si>
    <t>2829HQN05-4024-B2</t>
    <phoneticPr fontId="2" type="noConversion"/>
  </si>
  <si>
    <t>6X12 BOTTOM</t>
    <phoneticPr fontId="2" type="noConversion"/>
  </si>
  <si>
    <t>2829HQN05-4024-F3</t>
    <phoneticPr fontId="2" type="noConversion"/>
  </si>
  <si>
    <t>K-JR01903-A180AWB</t>
    <phoneticPr fontId="2" type="noConversion"/>
  </si>
  <si>
    <t>K-JR01903-A180AWB</t>
    <phoneticPr fontId="2" type="noConversion"/>
  </si>
  <si>
    <t>12*12</t>
    <phoneticPr fontId="2" type="noConversion"/>
  </si>
  <si>
    <t>HDB0708-C3</t>
    <phoneticPr fontId="2" type="noConversion"/>
  </si>
  <si>
    <t>24P(4POST)</t>
    <phoneticPr fontId="2" type="noConversion"/>
  </si>
  <si>
    <t>K-AR3537-1A</t>
    <phoneticPr fontId="2" type="noConversion"/>
  </si>
  <si>
    <t>9</t>
    <phoneticPr fontId="2" type="noConversion"/>
  </si>
  <si>
    <t>NP413-187-105#IN-B</t>
    <phoneticPr fontId="2" type="noConversion"/>
  </si>
  <si>
    <t>AYE</t>
    <phoneticPr fontId="2" type="noConversion"/>
  </si>
  <si>
    <t>11</t>
    <phoneticPr fontId="2" type="noConversion"/>
  </si>
  <si>
    <t>AMB0355A-KAA-R2</t>
    <phoneticPr fontId="2" type="noConversion"/>
  </si>
  <si>
    <t>09월 호기별 가동현황</t>
    <phoneticPr fontId="2" type="noConversion"/>
  </si>
  <si>
    <r>
      <t>2021년 09월 01일 일일생산현황</t>
    </r>
    <r>
      <rPr>
        <b/>
        <sz val="14"/>
        <color indexed="8"/>
        <rFont val="굴림체"/>
        <family val="3"/>
        <charset val="129"/>
      </rPr>
      <t>(02일 09시 현재)</t>
    </r>
    <phoneticPr fontId="2" type="noConversion"/>
  </si>
  <si>
    <t>라인</t>
    <phoneticPr fontId="2" type="noConversion"/>
  </si>
  <si>
    <t>New Pattern Cover-2</t>
    <phoneticPr fontId="2" type="noConversion"/>
  </si>
  <si>
    <t>LCP ESD</t>
    <phoneticPr fontId="2" type="noConversion"/>
  </si>
  <si>
    <t>HT00-M64A4-5</t>
    <phoneticPr fontId="2" type="noConversion"/>
  </si>
  <si>
    <t>K-JR01933-G01AWA</t>
    <phoneticPr fontId="2" type="noConversion"/>
  </si>
  <si>
    <t>4*8</t>
    <phoneticPr fontId="2" type="noConversion"/>
  </si>
  <si>
    <t>HSA08-M01A1(PES)</t>
    <phoneticPr fontId="2" type="noConversion"/>
  </si>
  <si>
    <t>K-JR01903-B180AWB</t>
    <phoneticPr fontId="2" type="noConversion"/>
  </si>
  <si>
    <t>전일 ISSUE 사항(01일)</t>
    <phoneticPr fontId="2" type="noConversion"/>
  </si>
  <si>
    <t>HT00-M64A4-5</t>
    <phoneticPr fontId="2" type="noConversion"/>
  </si>
  <si>
    <t>K-JR01933-G01AWA</t>
    <phoneticPr fontId="2" type="noConversion"/>
  </si>
  <si>
    <t>발주분양산-&gt;코아파손수리-&gt;오조립정지</t>
    <phoneticPr fontId="2" type="noConversion"/>
  </si>
  <si>
    <t>4X8 TOP</t>
    <phoneticPr fontId="2" type="noConversion"/>
  </si>
  <si>
    <t>12</t>
    <phoneticPr fontId="2" type="noConversion"/>
  </si>
  <si>
    <t>당일 진행 사항(02일)</t>
    <phoneticPr fontId="2" type="noConversion"/>
  </si>
  <si>
    <t>AMB20D7A-KAA-R5</t>
    <phoneticPr fontId="2" type="noConversion"/>
  </si>
  <si>
    <t>1</t>
    <phoneticPr fontId="2" type="noConversion"/>
  </si>
  <si>
    <t>F/A</t>
    <phoneticPr fontId="2" type="noConversion"/>
  </si>
  <si>
    <t>BOTTOM</t>
    <phoneticPr fontId="2" type="noConversion"/>
  </si>
  <si>
    <t>HDB0708-B1(2c)</t>
    <phoneticPr fontId="2" type="noConversion"/>
  </si>
  <si>
    <t>수리후양산</t>
    <phoneticPr fontId="2" type="noConversion"/>
  </si>
  <si>
    <t>14</t>
    <phoneticPr fontId="2" type="noConversion"/>
  </si>
  <si>
    <t>BASE</t>
    <phoneticPr fontId="2" type="noConversion"/>
  </si>
  <si>
    <t>KR6471-B110PA</t>
    <phoneticPr fontId="2" type="noConversion"/>
  </si>
  <si>
    <t>SST</t>
    <phoneticPr fontId="2" type="noConversion"/>
  </si>
  <si>
    <t>7</t>
    <phoneticPr fontId="2" type="noConversion"/>
  </si>
  <si>
    <t>SAMPLE 진행 사항(01일)</t>
    <phoneticPr fontId="2" type="noConversion"/>
  </si>
  <si>
    <t>K-JR01887-G01CBA</t>
    <phoneticPr fontId="2" type="noConversion"/>
  </si>
  <si>
    <t>AMB0129A-KAA-R7</t>
    <phoneticPr fontId="2" type="noConversion"/>
  </si>
  <si>
    <t>MCS</t>
    <phoneticPr fontId="2" type="noConversion"/>
  </si>
  <si>
    <t>SGF2050</t>
    <phoneticPr fontId="2" type="noConversion"/>
  </si>
  <si>
    <t>수정</t>
    <phoneticPr fontId="2" type="noConversion"/>
  </si>
  <si>
    <t>6</t>
    <phoneticPr fontId="2" type="noConversion"/>
  </si>
  <si>
    <t>AMB0199A-KAA-R1</t>
    <phoneticPr fontId="2" type="noConversion"/>
  </si>
  <si>
    <t>NP612-154-007#LB</t>
    <phoneticPr fontId="2" type="noConversion"/>
  </si>
  <si>
    <t>AYE</t>
    <phoneticPr fontId="2" type="noConversion"/>
  </si>
  <si>
    <t>10</t>
    <phoneticPr fontId="2" type="noConversion"/>
  </si>
  <si>
    <t>SGP2030R N/P</t>
    <phoneticPr fontId="2" type="noConversion"/>
  </si>
  <si>
    <t>금형 수리 내역(01일)</t>
    <phoneticPr fontId="2" type="noConversion"/>
  </si>
  <si>
    <t>설비 점검 내역(01일)</t>
    <phoneticPr fontId="2" type="noConversion"/>
  </si>
  <si>
    <r>
      <t>2021년 09월 02일 일일생산현황</t>
    </r>
    <r>
      <rPr>
        <b/>
        <sz val="14"/>
        <color indexed="8"/>
        <rFont val="굴림체"/>
        <family val="3"/>
        <charset val="129"/>
      </rPr>
      <t>(03일 09시 현재)</t>
    </r>
    <phoneticPr fontId="2" type="noConversion"/>
  </si>
  <si>
    <t>AMB20D7A-KAA-R5</t>
    <phoneticPr fontId="2" type="noConversion"/>
  </si>
  <si>
    <t>K-JR01933-G02AWA</t>
    <phoneticPr fontId="2" type="noConversion"/>
  </si>
  <si>
    <t>2829HQN05-4024-B2</t>
    <phoneticPr fontId="2" type="noConversion"/>
  </si>
  <si>
    <t>SF2250EPR</t>
    <phoneticPr fontId="2" type="noConversion"/>
  </si>
  <si>
    <t>6*12</t>
    <phoneticPr fontId="2" type="noConversion"/>
  </si>
  <si>
    <t>2829HQN05-4024-F3</t>
    <phoneticPr fontId="2" type="noConversion"/>
  </si>
  <si>
    <t>전일 ISSUE 사항(02일)</t>
    <phoneticPr fontId="2" type="noConversion"/>
  </si>
  <si>
    <t>F/A</t>
    <phoneticPr fontId="2" type="noConversion"/>
  </si>
  <si>
    <t>3</t>
    <phoneticPr fontId="2" type="noConversion"/>
  </si>
  <si>
    <t>K-JR01903-A180AWB</t>
    <phoneticPr fontId="2" type="noConversion"/>
  </si>
  <si>
    <t>런너막힘1C막음</t>
    <phoneticPr fontId="2" type="noConversion"/>
  </si>
  <si>
    <t>AMB0355A-KAA-R2</t>
    <phoneticPr fontId="2" type="noConversion"/>
  </si>
  <si>
    <t>코아파손수리</t>
    <phoneticPr fontId="2" type="noConversion"/>
  </si>
  <si>
    <t>5</t>
    <phoneticPr fontId="2" type="noConversion"/>
  </si>
  <si>
    <t>COVER</t>
    <phoneticPr fontId="2" type="noConversion"/>
  </si>
  <si>
    <t>6</t>
    <phoneticPr fontId="2" type="noConversion"/>
  </si>
  <si>
    <t>BOTTOM</t>
    <phoneticPr fontId="2" type="noConversion"/>
  </si>
  <si>
    <t>6X12 TOP</t>
    <phoneticPr fontId="2" type="noConversion"/>
  </si>
  <si>
    <t>8</t>
    <phoneticPr fontId="2" type="noConversion"/>
  </si>
  <si>
    <t>12X12 TOP</t>
    <phoneticPr fontId="2" type="noConversion"/>
  </si>
  <si>
    <t>HDB0708-B1(2c)</t>
    <phoneticPr fontId="2" type="noConversion"/>
  </si>
  <si>
    <t>14</t>
    <phoneticPr fontId="2" type="noConversion"/>
  </si>
  <si>
    <t>BASE</t>
    <phoneticPr fontId="2" type="noConversion"/>
  </si>
  <si>
    <t>KR6471-B110PA</t>
    <phoneticPr fontId="2" type="noConversion"/>
  </si>
  <si>
    <t>발주분양산-&gt;코아파손2회수리</t>
    <phoneticPr fontId="2" type="noConversion"/>
  </si>
  <si>
    <t>7</t>
    <phoneticPr fontId="2" type="noConversion"/>
  </si>
  <si>
    <t>당일 진행 사항(03일)</t>
    <phoneticPr fontId="2" type="noConversion"/>
  </si>
  <si>
    <t>2829HQN05-4024-B1</t>
    <phoneticPr fontId="2" type="noConversion"/>
  </si>
  <si>
    <t>HR032B-084A1</t>
    <phoneticPr fontId="2" type="noConversion"/>
  </si>
  <si>
    <t>AMB0150A-KAA-R1</t>
    <phoneticPr fontId="2" type="noConversion"/>
  </si>
  <si>
    <t>4X8 BOTTOM</t>
    <phoneticPr fontId="2" type="noConversion"/>
  </si>
  <si>
    <t>AMB07U1A-KAA-R5</t>
    <phoneticPr fontId="2" type="noConversion"/>
  </si>
  <si>
    <t>세척후양산</t>
    <phoneticPr fontId="2" type="noConversion"/>
  </si>
  <si>
    <t>2</t>
    <phoneticPr fontId="2" type="noConversion"/>
  </si>
  <si>
    <t>ADAPTER</t>
    <phoneticPr fontId="2" type="noConversion"/>
  </si>
  <si>
    <t>SAMPLE 진행 사항(02일)</t>
    <phoneticPr fontId="2" type="noConversion"/>
  </si>
  <si>
    <t>부족분양산</t>
    <phoneticPr fontId="2" type="noConversion"/>
  </si>
  <si>
    <t>AMB0347A-KBB-R1</t>
    <phoneticPr fontId="2" type="noConversion"/>
  </si>
  <si>
    <t>HS088-10M3</t>
    <phoneticPr fontId="2" type="noConversion"/>
  </si>
  <si>
    <t>PLUNGER</t>
    <phoneticPr fontId="2" type="noConversion"/>
  </si>
  <si>
    <t>신작</t>
    <phoneticPr fontId="2" type="noConversion"/>
  </si>
  <si>
    <t>KR6197-GV153PNC</t>
    <phoneticPr fontId="2" type="noConversion"/>
  </si>
  <si>
    <t>HDB08QL-102S2(1C)</t>
    <phoneticPr fontId="2" type="noConversion"/>
  </si>
  <si>
    <t>HDB08PL-96S2(1C)</t>
    <phoneticPr fontId="2" type="noConversion"/>
  </si>
  <si>
    <t>HDB08J-M02A1(1C)</t>
    <phoneticPr fontId="2" type="noConversion"/>
  </si>
  <si>
    <t>AMB07R5B-KBB-R1</t>
    <phoneticPr fontId="2" type="noConversion"/>
  </si>
  <si>
    <t>SLIDER</t>
    <phoneticPr fontId="2" type="noConversion"/>
  </si>
  <si>
    <t>SGF2030 N/P</t>
    <phoneticPr fontId="2" type="noConversion"/>
  </si>
  <si>
    <t>SGF2050 N/P</t>
    <phoneticPr fontId="2" type="noConversion"/>
  </si>
  <si>
    <t>금형 수리 내역(02일)</t>
    <phoneticPr fontId="2" type="noConversion"/>
  </si>
  <si>
    <t>설비 점검 내역(02일)</t>
    <phoneticPr fontId="2" type="noConversion"/>
  </si>
  <si>
    <r>
      <t>2021년 09월 03일 일일생산현황</t>
    </r>
    <r>
      <rPr>
        <b/>
        <sz val="14"/>
        <color indexed="8"/>
        <rFont val="굴림체"/>
        <family val="3"/>
        <charset val="129"/>
      </rPr>
      <t>(04일 09시 현재)</t>
    </r>
    <phoneticPr fontId="2" type="noConversion"/>
  </si>
  <si>
    <t>STOPPER</t>
    <phoneticPr fontId="2" type="noConversion"/>
  </si>
  <si>
    <t>AMB0253A-KAA-R1</t>
    <phoneticPr fontId="2" type="noConversion"/>
  </si>
  <si>
    <t>7301</t>
    <phoneticPr fontId="2" type="noConversion"/>
  </si>
  <si>
    <t>ACTUATOR</t>
    <phoneticPr fontId="2" type="noConversion"/>
  </si>
  <si>
    <t>AMB1943A-KAA-R1</t>
    <phoneticPr fontId="2" type="noConversion"/>
  </si>
  <si>
    <t>HR032B-084A1</t>
    <phoneticPr fontId="2" type="noConversion"/>
  </si>
  <si>
    <t>PUSHER PLATE</t>
    <phoneticPr fontId="2" type="noConversion"/>
  </si>
  <si>
    <t>HR032B-194A6</t>
    <phoneticPr fontId="2" type="noConversion"/>
  </si>
  <si>
    <t>전일 ISSUE 사항(03일)</t>
    <phoneticPr fontId="2" type="noConversion"/>
  </si>
  <si>
    <t>당일 진행 사항(04일)</t>
    <phoneticPr fontId="2" type="noConversion"/>
  </si>
  <si>
    <t>BURR수리후양산</t>
    <phoneticPr fontId="2" type="noConversion"/>
  </si>
  <si>
    <t>수리후양산-&gt;HOOK파손수리-&gt;코아파손 1C막음</t>
    <phoneticPr fontId="2" type="noConversion"/>
  </si>
  <si>
    <t>STOPPER</t>
    <phoneticPr fontId="2" type="noConversion"/>
  </si>
  <si>
    <t>ACTUATOR</t>
    <phoneticPr fontId="2" type="noConversion"/>
  </si>
  <si>
    <t>발주분양산-&gt;BURR수리후양산</t>
    <phoneticPr fontId="2" type="noConversion"/>
  </si>
  <si>
    <t>NP634-194-001#SP-A</t>
    <phoneticPr fontId="2" type="noConversion"/>
  </si>
  <si>
    <t>12*12 TOP</t>
    <phoneticPr fontId="2" type="noConversion"/>
  </si>
  <si>
    <t>SAMPLE 진행 사항(03일)</t>
    <phoneticPr fontId="2" type="noConversion"/>
  </si>
  <si>
    <t>금형 수리 내역(03일)</t>
    <phoneticPr fontId="2" type="noConversion"/>
  </si>
  <si>
    <t>설비 점검 내역(03일)</t>
    <phoneticPr fontId="2" type="noConversion"/>
  </si>
  <si>
    <r>
      <t>2021년 09월 04일 일일생산현황</t>
    </r>
    <r>
      <rPr>
        <b/>
        <sz val="14"/>
        <color indexed="8"/>
        <rFont val="굴림체"/>
        <family val="3"/>
        <charset val="129"/>
      </rPr>
      <t>(05일 09시 현재)</t>
    </r>
    <phoneticPr fontId="2" type="noConversion"/>
  </si>
  <si>
    <t>8*8</t>
    <phoneticPr fontId="2" type="noConversion"/>
  </si>
  <si>
    <t>HSA08-M02A1</t>
    <phoneticPr fontId="2" type="noConversion"/>
  </si>
  <si>
    <t>전일 ISSUE 사항(04일)</t>
    <phoneticPr fontId="2" type="noConversion"/>
  </si>
  <si>
    <t>12*12TOP</t>
    <phoneticPr fontId="2" type="noConversion"/>
  </si>
  <si>
    <t>발주분양산-&gt;코아파손정지</t>
    <phoneticPr fontId="2" type="noConversion"/>
  </si>
  <si>
    <t>당일 진행 사항(06일)</t>
    <phoneticPr fontId="2" type="noConversion"/>
  </si>
  <si>
    <t>HDBF05-M02B1</t>
    <phoneticPr fontId="2" type="noConversion"/>
  </si>
  <si>
    <t>K-JR01903-D180ZA</t>
    <phoneticPr fontId="2" type="noConversion"/>
  </si>
  <si>
    <t>RIVET</t>
    <phoneticPr fontId="2" type="noConversion"/>
  </si>
  <si>
    <t>HDB0708-T4</t>
    <phoneticPr fontId="2" type="noConversion"/>
  </si>
  <si>
    <t>AMB07Z2A-KAA-R1</t>
    <phoneticPr fontId="2" type="noConversion"/>
  </si>
  <si>
    <t>15</t>
    <phoneticPr fontId="2" type="noConversion"/>
  </si>
  <si>
    <t>SAMPLE 진행 사항(04일)</t>
    <phoneticPr fontId="2" type="noConversion"/>
  </si>
  <si>
    <t>금형 수리 내역(04일)</t>
    <phoneticPr fontId="2" type="noConversion"/>
  </si>
  <si>
    <t>설비 점검 내역(04일)</t>
    <phoneticPr fontId="2" type="noConversion"/>
  </si>
  <si>
    <r>
      <t>2021년 09월 06일 일일생산현황</t>
    </r>
    <r>
      <rPr>
        <b/>
        <sz val="14"/>
        <color indexed="8"/>
        <rFont val="굴림체"/>
        <family val="3"/>
        <charset val="129"/>
      </rPr>
      <t>(07일 09시 현재)</t>
    </r>
    <phoneticPr fontId="2" type="noConversion"/>
  </si>
  <si>
    <t>SGF2041 N/P</t>
    <phoneticPr fontId="2" type="noConversion"/>
  </si>
  <si>
    <t>STOPPER</t>
    <phoneticPr fontId="2" type="noConversion"/>
  </si>
  <si>
    <t>SGP2020R</t>
    <phoneticPr fontId="2" type="noConversion"/>
  </si>
  <si>
    <t>RV1.0-1.2HD-1.15A1</t>
    <phoneticPr fontId="2" type="noConversion"/>
  </si>
  <si>
    <t>RTP Y/L</t>
    <phoneticPr fontId="2" type="noConversion"/>
  </si>
  <si>
    <t>HDB08J-M04A1</t>
    <phoneticPr fontId="2" type="noConversion"/>
  </si>
  <si>
    <t xml:space="preserve">SGF2041 </t>
    <phoneticPr fontId="2" type="noConversion"/>
  </si>
  <si>
    <t>전일 ISSUE 사항(06일)</t>
    <phoneticPr fontId="2" type="noConversion"/>
  </si>
  <si>
    <t>6*12 TOP</t>
    <phoneticPr fontId="2" type="noConversion"/>
  </si>
  <si>
    <t>1</t>
    <phoneticPr fontId="2" type="noConversion"/>
  </si>
  <si>
    <t>HDBF05-M02B1</t>
    <phoneticPr fontId="2" type="noConversion"/>
  </si>
  <si>
    <t>발주분양산-&gt;BURR정지</t>
    <phoneticPr fontId="2" type="noConversion"/>
  </si>
  <si>
    <t>K-JR01903-A180AWB</t>
    <phoneticPr fontId="2" type="noConversion"/>
  </si>
  <si>
    <t>수리후양산</t>
    <phoneticPr fontId="2" type="noConversion"/>
  </si>
  <si>
    <t>SST</t>
    <phoneticPr fontId="2" type="noConversion"/>
  </si>
  <si>
    <t>3</t>
    <phoneticPr fontId="2" type="noConversion"/>
  </si>
  <si>
    <t>4</t>
    <phoneticPr fontId="2" type="noConversion"/>
  </si>
  <si>
    <t>K-JR01903-D180ZA</t>
    <phoneticPr fontId="2" type="noConversion"/>
  </si>
  <si>
    <t>AMB0199A-KAA-R1</t>
    <phoneticPr fontId="2" type="noConversion"/>
  </si>
  <si>
    <t>치수확인후양산</t>
    <phoneticPr fontId="2" type="noConversion"/>
  </si>
  <si>
    <t>MCS</t>
    <phoneticPr fontId="2" type="noConversion"/>
  </si>
  <si>
    <t>6</t>
    <phoneticPr fontId="2" type="noConversion"/>
  </si>
  <si>
    <t>BASE</t>
    <phoneticPr fontId="2" type="noConversion"/>
  </si>
  <si>
    <t>10</t>
    <phoneticPr fontId="2" type="noConversion"/>
  </si>
  <si>
    <t>RIVET</t>
    <phoneticPr fontId="2" type="noConversion"/>
  </si>
  <si>
    <t>HDB08J-M01A1</t>
    <phoneticPr fontId="2" type="noConversion"/>
  </si>
  <si>
    <t>발주분양산-&gt;상측박힘정지</t>
    <phoneticPr fontId="2" type="noConversion"/>
  </si>
  <si>
    <t>HDB08J-M04A1</t>
    <phoneticPr fontId="2" type="noConversion"/>
  </si>
  <si>
    <t>11</t>
    <phoneticPr fontId="2" type="noConversion"/>
  </si>
  <si>
    <t>AMB07Z2A-KAA-R1</t>
    <phoneticPr fontId="2" type="noConversion"/>
  </si>
  <si>
    <t>12</t>
    <phoneticPr fontId="2" type="noConversion"/>
  </si>
  <si>
    <t>ADAPTER</t>
    <phoneticPr fontId="2" type="noConversion"/>
  </si>
  <si>
    <t>AMB0172A-KAA-R3</t>
    <phoneticPr fontId="2" type="noConversion"/>
  </si>
  <si>
    <t>15</t>
    <phoneticPr fontId="2" type="noConversion"/>
  </si>
  <si>
    <t>세척후양산-&gt;오조립-&gt;미성형정지</t>
    <phoneticPr fontId="2" type="noConversion"/>
  </si>
  <si>
    <t>당일 진행 사항(07일)</t>
    <phoneticPr fontId="2" type="noConversion"/>
  </si>
  <si>
    <t>HDB08J-M02A1</t>
    <phoneticPr fontId="2" type="noConversion"/>
  </si>
  <si>
    <t>AMB0187A-KAA-R2</t>
    <phoneticPr fontId="2" type="noConversion"/>
  </si>
  <si>
    <t>AMM0892A-KAA-R1</t>
    <phoneticPr fontId="2" type="noConversion"/>
  </si>
  <si>
    <t>AMB1935A-KAA-R2</t>
    <phoneticPr fontId="2" type="noConversion"/>
  </si>
  <si>
    <t>ACTUATOR</t>
    <phoneticPr fontId="2" type="noConversion"/>
  </si>
  <si>
    <t>SGF2050</t>
    <phoneticPr fontId="2" type="noConversion"/>
  </si>
  <si>
    <t>수정</t>
    <phoneticPr fontId="2" type="noConversion"/>
  </si>
  <si>
    <t>SF2255</t>
    <phoneticPr fontId="2" type="noConversion"/>
  </si>
  <si>
    <t>8301(GRAY)</t>
    <phoneticPr fontId="2" type="noConversion"/>
  </si>
  <si>
    <t>9</t>
    <phoneticPr fontId="2" type="noConversion"/>
  </si>
  <si>
    <t>SGF2030</t>
    <phoneticPr fontId="2" type="noConversion"/>
  </si>
  <si>
    <t>14</t>
    <phoneticPr fontId="2" type="noConversion"/>
  </si>
  <si>
    <t>SAMPLE 진행 사항(06일)</t>
    <phoneticPr fontId="2" type="noConversion"/>
  </si>
  <si>
    <t>금형 수리 내역(06일)</t>
    <phoneticPr fontId="2" type="noConversion"/>
  </si>
  <si>
    <t>설비 점검 내역(06일)</t>
    <phoneticPr fontId="2" type="noConversion"/>
  </si>
  <si>
    <r>
      <t>2021년 09월 07일 일일생산현황</t>
    </r>
    <r>
      <rPr>
        <b/>
        <sz val="14"/>
        <color indexed="8"/>
        <rFont val="굴림체"/>
        <family val="3"/>
        <charset val="129"/>
      </rPr>
      <t>(08일 09시 현재)</t>
    </r>
    <phoneticPr fontId="2" type="noConversion"/>
  </si>
  <si>
    <t>KR6457-F315UA</t>
    <phoneticPr fontId="2" type="noConversion"/>
  </si>
  <si>
    <t>HR032B-194A2</t>
    <phoneticPr fontId="2" type="noConversion"/>
  </si>
  <si>
    <t>AMB09J3C-KAA-R1</t>
    <phoneticPr fontId="2" type="noConversion"/>
  </si>
  <si>
    <t>전일 ISSUE 사항(07일)</t>
    <phoneticPr fontId="2" type="noConversion"/>
  </si>
  <si>
    <t>발주분양산-&gt;78오조립정지</t>
    <phoneticPr fontId="2" type="noConversion"/>
  </si>
  <si>
    <t>HDB0708-T4(3C)</t>
    <phoneticPr fontId="2" type="noConversion"/>
  </si>
  <si>
    <t>발주분양산-&gt;밀핀파손막음</t>
    <phoneticPr fontId="2" type="noConversion"/>
  </si>
  <si>
    <t>수리후양산-&gt;게이트파손정지</t>
    <phoneticPr fontId="2" type="noConversion"/>
  </si>
  <si>
    <t>당일 진행 사항(08일)</t>
    <phoneticPr fontId="2" type="noConversion"/>
  </si>
  <si>
    <t>12X12 TOP</t>
    <phoneticPr fontId="2" type="noConversion"/>
  </si>
  <si>
    <t>8</t>
    <phoneticPr fontId="2" type="noConversion"/>
  </si>
  <si>
    <t>AMB0359A-KAA-R2</t>
    <phoneticPr fontId="2" type="noConversion"/>
  </si>
  <si>
    <t>288F84M-B121A</t>
    <phoneticPr fontId="2" type="noConversion"/>
  </si>
  <si>
    <t>288F84M-B122A</t>
    <phoneticPr fontId="2" type="noConversion"/>
  </si>
  <si>
    <t>OKINS</t>
    <phoneticPr fontId="2" type="noConversion"/>
  </si>
  <si>
    <t>13</t>
    <phoneticPr fontId="2" type="noConversion"/>
  </si>
  <si>
    <t>BASE</t>
    <phoneticPr fontId="2" type="noConversion"/>
  </si>
  <si>
    <t>SAMPLE 진행 사항(07일)</t>
    <phoneticPr fontId="2" type="noConversion"/>
  </si>
  <si>
    <t>16P(4POST)</t>
    <phoneticPr fontId="2" type="noConversion"/>
  </si>
  <si>
    <t>K-JR01939-G01ABA</t>
    <phoneticPr fontId="2" type="noConversion"/>
  </si>
  <si>
    <t>SST</t>
    <phoneticPr fontId="2" type="noConversion"/>
  </si>
  <si>
    <t>ADAPTER</t>
    <phoneticPr fontId="2" type="noConversion"/>
  </si>
  <si>
    <t>SGF2030 N/P</t>
    <phoneticPr fontId="2" type="noConversion"/>
  </si>
  <si>
    <t>수정</t>
    <phoneticPr fontId="2" type="noConversion"/>
  </si>
  <si>
    <t>12</t>
    <phoneticPr fontId="2" type="noConversion"/>
  </si>
  <si>
    <t>금형 수리 내역(07일)</t>
    <phoneticPr fontId="2" type="noConversion"/>
  </si>
  <si>
    <t>설비 점검 내역(07일)</t>
    <phoneticPr fontId="2" type="noConversion"/>
  </si>
  <si>
    <r>
      <t>2021년 09월 08일 일일생산현황</t>
    </r>
    <r>
      <rPr>
        <b/>
        <sz val="14"/>
        <color indexed="8"/>
        <rFont val="굴림체"/>
        <family val="3"/>
        <charset val="129"/>
      </rPr>
      <t>(09일 09시 현재)</t>
    </r>
    <phoneticPr fontId="2" type="noConversion"/>
  </si>
  <si>
    <t>2829HQN05-5632-C4</t>
    <phoneticPr fontId="2" type="noConversion"/>
  </si>
  <si>
    <t>HDB08J-M02A1(78B)</t>
    <phoneticPr fontId="2" type="noConversion"/>
  </si>
  <si>
    <t>전일 ISSUE 사항(08일)</t>
    <phoneticPr fontId="2" type="noConversion"/>
  </si>
  <si>
    <t>HDB0708-S2(3C)</t>
    <phoneticPr fontId="2" type="noConversion"/>
  </si>
  <si>
    <t>발주분양산-&gt;코아파손막음</t>
    <phoneticPr fontId="2" type="noConversion"/>
  </si>
  <si>
    <t>288F84M-B121A</t>
    <phoneticPr fontId="2" type="noConversion"/>
  </si>
  <si>
    <t>288F84M-B122A</t>
    <phoneticPr fontId="2" type="noConversion"/>
  </si>
  <si>
    <t>OKINS</t>
    <phoneticPr fontId="2" type="noConversion"/>
  </si>
  <si>
    <t>13</t>
    <phoneticPr fontId="2" type="noConversion"/>
  </si>
  <si>
    <t>BASE</t>
    <phoneticPr fontId="2" type="noConversion"/>
  </si>
  <si>
    <t>14</t>
    <phoneticPr fontId="2" type="noConversion"/>
  </si>
  <si>
    <t>ACTUATOR</t>
    <phoneticPr fontId="2" type="noConversion"/>
  </si>
  <si>
    <t>AMB1935A-KAA-R2</t>
    <phoneticPr fontId="2" type="noConversion"/>
  </si>
  <si>
    <t>당일 진행 사항(09일)</t>
    <phoneticPr fontId="2" type="noConversion"/>
  </si>
  <si>
    <t>400H-ABG2622A-1</t>
    <phoneticPr fontId="2" type="noConversion"/>
  </si>
  <si>
    <t>COVER/UPPER</t>
    <phoneticPr fontId="2" type="noConversion"/>
  </si>
  <si>
    <t>테스트</t>
    <phoneticPr fontId="2" type="noConversion"/>
  </si>
  <si>
    <t>3</t>
    <phoneticPr fontId="2" type="noConversion"/>
  </si>
  <si>
    <t>AMB09J4B-KAA-R5</t>
    <phoneticPr fontId="2" type="noConversion"/>
  </si>
  <si>
    <t>MCS</t>
    <phoneticPr fontId="2" type="noConversion"/>
  </si>
  <si>
    <t>6</t>
    <phoneticPr fontId="2" type="noConversion"/>
  </si>
  <si>
    <t>LATCH PLATE</t>
    <phoneticPr fontId="2" type="noConversion"/>
  </si>
  <si>
    <t>NP612-154-007#LB</t>
    <phoneticPr fontId="2" type="noConversion"/>
  </si>
  <si>
    <t>AYE</t>
    <phoneticPr fontId="2" type="noConversion"/>
  </si>
  <si>
    <t>12</t>
    <phoneticPr fontId="2" type="noConversion"/>
  </si>
  <si>
    <t>SAMPLE 진행 사항(08일)</t>
    <phoneticPr fontId="2" type="noConversion"/>
  </si>
  <si>
    <t>KR6457-E01XX</t>
    <phoneticPr fontId="2" type="noConversion"/>
  </si>
  <si>
    <t>AMB0165B-KBB-R1</t>
    <phoneticPr fontId="2" type="noConversion"/>
  </si>
  <si>
    <t>KR6457AB315PA</t>
    <phoneticPr fontId="2" type="noConversion"/>
  </si>
  <si>
    <t>SST</t>
    <phoneticPr fontId="2" type="noConversion"/>
  </si>
  <si>
    <t>LATCH</t>
    <phoneticPr fontId="2" type="noConversion"/>
  </si>
  <si>
    <t>COVER</t>
    <phoneticPr fontId="2" type="noConversion"/>
  </si>
  <si>
    <t>JD4901</t>
    <phoneticPr fontId="2" type="noConversion"/>
  </si>
  <si>
    <t>SGF2050</t>
    <phoneticPr fontId="2" type="noConversion"/>
  </si>
  <si>
    <t>SF2250EPR</t>
    <phoneticPr fontId="2" type="noConversion"/>
  </si>
  <si>
    <t>신작</t>
    <phoneticPr fontId="2" type="noConversion"/>
  </si>
  <si>
    <t>수정</t>
    <phoneticPr fontId="2" type="noConversion"/>
  </si>
  <si>
    <t>옵션</t>
    <phoneticPr fontId="2" type="noConversion"/>
  </si>
  <si>
    <t>11</t>
    <phoneticPr fontId="2" type="noConversion"/>
  </si>
  <si>
    <t>제품눌림</t>
    <phoneticPr fontId="2" type="noConversion"/>
  </si>
  <si>
    <t>금형 수리 내역(08일)</t>
    <phoneticPr fontId="2" type="noConversion"/>
  </si>
  <si>
    <t>설비 점검 내역(08일)</t>
    <phoneticPr fontId="2" type="noConversion"/>
  </si>
  <si>
    <r>
      <t>2021년 09월 09일 일일생산현황</t>
    </r>
    <r>
      <rPr>
        <b/>
        <sz val="14"/>
        <color indexed="8"/>
        <rFont val="굴림체"/>
        <family val="3"/>
        <charset val="129"/>
      </rPr>
      <t>(10일 09시 현재)</t>
    </r>
    <phoneticPr fontId="2" type="noConversion"/>
  </si>
  <si>
    <t>UPP/COVER</t>
    <phoneticPr fontId="2" type="noConversion"/>
  </si>
  <si>
    <t>2*1</t>
    <phoneticPr fontId="2" type="noConversion"/>
  </si>
  <si>
    <t>AMB09J4B-KAA-R5</t>
    <phoneticPr fontId="2" type="noConversion"/>
  </si>
  <si>
    <t>HRCS-00C14C</t>
    <phoneticPr fontId="2" type="noConversion"/>
  </si>
  <si>
    <t>HDB0708-S2</t>
    <phoneticPr fontId="2" type="noConversion"/>
  </si>
  <si>
    <t>전일 ISSUE 사항(09일)</t>
    <phoneticPr fontId="2" type="noConversion"/>
  </si>
  <si>
    <t>BOTTOM</t>
    <phoneticPr fontId="2" type="noConversion"/>
  </si>
  <si>
    <t>400H-ABG2622A-1</t>
    <phoneticPr fontId="2" type="noConversion"/>
  </si>
  <si>
    <t>코아파손정지</t>
    <phoneticPr fontId="2" type="noConversion"/>
  </si>
  <si>
    <t>코아파손3회정지</t>
    <phoneticPr fontId="2" type="noConversion"/>
  </si>
  <si>
    <t>6</t>
    <phoneticPr fontId="2" type="noConversion"/>
  </si>
  <si>
    <t>LATCH PLATE</t>
    <phoneticPr fontId="2" type="noConversion"/>
  </si>
  <si>
    <t>당일 진행 사항(10일)</t>
    <phoneticPr fontId="2" type="noConversion"/>
  </si>
  <si>
    <t>테스트</t>
    <phoneticPr fontId="2" type="noConversion"/>
  </si>
  <si>
    <t>3</t>
    <phoneticPr fontId="2" type="noConversion"/>
  </si>
  <si>
    <t>UPP/COVER</t>
    <phoneticPr fontId="2" type="noConversion"/>
  </si>
  <si>
    <t>PUSHER/LATCH</t>
    <phoneticPr fontId="2" type="noConversion"/>
  </si>
  <si>
    <t>ODT</t>
    <phoneticPr fontId="2" type="noConversion"/>
  </si>
  <si>
    <t>2</t>
    <phoneticPr fontId="2" type="noConversion"/>
  </si>
  <si>
    <t>SW-003353(INNER)</t>
    <phoneticPr fontId="2" type="noConversion"/>
  </si>
  <si>
    <t>COVER</t>
    <phoneticPr fontId="2" type="noConversion"/>
  </si>
  <si>
    <t>NP612-121-007#IN-A</t>
    <phoneticPr fontId="2" type="noConversion"/>
  </si>
  <si>
    <t>NP612-154-007#LB</t>
    <phoneticPr fontId="2" type="noConversion"/>
  </si>
  <si>
    <t>NP612-121-007#IN-B</t>
    <phoneticPr fontId="2" type="noConversion"/>
  </si>
  <si>
    <t>AYE</t>
    <phoneticPr fontId="2" type="noConversion"/>
  </si>
  <si>
    <t>12</t>
    <phoneticPr fontId="2" type="noConversion"/>
  </si>
  <si>
    <t>14</t>
    <phoneticPr fontId="2" type="noConversion"/>
  </si>
  <si>
    <t>SAMPLE 진행 사항(09일)</t>
    <phoneticPr fontId="2" type="noConversion"/>
  </si>
  <si>
    <t>AMB07R5B-KCC-R1</t>
    <phoneticPr fontId="2" type="noConversion"/>
  </si>
  <si>
    <t>MCS</t>
    <phoneticPr fontId="2" type="noConversion"/>
  </si>
  <si>
    <t>DUMMY</t>
    <phoneticPr fontId="2" type="noConversion"/>
  </si>
  <si>
    <t>SGF2050 N/P</t>
    <phoneticPr fontId="2" type="noConversion"/>
  </si>
  <si>
    <t>수정</t>
    <phoneticPr fontId="2" type="noConversion"/>
  </si>
  <si>
    <t>1</t>
    <phoneticPr fontId="2" type="noConversion"/>
  </si>
  <si>
    <t>상측박힘</t>
    <phoneticPr fontId="2" type="noConversion"/>
  </si>
  <si>
    <t>금형 수리 내역(09일)</t>
    <phoneticPr fontId="2" type="noConversion"/>
  </si>
  <si>
    <t>설비 점검 내역(09일)</t>
    <phoneticPr fontId="2" type="noConversion"/>
  </si>
  <si>
    <r>
      <t>2021년 09월 10일 일일생산현황</t>
    </r>
    <r>
      <rPr>
        <b/>
        <sz val="14"/>
        <color indexed="8"/>
        <rFont val="굴림체"/>
        <family val="3"/>
        <charset val="129"/>
      </rPr>
      <t>(11일 09시 현재)</t>
    </r>
    <phoneticPr fontId="2" type="noConversion"/>
  </si>
  <si>
    <t>INNER</t>
    <phoneticPr fontId="2" type="noConversion"/>
  </si>
  <si>
    <t>SW-003353</t>
    <phoneticPr fontId="2" type="noConversion"/>
  </si>
  <si>
    <t>PC투명</t>
    <phoneticPr fontId="2" type="noConversion"/>
  </si>
  <si>
    <t>NP612-121-007#IN-A</t>
    <phoneticPr fontId="2" type="noConversion"/>
  </si>
  <si>
    <t>AM0148B-K-R2</t>
    <phoneticPr fontId="2" type="noConversion"/>
  </si>
  <si>
    <t>NP612-154-007#LB</t>
    <phoneticPr fontId="2" type="noConversion"/>
  </si>
  <si>
    <t>NP612-121-007#IN-B</t>
    <phoneticPr fontId="2" type="noConversion"/>
  </si>
  <si>
    <t>전일 ISSUE 사항(10일)</t>
    <phoneticPr fontId="2" type="noConversion"/>
  </si>
  <si>
    <t>7</t>
    <phoneticPr fontId="2" type="noConversion"/>
  </si>
  <si>
    <t>KR6471-B110PA</t>
    <phoneticPr fontId="2" type="noConversion"/>
  </si>
  <si>
    <t>발주분양산-&gt;1C파손막음</t>
    <phoneticPr fontId="2" type="noConversion"/>
  </si>
  <si>
    <t>LEAD GUIDE</t>
    <phoneticPr fontId="2" type="noConversion"/>
  </si>
  <si>
    <t>KR6457-F315UA</t>
    <phoneticPr fontId="2" type="noConversion"/>
  </si>
  <si>
    <t>발주분양산-&gt;BURR수리</t>
    <phoneticPr fontId="2" type="noConversion"/>
  </si>
  <si>
    <t>당일 진행 사항(13일)</t>
    <phoneticPr fontId="2" type="noConversion"/>
  </si>
  <si>
    <t>K-JR01887-G04CBA</t>
    <phoneticPr fontId="2" type="noConversion"/>
  </si>
  <si>
    <t>ADAPTER</t>
    <phoneticPr fontId="2" type="noConversion"/>
  </si>
  <si>
    <t>SW-003353(INNER)</t>
    <phoneticPr fontId="2" type="noConversion"/>
  </si>
  <si>
    <t>발주분양산-&gt;에젝타2회수리</t>
    <phoneticPr fontId="2" type="noConversion"/>
  </si>
  <si>
    <t>ODT</t>
    <phoneticPr fontId="2" type="noConversion"/>
  </si>
  <si>
    <t>2</t>
    <phoneticPr fontId="2" type="noConversion"/>
  </si>
  <si>
    <t>AMM08008A-KAA-R1</t>
    <phoneticPr fontId="2" type="noConversion"/>
  </si>
  <si>
    <t>MCS</t>
    <phoneticPr fontId="2" type="noConversion"/>
  </si>
  <si>
    <t>3</t>
    <phoneticPr fontId="2" type="noConversion"/>
  </si>
  <si>
    <t>BASE</t>
    <phoneticPr fontId="2" type="noConversion"/>
  </si>
  <si>
    <t>AMB0172A-KAA-R3</t>
    <phoneticPr fontId="2" type="noConversion"/>
  </si>
  <si>
    <t>15</t>
    <phoneticPr fontId="2" type="noConversion"/>
  </si>
  <si>
    <t>AYE</t>
    <phoneticPr fontId="2" type="noConversion"/>
  </si>
  <si>
    <t>14</t>
    <phoneticPr fontId="2" type="noConversion"/>
  </si>
  <si>
    <t>SAMPLE 진행 사항(10일)</t>
    <phoneticPr fontId="2" type="noConversion"/>
  </si>
  <si>
    <t>SST</t>
    <phoneticPr fontId="2" type="noConversion"/>
  </si>
  <si>
    <t>LEAD GUIDE</t>
    <phoneticPr fontId="2" type="noConversion"/>
  </si>
  <si>
    <t>KR6457AB315PA</t>
    <phoneticPr fontId="2" type="noConversion"/>
  </si>
  <si>
    <t>SF2250EPR</t>
    <phoneticPr fontId="2" type="noConversion"/>
  </si>
  <si>
    <t>뜯김</t>
    <phoneticPr fontId="2" type="noConversion"/>
  </si>
  <si>
    <t>K-JR01887-G04CBA</t>
    <phoneticPr fontId="2" type="noConversion"/>
  </si>
  <si>
    <t>SGF2030 N/P</t>
    <phoneticPr fontId="2" type="noConversion"/>
  </si>
  <si>
    <t>금형 수리 내역(10일)</t>
    <phoneticPr fontId="2" type="noConversion"/>
  </si>
  <si>
    <t>설비 점검 내역(10일)</t>
    <phoneticPr fontId="2" type="noConversion"/>
  </si>
  <si>
    <r>
      <t>2021년 09월 13일 일일생산현황</t>
    </r>
    <r>
      <rPr>
        <b/>
        <sz val="14"/>
        <color indexed="8"/>
        <rFont val="굴림체"/>
        <family val="3"/>
        <charset val="129"/>
      </rPr>
      <t>(11일 09시 현재)</t>
    </r>
    <phoneticPr fontId="2" type="noConversion"/>
  </si>
  <si>
    <t>Pattern Cover-1</t>
    <phoneticPr fontId="2" type="noConversion"/>
  </si>
  <si>
    <t>HSA08-M03A1</t>
    <phoneticPr fontId="2" type="noConversion"/>
  </si>
  <si>
    <t>전일 ISSUE 사항(13일)</t>
    <phoneticPr fontId="2" type="noConversion"/>
  </si>
  <si>
    <t>수리후양산-&gt;1C파손막음</t>
    <phoneticPr fontId="2" type="noConversion"/>
  </si>
  <si>
    <t>MCS</t>
    <phoneticPr fontId="2" type="noConversion"/>
  </si>
  <si>
    <t>3</t>
    <phoneticPr fontId="2" type="noConversion"/>
  </si>
  <si>
    <t>BASE</t>
    <phoneticPr fontId="2" type="noConversion"/>
  </si>
  <si>
    <t>AMM08008A-KAA-R1</t>
    <phoneticPr fontId="2" type="noConversion"/>
  </si>
  <si>
    <t>AMM08008B-KAA-R1</t>
    <phoneticPr fontId="2" type="noConversion"/>
  </si>
  <si>
    <t>발주분양산-&gt;뜯김정지</t>
    <phoneticPr fontId="2" type="noConversion"/>
  </si>
  <si>
    <t>HSA08-M03A1(1C)</t>
    <phoneticPr fontId="2" type="noConversion"/>
  </si>
  <si>
    <t>HICON</t>
    <phoneticPr fontId="2" type="noConversion"/>
  </si>
  <si>
    <t>13</t>
    <phoneticPr fontId="2" type="noConversion"/>
  </si>
  <si>
    <t>COVER</t>
    <phoneticPr fontId="2" type="noConversion"/>
  </si>
  <si>
    <t>Pattern Cover-1</t>
    <phoneticPr fontId="2" type="noConversion"/>
  </si>
  <si>
    <t>SST</t>
    <phoneticPr fontId="2" type="noConversion"/>
  </si>
  <si>
    <t>31</t>
    <phoneticPr fontId="2" type="noConversion"/>
  </si>
  <si>
    <t>당일 진행 사항(14일)</t>
    <phoneticPr fontId="2" type="noConversion"/>
  </si>
  <si>
    <t>15</t>
    <phoneticPr fontId="2" type="noConversion"/>
  </si>
  <si>
    <t>AMB0172A-KAA-R5</t>
    <phoneticPr fontId="2" type="noConversion"/>
  </si>
  <si>
    <t>세척후양산-&gt;BURR2회정지</t>
    <phoneticPr fontId="2" type="noConversion"/>
  </si>
  <si>
    <t>AMM08008B-KAA-R1</t>
    <phoneticPr fontId="2" type="noConversion"/>
  </si>
  <si>
    <t>BP22-127A1</t>
    <phoneticPr fontId="2" type="noConversion"/>
  </si>
  <si>
    <t>발주분양산</t>
    <phoneticPr fontId="2" type="noConversion"/>
  </si>
  <si>
    <t>6</t>
    <phoneticPr fontId="2" type="noConversion"/>
  </si>
  <si>
    <t>AMB0414A-KAA-R3</t>
    <phoneticPr fontId="2" type="noConversion"/>
  </si>
  <si>
    <t>7</t>
    <phoneticPr fontId="2" type="noConversion"/>
  </si>
  <si>
    <t>LEAD GUIDE</t>
    <phoneticPr fontId="2" type="noConversion"/>
  </si>
  <si>
    <t>SAMPLE 진행 사항(13일)</t>
    <phoneticPr fontId="2" type="noConversion"/>
  </si>
  <si>
    <t>K-JR01887-G04CBA</t>
    <phoneticPr fontId="2" type="noConversion"/>
  </si>
  <si>
    <t>AMM08012A-KAA-R1</t>
    <phoneticPr fontId="2" type="noConversion"/>
  </si>
  <si>
    <t>288F84M-B157A</t>
    <phoneticPr fontId="2" type="noConversion"/>
  </si>
  <si>
    <t>288F84M-B158A</t>
    <phoneticPr fontId="2" type="noConversion"/>
  </si>
  <si>
    <t>AMB2071B-KAA-R4</t>
    <phoneticPr fontId="2" type="noConversion"/>
  </si>
  <si>
    <t>ADAPTER</t>
    <phoneticPr fontId="2" type="noConversion"/>
  </si>
  <si>
    <t>SGF2030 N/P</t>
    <phoneticPr fontId="2" type="noConversion"/>
  </si>
  <si>
    <t>요청</t>
    <phoneticPr fontId="2" type="noConversion"/>
  </si>
  <si>
    <t>1</t>
    <phoneticPr fontId="2" type="noConversion"/>
  </si>
  <si>
    <t>금형비차감</t>
    <phoneticPr fontId="2" type="noConversion"/>
  </si>
  <si>
    <t>G1300H,3030G</t>
    <phoneticPr fontId="2" type="noConversion"/>
  </si>
  <si>
    <t>수정</t>
    <phoneticPr fontId="2" type="noConversion"/>
  </si>
  <si>
    <t>코아파손2회</t>
    <phoneticPr fontId="2" type="noConversion"/>
  </si>
  <si>
    <t>OKINS</t>
    <phoneticPr fontId="2" type="noConversion"/>
  </si>
  <si>
    <t>G1300H</t>
    <phoneticPr fontId="2" type="noConversion"/>
  </si>
  <si>
    <t>신작</t>
    <phoneticPr fontId="2" type="noConversion"/>
  </si>
  <si>
    <t>F/A</t>
    <phoneticPr fontId="2" type="noConversion"/>
  </si>
  <si>
    <t>35</t>
    <phoneticPr fontId="2" type="noConversion"/>
  </si>
  <si>
    <t>금형 수리 내역(13일)</t>
    <phoneticPr fontId="2" type="noConversion"/>
  </si>
  <si>
    <t>설비 점검 내역(13일)</t>
    <phoneticPr fontId="2" type="noConversion"/>
  </si>
  <si>
    <r>
      <t>2021년 09월 14일 일일생산현황</t>
    </r>
    <r>
      <rPr>
        <b/>
        <sz val="14"/>
        <color indexed="8"/>
        <rFont val="굴림체"/>
        <family val="3"/>
        <charset val="129"/>
      </rPr>
      <t>(15일 09시 현재)</t>
    </r>
    <phoneticPr fontId="2" type="noConversion"/>
  </si>
  <si>
    <t>22P</t>
    <phoneticPr fontId="2" type="noConversion"/>
  </si>
  <si>
    <t>BP22-127A1</t>
    <phoneticPr fontId="2" type="noConversion"/>
  </si>
  <si>
    <t>016-125-313</t>
    <phoneticPr fontId="2" type="noConversion"/>
  </si>
  <si>
    <t>16P</t>
    <phoneticPr fontId="2" type="noConversion"/>
  </si>
  <si>
    <t>KR6457-C315TA</t>
    <phoneticPr fontId="2" type="noConversion"/>
  </si>
  <si>
    <t>REAR COVER</t>
    <phoneticPr fontId="2" type="noConversion"/>
  </si>
  <si>
    <t>SW-003354</t>
    <phoneticPr fontId="2" type="noConversion"/>
  </si>
  <si>
    <t>PC B/K</t>
    <phoneticPr fontId="2" type="noConversion"/>
  </si>
  <si>
    <t>전일 ISSUE 사항(14일)</t>
    <phoneticPr fontId="2" type="noConversion"/>
  </si>
  <si>
    <t>SW-003354</t>
    <phoneticPr fontId="2" type="noConversion"/>
  </si>
  <si>
    <t>수리후양산-&gt;코아파손정지</t>
    <phoneticPr fontId="2" type="noConversion"/>
  </si>
  <si>
    <t>수정-&gt;코아파손수리</t>
    <phoneticPr fontId="2" type="noConversion"/>
  </si>
  <si>
    <t>KR6457-C315TA</t>
    <phoneticPr fontId="2" type="noConversion"/>
  </si>
  <si>
    <t>SST</t>
    <phoneticPr fontId="2" type="noConversion"/>
  </si>
  <si>
    <t>13</t>
    <phoneticPr fontId="2" type="noConversion"/>
  </si>
  <si>
    <t>치수확인후양산</t>
    <phoneticPr fontId="2" type="noConversion"/>
  </si>
  <si>
    <t>5</t>
    <phoneticPr fontId="2" type="noConversion"/>
  </si>
  <si>
    <t>LEAD GUIDE</t>
    <phoneticPr fontId="2" type="noConversion"/>
  </si>
  <si>
    <t>KR6457-F315UA</t>
    <phoneticPr fontId="2" type="noConversion"/>
  </si>
  <si>
    <t>당일 진행 사항(15일)</t>
    <phoneticPr fontId="2" type="noConversion"/>
  </si>
  <si>
    <t>HICON</t>
    <phoneticPr fontId="2" type="noConversion"/>
  </si>
  <si>
    <t>22P</t>
    <phoneticPr fontId="2" type="noConversion"/>
  </si>
  <si>
    <t>AMB0414A-KAA-R3</t>
    <phoneticPr fontId="2" type="noConversion"/>
  </si>
  <si>
    <t>7</t>
    <phoneticPr fontId="2" type="noConversion"/>
  </si>
  <si>
    <t>12X12 TOP</t>
    <phoneticPr fontId="2" type="noConversion"/>
  </si>
  <si>
    <t>발주분양산</t>
    <phoneticPr fontId="2" type="noConversion"/>
  </si>
  <si>
    <t>8</t>
    <phoneticPr fontId="2" type="noConversion"/>
  </si>
  <si>
    <t>HSCB65-M02A1</t>
    <phoneticPr fontId="2" type="noConversion"/>
  </si>
  <si>
    <t>12</t>
    <phoneticPr fontId="2" type="noConversion"/>
  </si>
  <si>
    <t>SLIDER</t>
    <phoneticPr fontId="2" type="noConversion"/>
  </si>
  <si>
    <t>SAMPLE 진행 사항(14일)</t>
    <phoneticPr fontId="2" type="noConversion"/>
  </si>
  <si>
    <t>AMM08010A-KAA-R1</t>
    <phoneticPr fontId="2" type="noConversion"/>
  </si>
  <si>
    <t>KR6457-GB315PNA</t>
    <phoneticPr fontId="2" type="noConversion"/>
  </si>
  <si>
    <t>AMB09J4B-KAA-R5</t>
    <phoneticPr fontId="2" type="noConversion"/>
  </si>
  <si>
    <t>HDB08NL-78S2</t>
    <phoneticPr fontId="2" type="noConversion"/>
  </si>
  <si>
    <t>HDB08PL-96S2</t>
    <phoneticPr fontId="2" type="noConversion"/>
  </si>
  <si>
    <t>MCS</t>
    <phoneticPr fontId="2" type="noConversion"/>
  </si>
  <si>
    <t>BASE</t>
    <phoneticPr fontId="2" type="noConversion"/>
  </si>
  <si>
    <t>SF2255 I/V</t>
    <phoneticPr fontId="2" type="noConversion"/>
  </si>
  <si>
    <t>ADAPTER</t>
    <phoneticPr fontId="2" type="noConversion"/>
  </si>
  <si>
    <t>SF2250EPR</t>
    <phoneticPr fontId="2" type="noConversion"/>
  </si>
  <si>
    <t>수정</t>
    <phoneticPr fontId="2" type="noConversion"/>
  </si>
  <si>
    <t>1</t>
    <phoneticPr fontId="2" type="noConversion"/>
  </si>
  <si>
    <t>LATCH PLATE</t>
    <phoneticPr fontId="2" type="noConversion"/>
  </si>
  <si>
    <t>SGF2030,EX08302,ECL36</t>
    <phoneticPr fontId="2" type="noConversion"/>
  </si>
  <si>
    <t>원재료</t>
    <phoneticPr fontId="2" type="noConversion"/>
  </si>
  <si>
    <t>각200</t>
    <phoneticPr fontId="2" type="noConversion"/>
  </si>
  <si>
    <t>SGF2030 N/P</t>
    <phoneticPr fontId="2" type="noConversion"/>
  </si>
  <si>
    <t>COVER</t>
    <phoneticPr fontId="2" type="noConversion"/>
  </si>
  <si>
    <t>JD4901</t>
    <phoneticPr fontId="2" type="noConversion"/>
  </si>
  <si>
    <t>금형 수리 내역(14일)</t>
    <phoneticPr fontId="2" type="noConversion"/>
  </si>
  <si>
    <t>설비 점검 내역(14일)</t>
    <phoneticPr fontId="2" type="noConversion"/>
  </si>
  <si>
    <t>KR6457-A315YA</t>
    <phoneticPr fontId="2" type="noConversion"/>
  </si>
  <si>
    <t>SGF2030  N/P</t>
    <phoneticPr fontId="2" type="noConversion"/>
  </si>
  <si>
    <t>KR6457-E01TA</t>
    <phoneticPr fontId="2" type="noConversion"/>
  </si>
  <si>
    <t>KR6457AB315PMA</t>
    <phoneticPr fontId="2" type="noConversion"/>
  </si>
  <si>
    <t>전일 ISSUE 사항(15일)</t>
    <phoneticPr fontId="2" type="noConversion"/>
  </si>
  <si>
    <t>코아파손2회정지</t>
    <phoneticPr fontId="2" type="noConversion"/>
  </si>
  <si>
    <t>틀어짐정지</t>
    <phoneticPr fontId="2" type="noConversion"/>
  </si>
  <si>
    <t>코아파손1C막음</t>
    <phoneticPr fontId="2" type="noConversion"/>
  </si>
  <si>
    <t>수리후양산-&gt;코아파손1C막음</t>
    <phoneticPr fontId="2" type="noConversion"/>
  </si>
  <si>
    <t>당일 진행 사항(16일)</t>
    <phoneticPr fontId="2" type="noConversion"/>
  </si>
  <si>
    <t>SW-003092</t>
    <phoneticPr fontId="2" type="noConversion"/>
  </si>
  <si>
    <t>HOLDER</t>
    <phoneticPr fontId="2" type="noConversion"/>
  </si>
  <si>
    <t>PLANGER</t>
    <phoneticPr fontId="2" type="noConversion"/>
  </si>
  <si>
    <t>SAMPLE 진행 사항(15일)</t>
    <phoneticPr fontId="2" type="noConversion"/>
  </si>
  <si>
    <t>HS088-10M1/10M2</t>
    <phoneticPr fontId="2" type="noConversion"/>
  </si>
  <si>
    <t>BASE/BOTTOM</t>
    <phoneticPr fontId="2" type="noConversion"/>
  </si>
  <si>
    <t>금형 수리 내역(15일)</t>
    <phoneticPr fontId="2" type="noConversion"/>
  </si>
  <si>
    <t>설비 점검 내역(15일)</t>
    <phoneticPr fontId="2" type="noConversion"/>
  </si>
  <si>
    <r>
      <t>2021년 09월 15일 일일생산현황</t>
    </r>
    <r>
      <rPr>
        <b/>
        <sz val="14"/>
        <color indexed="8"/>
        <rFont val="굴림체"/>
        <family val="3"/>
        <charset val="129"/>
      </rPr>
      <t>(16일 09시 현재)</t>
    </r>
    <phoneticPr fontId="2" type="noConversion"/>
  </si>
  <si>
    <r>
      <t>2021년 09월 16일 일일생산현황</t>
    </r>
    <r>
      <rPr>
        <b/>
        <sz val="14"/>
        <color indexed="8"/>
        <rFont val="굴림체"/>
        <family val="3"/>
        <charset val="129"/>
      </rPr>
      <t>(17일 09시 현재)</t>
    </r>
    <phoneticPr fontId="2" type="noConversion"/>
  </si>
  <si>
    <t>COVER/HOLDER</t>
    <phoneticPr fontId="2" type="noConversion"/>
  </si>
  <si>
    <t>SW-003092/3152</t>
    <phoneticPr fontId="2" type="noConversion"/>
  </si>
  <si>
    <t>PBT</t>
    <phoneticPr fontId="2" type="noConversion"/>
  </si>
  <si>
    <t>2*1</t>
    <phoneticPr fontId="2" type="noConversion"/>
  </si>
  <si>
    <t>TOP/BOTTOM</t>
    <phoneticPr fontId="2" type="noConversion"/>
  </si>
  <si>
    <t>HS088-10M1/2</t>
    <phoneticPr fontId="2" type="noConversion"/>
  </si>
  <si>
    <t>전일 ISSUE 사항(16일)</t>
    <phoneticPr fontId="2" type="noConversion"/>
  </si>
  <si>
    <t>SW-003092/3152</t>
    <phoneticPr fontId="2" type="noConversion"/>
  </si>
  <si>
    <t>틀어짐4회정지</t>
    <phoneticPr fontId="2" type="noConversion"/>
  </si>
  <si>
    <t>AMB0414A-KAA-R3</t>
    <phoneticPr fontId="2" type="noConversion"/>
  </si>
  <si>
    <t>코아파손수리</t>
    <phoneticPr fontId="2" type="noConversion"/>
  </si>
  <si>
    <t>MCS</t>
    <phoneticPr fontId="2" type="noConversion"/>
  </si>
  <si>
    <t>7</t>
    <phoneticPr fontId="2" type="noConversion"/>
  </si>
  <si>
    <t>LEAD GUIDE</t>
    <phoneticPr fontId="2" type="noConversion"/>
  </si>
  <si>
    <t>AMB0172A-KAA-R3</t>
    <phoneticPr fontId="2" type="noConversion"/>
  </si>
  <si>
    <t>수리후양산</t>
    <phoneticPr fontId="2" type="noConversion"/>
  </si>
  <si>
    <t>15</t>
    <phoneticPr fontId="2" type="noConversion"/>
  </si>
  <si>
    <t>BASE</t>
    <phoneticPr fontId="2" type="noConversion"/>
  </si>
  <si>
    <t>HS088-10M3</t>
    <phoneticPr fontId="2" type="noConversion"/>
  </si>
  <si>
    <t>13</t>
    <phoneticPr fontId="2" type="noConversion"/>
  </si>
  <si>
    <t>PLANGER</t>
    <phoneticPr fontId="2" type="noConversion"/>
  </si>
  <si>
    <t>HS088-10M1/2</t>
    <phoneticPr fontId="2" type="noConversion"/>
  </si>
  <si>
    <t>치수확인후양산</t>
    <phoneticPr fontId="2" type="noConversion"/>
  </si>
  <si>
    <t>TOP/BOTTOM</t>
    <phoneticPr fontId="2" type="noConversion"/>
  </si>
  <si>
    <t>당일 진행 사항(17일)</t>
    <phoneticPr fontId="2" type="noConversion"/>
  </si>
  <si>
    <t>K-JR01939-C01ATA</t>
    <phoneticPr fontId="2" type="noConversion"/>
  </si>
  <si>
    <t>K-AR3544-1A</t>
    <phoneticPr fontId="2" type="noConversion"/>
  </si>
  <si>
    <t>K-AR3547-1A</t>
    <phoneticPr fontId="2" type="noConversion"/>
  </si>
  <si>
    <t>K-AR3545-1A</t>
    <phoneticPr fontId="2" type="noConversion"/>
  </si>
  <si>
    <t>SST</t>
    <phoneticPr fontId="2" type="noConversion"/>
  </si>
  <si>
    <t>31</t>
    <phoneticPr fontId="2" type="noConversion"/>
  </si>
  <si>
    <t>33</t>
    <phoneticPr fontId="2" type="noConversion"/>
  </si>
  <si>
    <t>SLIDER</t>
    <phoneticPr fontId="2" type="noConversion"/>
  </si>
  <si>
    <t>34</t>
    <phoneticPr fontId="2" type="noConversion"/>
  </si>
  <si>
    <t>AMB07Z2A-KAA-R1</t>
    <phoneticPr fontId="2" type="noConversion"/>
  </si>
  <si>
    <t>2</t>
    <phoneticPr fontId="2" type="noConversion"/>
  </si>
  <si>
    <t>ADAPTER</t>
    <phoneticPr fontId="2" type="noConversion"/>
  </si>
  <si>
    <t>SAMPLE 진행 사항(16일)</t>
    <phoneticPr fontId="2" type="noConversion"/>
  </si>
  <si>
    <t>HS088-10M1</t>
    <phoneticPr fontId="2" type="noConversion"/>
  </si>
  <si>
    <t>AMM08007A-KAA-R1</t>
    <phoneticPr fontId="2" type="noConversion"/>
  </si>
  <si>
    <t>GN2330</t>
    <phoneticPr fontId="2" type="noConversion"/>
  </si>
  <si>
    <t>요청</t>
    <phoneticPr fontId="2" type="noConversion"/>
  </si>
  <si>
    <t>9</t>
    <phoneticPr fontId="2" type="noConversion"/>
  </si>
  <si>
    <t>지그작업</t>
    <phoneticPr fontId="2" type="noConversion"/>
  </si>
  <si>
    <t>AMM0899A-KAA-R1</t>
    <phoneticPr fontId="2" type="noConversion"/>
  </si>
  <si>
    <t>SF2255</t>
    <phoneticPr fontId="2" type="noConversion"/>
  </si>
  <si>
    <t>금형 수리 내역(16일)</t>
    <phoneticPr fontId="2" type="noConversion"/>
  </si>
  <si>
    <t>설비 점검 내역(16일)</t>
    <phoneticPr fontId="2" type="noConversion"/>
  </si>
  <si>
    <r>
      <t>2021년 09월 17일 일일생산현황</t>
    </r>
    <r>
      <rPr>
        <b/>
        <sz val="14"/>
        <color indexed="8"/>
        <rFont val="굴림체"/>
        <family val="3"/>
        <charset val="129"/>
      </rPr>
      <t>(18일 09시 현재)</t>
    </r>
    <phoneticPr fontId="2" type="noConversion"/>
  </si>
  <si>
    <t>AMB07Z2A-KAA-R1</t>
    <phoneticPr fontId="2" type="noConversion"/>
  </si>
  <si>
    <t>K-JR01939-C01ATA</t>
    <phoneticPr fontId="2" type="noConversion"/>
  </si>
  <si>
    <t>전일 ISSUE 사항(17일)</t>
    <phoneticPr fontId="2" type="noConversion"/>
  </si>
  <si>
    <t>수리후양산-&gt;에젝타이상정지</t>
    <phoneticPr fontId="2" type="noConversion"/>
  </si>
  <si>
    <t>13</t>
    <phoneticPr fontId="2" type="noConversion"/>
  </si>
  <si>
    <t>K-JR01939-B195ATA</t>
    <phoneticPr fontId="2" type="noConversion"/>
  </si>
  <si>
    <t>1C파손막음</t>
    <phoneticPr fontId="2" type="noConversion"/>
  </si>
  <si>
    <t>12X12 BOTTOM</t>
    <phoneticPr fontId="2" type="noConversion"/>
  </si>
  <si>
    <t>8</t>
    <phoneticPr fontId="2" type="noConversion"/>
  </si>
  <si>
    <t>당일 진행 사항(23일)</t>
    <phoneticPr fontId="2" type="noConversion"/>
  </si>
  <si>
    <t>K-JR01939-E01TA</t>
    <phoneticPr fontId="2" type="noConversion"/>
  </si>
  <si>
    <t>AMB0355A-KAA-R2</t>
    <phoneticPr fontId="2" type="noConversion"/>
  </si>
  <si>
    <t>MCS</t>
    <phoneticPr fontId="2" type="noConversion"/>
  </si>
  <si>
    <t>5</t>
    <phoneticPr fontId="2" type="noConversion"/>
  </si>
  <si>
    <t>COVER</t>
    <phoneticPr fontId="2" type="noConversion"/>
  </si>
  <si>
    <t>K-JR01939-A195ATA</t>
    <phoneticPr fontId="2" type="noConversion"/>
  </si>
  <si>
    <t>11</t>
    <phoneticPr fontId="2" type="noConversion"/>
  </si>
  <si>
    <t>SLIDER</t>
    <phoneticPr fontId="2" type="noConversion"/>
  </si>
  <si>
    <t>AM0148E-K-R2</t>
    <phoneticPr fontId="2" type="noConversion"/>
  </si>
  <si>
    <t>BASE</t>
    <phoneticPr fontId="2" type="noConversion"/>
  </si>
  <si>
    <t>009-019-004</t>
    <phoneticPr fontId="2" type="noConversion"/>
  </si>
  <si>
    <t>14</t>
    <phoneticPr fontId="2" type="noConversion"/>
  </si>
  <si>
    <t>4LEAD</t>
    <phoneticPr fontId="2" type="noConversion"/>
  </si>
  <si>
    <t>SAMPLE 진행 사항(17일)</t>
    <phoneticPr fontId="2" type="noConversion"/>
  </si>
  <si>
    <t>크랙2회정지</t>
    <phoneticPr fontId="2" type="noConversion"/>
  </si>
  <si>
    <t>430G,ESD1010</t>
    <phoneticPr fontId="2" type="noConversion"/>
  </si>
  <si>
    <t>금형 수리 내역(17일)</t>
    <phoneticPr fontId="2" type="noConversion"/>
  </si>
  <si>
    <t>설비 점검 내역(17일)</t>
    <phoneticPr fontId="2" type="noConversion"/>
  </si>
  <si>
    <r>
      <t>2021년 09월 23일 일일생산현황</t>
    </r>
    <r>
      <rPr>
        <b/>
        <sz val="14"/>
        <color indexed="8"/>
        <rFont val="굴림체"/>
        <family val="3"/>
        <charset val="129"/>
      </rPr>
      <t>(24일 09시 현재)</t>
    </r>
    <phoneticPr fontId="2" type="noConversion"/>
  </si>
  <si>
    <t>K-JR01939-E01TA</t>
    <phoneticPr fontId="2" type="noConversion"/>
  </si>
  <si>
    <t>K-JR01939-F195ATA</t>
    <phoneticPr fontId="2" type="noConversion"/>
  </si>
  <si>
    <t>K-JR01939-A195ATA</t>
    <phoneticPr fontId="2" type="noConversion"/>
  </si>
  <si>
    <t>전일 ISSUE 사항(23일)</t>
    <phoneticPr fontId="2" type="noConversion"/>
  </si>
  <si>
    <t>KR6457-GB315PNA</t>
    <phoneticPr fontId="2" type="noConversion"/>
  </si>
  <si>
    <t>치수확인후양산-&gt;가스수리</t>
    <phoneticPr fontId="2" type="noConversion"/>
  </si>
  <si>
    <t>K-JR01939-F195ATA</t>
    <phoneticPr fontId="2" type="noConversion"/>
  </si>
  <si>
    <t>LEDA GUIDE</t>
    <phoneticPr fontId="2" type="noConversion"/>
  </si>
  <si>
    <t>009-019-004</t>
    <phoneticPr fontId="2" type="noConversion"/>
  </si>
  <si>
    <t>14</t>
    <phoneticPr fontId="2" type="noConversion"/>
  </si>
  <si>
    <t>4LEAD</t>
    <phoneticPr fontId="2" type="noConversion"/>
  </si>
  <si>
    <t>AMB0172A-KAA-R3</t>
    <phoneticPr fontId="2" type="noConversion"/>
  </si>
  <si>
    <t>코아파손수리-&gt;1C BURR막음</t>
    <phoneticPr fontId="2" type="noConversion"/>
  </si>
  <si>
    <t>15</t>
    <phoneticPr fontId="2" type="noConversion"/>
  </si>
  <si>
    <t>당일 진행 사항(24일)</t>
    <phoneticPr fontId="2" type="noConversion"/>
  </si>
  <si>
    <t>K-JR01939-D195AUA</t>
    <phoneticPr fontId="2" type="noConversion"/>
  </si>
  <si>
    <t>AMB2071B-KAA-R4</t>
    <phoneticPr fontId="2" type="noConversion"/>
  </si>
  <si>
    <t>MCS</t>
    <phoneticPr fontId="2" type="noConversion"/>
  </si>
  <si>
    <t>11</t>
    <phoneticPr fontId="2" type="noConversion"/>
  </si>
  <si>
    <t>10</t>
    <phoneticPr fontId="2" type="noConversion"/>
  </si>
  <si>
    <t>F/A</t>
    <phoneticPr fontId="2" type="noConversion"/>
  </si>
  <si>
    <t>K-JR01939-B195ATA</t>
    <phoneticPr fontId="2" type="noConversion"/>
  </si>
  <si>
    <t>BASE</t>
    <phoneticPr fontId="2" type="noConversion"/>
  </si>
  <si>
    <t>SAMPLE 진행 사항(23일)</t>
    <phoneticPr fontId="2" type="noConversion"/>
  </si>
  <si>
    <t>430G,JD4901 N/P</t>
    <phoneticPr fontId="2" type="noConversion"/>
  </si>
  <si>
    <t>금형 수리 내역(23일)</t>
    <phoneticPr fontId="2" type="noConversion"/>
  </si>
  <si>
    <t>설비 점검 내역(23일)</t>
    <phoneticPr fontId="2" type="noConversion"/>
  </si>
  <si>
    <r>
      <t>2021년 09월 24일 일일생산현황</t>
    </r>
    <r>
      <rPr>
        <b/>
        <sz val="14"/>
        <color indexed="8"/>
        <rFont val="굴림체"/>
        <family val="3"/>
        <charset val="129"/>
      </rPr>
      <t>(25일 09시 현재)</t>
    </r>
    <phoneticPr fontId="2" type="noConversion"/>
  </si>
  <si>
    <t>K-JR01939-B195AUA</t>
    <phoneticPr fontId="2" type="noConversion"/>
  </si>
  <si>
    <t>전일 ISSUE 사항(24일)</t>
    <phoneticPr fontId="2" type="noConversion"/>
  </si>
  <si>
    <t>발주분양산-&gt;코아파손1C막음</t>
    <phoneticPr fontId="2" type="noConversion"/>
  </si>
  <si>
    <t>10</t>
    <phoneticPr fontId="2" type="noConversion"/>
  </si>
  <si>
    <t>F/A</t>
    <phoneticPr fontId="2" type="noConversion"/>
  </si>
  <si>
    <t>AMB2071B-KAA-R4</t>
    <phoneticPr fontId="2" type="noConversion"/>
  </si>
  <si>
    <t>1C 양산</t>
    <phoneticPr fontId="2" type="noConversion"/>
  </si>
  <si>
    <t>당일 진행 사항(27일)</t>
    <phoneticPr fontId="2" type="noConversion"/>
  </si>
  <si>
    <t>TRAY</t>
    <phoneticPr fontId="2" type="noConversion"/>
  </si>
  <si>
    <t>RJR</t>
    <phoneticPr fontId="2" type="noConversion"/>
  </si>
  <si>
    <t>K-JR01903-A180AWB</t>
    <phoneticPr fontId="2" type="noConversion"/>
  </si>
  <si>
    <t>수리후양산</t>
    <phoneticPr fontId="2" type="noConversion"/>
  </si>
  <si>
    <t>SST</t>
    <phoneticPr fontId="2" type="noConversion"/>
  </si>
  <si>
    <t>11</t>
    <phoneticPr fontId="2" type="noConversion"/>
  </si>
  <si>
    <t>SLIDER</t>
    <phoneticPr fontId="2" type="noConversion"/>
  </si>
  <si>
    <t>HS05B-FLOATING1</t>
    <phoneticPr fontId="2" type="noConversion"/>
  </si>
  <si>
    <t>HICON</t>
    <phoneticPr fontId="2" type="noConversion"/>
  </si>
  <si>
    <t>12</t>
    <phoneticPr fontId="2" type="noConversion"/>
  </si>
  <si>
    <t>FLOATING</t>
    <phoneticPr fontId="2" type="noConversion"/>
  </si>
  <si>
    <t>KR6422-B589CA</t>
    <phoneticPr fontId="2" type="noConversion"/>
  </si>
  <si>
    <t>AMB1901D-JAA-R2</t>
    <phoneticPr fontId="2" type="noConversion"/>
  </si>
  <si>
    <t>AMB0172A-KAA-R3</t>
    <phoneticPr fontId="2" type="noConversion"/>
  </si>
  <si>
    <t>MCS</t>
    <phoneticPr fontId="2" type="noConversion"/>
  </si>
  <si>
    <t>13</t>
    <phoneticPr fontId="2" type="noConversion"/>
  </si>
  <si>
    <t>14</t>
    <phoneticPr fontId="2" type="noConversion"/>
  </si>
  <si>
    <t>15</t>
    <phoneticPr fontId="2" type="noConversion"/>
  </si>
  <si>
    <t>BASE</t>
    <phoneticPr fontId="2" type="noConversion"/>
  </si>
  <si>
    <t>ACTUATOR</t>
    <phoneticPr fontId="2" type="noConversion"/>
  </si>
  <si>
    <t>SAMPLE 진행 사항(24일)</t>
    <phoneticPr fontId="2" type="noConversion"/>
  </si>
  <si>
    <t>KR6457-GA315PNA</t>
    <phoneticPr fontId="2" type="noConversion"/>
  </si>
  <si>
    <t>금형 수리 내역(24일)</t>
    <phoneticPr fontId="2" type="noConversion"/>
  </si>
  <si>
    <t>설비 점검 내역(24일)</t>
    <phoneticPr fontId="2" type="noConversion"/>
  </si>
  <si>
    <r>
      <t>2021년 09월 27일 일일생산현황</t>
    </r>
    <r>
      <rPr>
        <b/>
        <sz val="14"/>
        <color indexed="8"/>
        <rFont val="굴림체"/>
        <family val="3"/>
        <charset val="129"/>
      </rPr>
      <t>(28일 09시 현재)</t>
    </r>
    <phoneticPr fontId="2" type="noConversion"/>
  </si>
  <si>
    <t>K-R2980-1A</t>
    <phoneticPr fontId="2" type="noConversion"/>
  </si>
  <si>
    <t>HS05B-BOTTOM1</t>
    <phoneticPr fontId="2" type="noConversion"/>
  </si>
  <si>
    <t>CR02</t>
    <phoneticPr fontId="2" type="noConversion"/>
  </si>
  <si>
    <t>전일 ISSUE 사항(27일)</t>
    <phoneticPr fontId="2" type="noConversion"/>
  </si>
  <si>
    <t>수리후양산-&gt;BURR정지</t>
    <phoneticPr fontId="2" type="noConversion"/>
  </si>
  <si>
    <t>코아파손수리-&gt;수정정지</t>
    <phoneticPr fontId="2" type="noConversion"/>
  </si>
  <si>
    <t>발주분양산-&gt;코아파손2회정지</t>
    <phoneticPr fontId="2" type="noConversion"/>
  </si>
  <si>
    <t>당일 진행 사항(28일)</t>
    <phoneticPr fontId="2" type="noConversion"/>
  </si>
  <si>
    <t>SAMPLE 진행 사항(27일)</t>
    <phoneticPr fontId="2" type="noConversion"/>
  </si>
  <si>
    <t>HS05B-BASE1</t>
    <phoneticPr fontId="2" type="noConversion"/>
  </si>
  <si>
    <t>KR6156-GBH153AA</t>
    <phoneticPr fontId="2" type="noConversion"/>
  </si>
  <si>
    <t>이관</t>
    <phoneticPr fontId="2" type="noConversion"/>
  </si>
  <si>
    <t>금형 수리 내역(27일)</t>
    <phoneticPr fontId="2" type="noConversion"/>
  </si>
  <si>
    <t>설비 점검 내역(27일)</t>
    <phoneticPr fontId="2" type="noConversion"/>
  </si>
  <si>
    <r>
      <t>2021년 09월 28일 일일생산현황</t>
    </r>
    <r>
      <rPr>
        <b/>
        <sz val="14"/>
        <color indexed="8"/>
        <rFont val="굴림체"/>
        <family val="3"/>
        <charset val="129"/>
      </rPr>
      <t>(29일 09시 현재)</t>
    </r>
    <phoneticPr fontId="2" type="noConversion"/>
  </si>
  <si>
    <t>K-JR01928-E02AWA</t>
    <phoneticPr fontId="2" type="noConversion"/>
  </si>
  <si>
    <t>040-135-041</t>
    <phoneticPr fontId="2" type="noConversion"/>
  </si>
  <si>
    <t>HS05B-COVER1</t>
    <phoneticPr fontId="2" type="noConversion"/>
  </si>
  <si>
    <t>전일 ISSUE 사항(28일)</t>
    <phoneticPr fontId="2" type="noConversion"/>
  </si>
  <si>
    <t>수리후양산-&gt;밀핀파손정지</t>
    <phoneticPr fontId="2" type="noConversion"/>
  </si>
  <si>
    <t>LATCH</t>
    <phoneticPr fontId="2" type="noConversion"/>
  </si>
  <si>
    <t>수리후양산-&gt;코아파손2회정지</t>
    <phoneticPr fontId="2" type="noConversion"/>
  </si>
  <si>
    <t>040-135-041</t>
    <phoneticPr fontId="2" type="noConversion"/>
  </si>
  <si>
    <t>당일 진행 사항(29일)</t>
    <phoneticPr fontId="2" type="noConversion"/>
  </si>
  <si>
    <t>STOPPER</t>
    <phoneticPr fontId="2" type="noConversion"/>
  </si>
  <si>
    <t>KR6170BD740UB</t>
    <phoneticPr fontId="2" type="noConversion"/>
  </si>
  <si>
    <t>AMB0172A-KAA-R3</t>
    <phoneticPr fontId="2" type="noConversion"/>
  </si>
  <si>
    <t>코아파손정지</t>
    <phoneticPr fontId="2" type="noConversion"/>
  </si>
  <si>
    <t>15</t>
    <phoneticPr fontId="2" type="noConversion"/>
  </si>
  <si>
    <t>8</t>
    <phoneticPr fontId="2" type="noConversion"/>
  </si>
  <si>
    <t>LEAD GUIDE</t>
    <phoneticPr fontId="2" type="noConversion"/>
  </si>
  <si>
    <t>KR6170AF1440UA</t>
    <phoneticPr fontId="2" type="noConversion"/>
  </si>
  <si>
    <t>SAMPLE 진행 사항(28일)</t>
    <phoneticPr fontId="2" type="noConversion"/>
  </si>
  <si>
    <t>K-JR01911-A308BWA</t>
    <phoneticPr fontId="2" type="noConversion"/>
  </si>
  <si>
    <t>K-JR01911-D308AZA</t>
    <phoneticPr fontId="2" type="noConversion"/>
  </si>
  <si>
    <t>262C83A-B150A</t>
    <phoneticPr fontId="2" type="noConversion"/>
  </si>
  <si>
    <t>AMM08010A-KAA-R1</t>
    <phoneticPr fontId="2" type="noConversion"/>
  </si>
  <si>
    <t>SST</t>
    <phoneticPr fontId="2" type="noConversion"/>
  </si>
  <si>
    <t>OKINS</t>
    <phoneticPr fontId="2" type="noConversion"/>
  </si>
  <si>
    <t>MCS</t>
    <phoneticPr fontId="2" type="noConversion"/>
  </si>
  <si>
    <t>SLIDER</t>
    <phoneticPr fontId="2" type="noConversion"/>
  </si>
  <si>
    <t>BASE</t>
    <phoneticPr fontId="2" type="noConversion"/>
  </si>
  <si>
    <t>SGF2030</t>
    <phoneticPr fontId="2" type="noConversion"/>
  </si>
  <si>
    <t>SF2255 I/V</t>
    <phoneticPr fontId="2" type="noConversion"/>
  </si>
  <si>
    <t>코아파손2회,뜯김정지</t>
    <phoneticPr fontId="2" type="noConversion"/>
  </si>
  <si>
    <t>10</t>
    <phoneticPr fontId="2" type="noConversion"/>
  </si>
  <si>
    <t>BURR</t>
    <phoneticPr fontId="2" type="noConversion"/>
  </si>
  <si>
    <t>금형 수리 내역(28일)</t>
    <phoneticPr fontId="2" type="noConversion"/>
  </si>
  <si>
    <t>설비 점검 내역(28일)</t>
    <phoneticPr fontId="2" type="noConversion"/>
  </si>
  <si>
    <r>
      <t>2021년 09월 29일 일일생산현황</t>
    </r>
    <r>
      <rPr>
        <b/>
        <sz val="14"/>
        <color indexed="8"/>
        <rFont val="굴림체"/>
        <family val="3"/>
        <charset val="129"/>
      </rPr>
      <t>(30일 09시 현재)</t>
    </r>
    <phoneticPr fontId="2" type="noConversion"/>
  </si>
  <si>
    <t>KR6422-A556YA</t>
    <phoneticPr fontId="2" type="noConversion"/>
  </si>
  <si>
    <t>전일 ISSUE 사항(29일)</t>
    <phoneticPr fontId="2" type="noConversion"/>
  </si>
  <si>
    <t>형상이상정지</t>
    <phoneticPr fontId="2" type="noConversion"/>
  </si>
  <si>
    <t>LEAD GUIDE</t>
    <phoneticPr fontId="2" type="noConversion"/>
  </si>
  <si>
    <t>3</t>
    <phoneticPr fontId="2" type="noConversion"/>
  </si>
  <si>
    <t>AM0148B-K-R2</t>
    <phoneticPr fontId="2" type="noConversion"/>
  </si>
  <si>
    <t>BURR정지</t>
    <phoneticPr fontId="2" type="noConversion"/>
  </si>
  <si>
    <t>발주분양산-&gt;오조립수리</t>
    <phoneticPr fontId="2" type="noConversion"/>
  </si>
  <si>
    <t>수리후양산-&gt;오조립수리</t>
    <phoneticPr fontId="2" type="noConversion"/>
  </si>
  <si>
    <t>KR6170BD740UB</t>
    <phoneticPr fontId="2" type="noConversion"/>
  </si>
  <si>
    <t>발주분양산-&gt;코아파손-&gt;형상이상수리</t>
    <phoneticPr fontId="2" type="noConversion"/>
  </si>
  <si>
    <t>4</t>
    <phoneticPr fontId="2" type="noConversion"/>
  </si>
  <si>
    <t>STOPPER</t>
    <phoneticPr fontId="2" type="noConversion"/>
  </si>
  <si>
    <t>당일 진행 사항(30일)</t>
    <phoneticPr fontId="2" type="noConversion"/>
  </si>
  <si>
    <t>HDBF05-M02B1</t>
    <phoneticPr fontId="2" type="noConversion"/>
  </si>
  <si>
    <t>HICON</t>
    <phoneticPr fontId="2" type="noConversion"/>
  </si>
  <si>
    <t>1</t>
    <phoneticPr fontId="2" type="noConversion"/>
  </si>
  <si>
    <t>SLIDER</t>
    <phoneticPr fontId="2" type="noConversion"/>
  </si>
  <si>
    <t>AMB0252A-KAA-R1</t>
    <phoneticPr fontId="2" type="noConversion"/>
  </si>
  <si>
    <t>발주분양산</t>
    <phoneticPr fontId="2" type="noConversion"/>
  </si>
  <si>
    <t>6</t>
    <phoneticPr fontId="2" type="noConversion"/>
  </si>
  <si>
    <t>400H-ABG2622A-1</t>
    <phoneticPr fontId="2" type="noConversion"/>
  </si>
  <si>
    <t>OKINS</t>
    <phoneticPr fontId="2" type="noConversion"/>
  </si>
  <si>
    <t>10</t>
    <phoneticPr fontId="2" type="noConversion"/>
  </si>
  <si>
    <t>ADAPTER</t>
    <phoneticPr fontId="2" type="noConversion"/>
  </si>
  <si>
    <t>AMB0172A-KAA-R3</t>
    <phoneticPr fontId="2" type="noConversion"/>
  </si>
  <si>
    <t>15</t>
    <phoneticPr fontId="2" type="noConversion"/>
  </si>
  <si>
    <t>SAMPLE 진행 사항(29일)</t>
    <phoneticPr fontId="2" type="noConversion"/>
  </si>
  <si>
    <t>AMB0150A-KAA-R4</t>
    <phoneticPr fontId="2" type="noConversion"/>
  </si>
  <si>
    <t>K-JR01911-B308AWA</t>
    <phoneticPr fontId="2" type="noConversion"/>
  </si>
  <si>
    <t>AMB09J4B-KAA-R6</t>
    <phoneticPr fontId="2" type="noConversion"/>
  </si>
  <si>
    <t>AMM08010A-KAA-R1</t>
    <phoneticPr fontId="2" type="noConversion"/>
  </si>
  <si>
    <t>SF2255 I/V</t>
    <phoneticPr fontId="2" type="noConversion"/>
  </si>
  <si>
    <t>오조립,금형이상정지</t>
    <phoneticPr fontId="2" type="noConversion"/>
  </si>
  <si>
    <t>금형 수리 내역(29일)</t>
    <phoneticPr fontId="2" type="noConversion"/>
  </si>
  <si>
    <t>설비 점검 내역(29일)</t>
    <phoneticPr fontId="2" type="noConversion"/>
  </si>
  <si>
    <r>
      <t>2021년 09월 30일 일일생산현황</t>
    </r>
    <r>
      <rPr>
        <b/>
        <sz val="14"/>
        <color indexed="8"/>
        <rFont val="굴림체"/>
        <family val="3"/>
        <charset val="129"/>
      </rPr>
      <t>(01일 09시 현재)</t>
    </r>
    <phoneticPr fontId="2" type="noConversion"/>
  </si>
  <si>
    <t>AMB0252A-KAA-R1</t>
    <phoneticPr fontId="2" type="noConversion"/>
  </si>
  <si>
    <t>400H-ABG2622A-1</t>
    <phoneticPr fontId="2" type="noConversion"/>
  </si>
  <si>
    <t>BODY</t>
    <phoneticPr fontId="2" type="noConversion"/>
  </si>
  <si>
    <t>HL072-10M3-2</t>
    <phoneticPr fontId="2" type="noConversion"/>
  </si>
  <si>
    <t>전일 ISSUE 사항(30일)</t>
    <phoneticPr fontId="2" type="noConversion"/>
  </si>
  <si>
    <t>발주분양산</t>
    <phoneticPr fontId="2" type="noConversion"/>
  </si>
  <si>
    <t>AMB0172A-KAA-R3</t>
    <phoneticPr fontId="2" type="noConversion"/>
  </si>
  <si>
    <t>MCS</t>
    <phoneticPr fontId="2" type="noConversion"/>
  </si>
  <si>
    <t>6</t>
    <phoneticPr fontId="2" type="noConversion"/>
  </si>
  <si>
    <t>OKINS</t>
    <phoneticPr fontId="2" type="noConversion"/>
  </si>
  <si>
    <t>10</t>
    <phoneticPr fontId="2" type="noConversion"/>
  </si>
  <si>
    <t>ADAPTER</t>
    <phoneticPr fontId="2" type="noConversion"/>
  </si>
  <si>
    <t>13</t>
    <phoneticPr fontId="2" type="noConversion"/>
  </si>
  <si>
    <t>BODY</t>
    <phoneticPr fontId="2" type="noConversion"/>
  </si>
  <si>
    <t>15</t>
    <phoneticPr fontId="2" type="noConversion"/>
  </si>
  <si>
    <t>BASE</t>
    <phoneticPr fontId="2" type="noConversion"/>
  </si>
  <si>
    <t>당일 진행 사항(01일)</t>
    <phoneticPr fontId="2" type="noConversion"/>
  </si>
  <si>
    <t>AMB0150A-KAA-R4</t>
    <phoneticPr fontId="2" type="noConversion"/>
  </si>
  <si>
    <t>3</t>
    <phoneticPr fontId="2" type="noConversion"/>
  </si>
  <si>
    <t>SAMPLE 진행 사항(30일)</t>
    <phoneticPr fontId="2" type="noConversion"/>
  </si>
  <si>
    <t>BURR</t>
    <phoneticPr fontId="2" type="noConversion"/>
  </si>
  <si>
    <t>오조립</t>
    <phoneticPr fontId="2" type="noConversion"/>
  </si>
  <si>
    <t>HC-M542-32323-T</t>
    <phoneticPr fontId="2" type="noConversion"/>
  </si>
  <si>
    <t>HICON</t>
    <phoneticPr fontId="2" type="noConversion"/>
  </si>
  <si>
    <t>SGF2050</t>
    <phoneticPr fontId="2" type="noConversion"/>
  </si>
  <si>
    <t>신작</t>
    <phoneticPr fontId="2" type="noConversion"/>
  </si>
  <si>
    <t>9</t>
    <phoneticPr fontId="2" type="noConversion"/>
  </si>
  <si>
    <t>작업안됨(용량)</t>
    <phoneticPr fontId="2" type="noConversion"/>
  </si>
  <si>
    <t>금형 수리 내역(30일)</t>
    <phoneticPr fontId="2" type="noConversion"/>
  </si>
  <si>
    <t>설비 점검 내역(30일)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</si>
</sst>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[$-F800]dddd\,\ mmmm\ dd\,\ yyyy"/>
    <numFmt numFmtId="177" formatCode="#,##0_ "/>
    <numFmt numFmtId="178" formatCode="_-* #,##0.0_-;\-* #,##0.0_-;_-* &quot;-&quot;_-;_-@_-"/>
    <numFmt numFmtId="179" formatCode="m&quot;/&quot;d;@"/>
    <numFmt numFmtId="180" formatCode="\$#.00"/>
    <numFmt numFmtId="181" formatCode="m\o\n\th\ d\,\ yyyy"/>
    <numFmt numFmtId="182" formatCode="#.00"/>
    <numFmt numFmtId="183" formatCode="#."/>
    <numFmt numFmtId="184" formatCode="%#.00"/>
    <numFmt numFmtId="185" formatCode="_ * #,##0_ ;_ * \-#,##0_ ;_ * &quot;-&quot;_ ;_ @_ "/>
    <numFmt numFmtId="186" formatCode="_ * #,##0.00_ ;_ * \-#,##0.00_ ;_ * &quot;-&quot;??_ ;_ @_ "/>
    <numFmt numFmtId="187" formatCode="_ &quot;₩&quot;* #,##0_ ;_ &quot;₩&quot;* &quot;₩&quot;&quot;₩&quot;\-#,##0_ ;_ &quot;₩&quot;* &quot;-&quot;_ ;_ @_ "/>
    <numFmt numFmtId="188" formatCode="_ * #,##0_ ;_ * &quot;₩&quot;&quot;₩&quot;\-#,##0_ ;_ * &quot;-&quot;_ ;_ @_ "/>
    <numFmt numFmtId="189" formatCode="_ &quot;₩&quot;* #,##0.00_ ;_ &quot;₩&quot;* &quot;₩&quot;&quot;₩&quot;\-#,##0.00_ ;_ &quot;₩&quot;* &quot;-&quot;??_ ;_ @_ "/>
    <numFmt numFmtId="190" formatCode="_ * #,##0.00_ ;_ * &quot;₩&quot;&quot;₩&quot;\-#,##0.00_ ;_ * &quot;-&quot;??_ ;_ @_ "/>
  </numFmts>
  <fonts count="5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name val="굴림체"/>
      <family val="3"/>
      <charset val="129"/>
    </font>
    <font>
      <b/>
      <sz val="14"/>
      <color indexed="8"/>
      <name val="굴림체"/>
      <family val="3"/>
      <charset val="129"/>
    </font>
    <font>
      <b/>
      <sz val="14"/>
      <name val="굴림체"/>
      <family val="3"/>
      <charset val="129"/>
    </font>
    <font>
      <sz val="11"/>
      <color theme="1"/>
      <name val="굴림체"/>
      <family val="3"/>
      <charset val="129"/>
    </font>
    <font>
      <b/>
      <sz val="12"/>
      <color theme="1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8"/>
      <color theme="1"/>
      <name val="굴림체"/>
      <family val="3"/>
      <charset val="129"/>
    </font>
    <font>
      <sz val="14"/>
      <color theme="1"/>
      <name val="굴림체"/>
      <family val="3"/>
      <charset val="129"/>
    </font>
    <font>
      <b/>
      <sz val="16"/>
      <color theme="1"/>
      <name val="굴림체"/>
      <family val="3"/>
      <charset val="129"/>
    </font>
    <font>
      <sz val="16"/>
      <color theme="1"/>
      <name val="굴림체"/>
      <family val="3"/>
      <charset val="129"/>
    </font>
    <font>
      <b/>
      <sz val="28"/>
      <color theme="1"/>
      <name val="굴림체"/>
      <family val="3"/>
      <charset val="129"/>
    </font>
    <font>
      <b/>
      <sz val="16"/>
      <color rgb="FFFF0000"/>
      <name val="굴림체"/>
      <family val="3"/>
      <charset val="129"/>
    </font>
    <font>
      <b/>
      <sz val="20"/>
      <color theme="1"/>
      <name val="굴림체"/>
      <family val="3"/>
      <charset val="129"/>
    </font>
    <font>
      <b/>
      <sz val="22"/>
      <color theme="1"/>
      <name val="굴림체"/>
      <family val="3"/>
      <charset val="129"/>
    </font>
    <font>
      <b/>
      <sz val="24"/>
      <color theme="1"/>
      <name val="굴림체"/>
      <family val="3"/>
      <charset val="129"/>
    </font>
    <font>
      <b/>
      <sz val="11"/>
      <color theme="1"/>
      <name val="굴림체"/>
      <family val="3"/>
      <charset val="129"/>
    </font>
    <font>
      <b/>
      <sz val="11"/>
      <name val="굴림체"/>
      <family val="3"/>
      <charset val="129"/>
    </font>
    <font>
      <sz val="10"/>
      <color theme="1"/>
      <name val="새굴림"/>
      <family val="1"/>
      <charset val="129"/>
    </font>
    <font>
      <sz val="11"/>
      <color indexed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name val="MS UI Gothic"/>
      <family val="2"/>
    </font>
    <font>
      <sz val="11"/>
      <name val="ＭＳ Ｐゴシック"/>
      <family val="2"/>
    </font>
    <font>
      <sz val="11"/>
      <color indexed="9"/>
      <name val="맑은 고딕"/>
      <family val="3"/>
      <charset val="129"/>
    </font>
    <font>
      <b/>
      <sz val="10"/>
      <name val="Helv"/>
      <family val="2"/>
    </font>
    <font>
      <sz val="1"/>
      <color indexed="8"/>
      <name val="Courier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b/>
      <sz val="11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0"/>
      <name val="Helv"/>
      <family val="2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돋움체"/>
      <family val="3"/>
      <charset val="129"/>
    </font>
    <font>
      <sz val="10"/>
      <color indexed="8"/>
      <name val="새굴림"/>
      <family val="1"/>
      <charset val="129"/>
    </font>
    <font>
      <sz val="10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84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0" borderId="0"/>
    <xf numFmtId="4" fontId="29" fillId="0" borderId="0">
      <protection locked="0"/>
    </xf>
    <xf numFmtId="180" fontId="29" fillId="0" borderId="0">
      <protection locked="0"/>
    </xf>
    <xf numFmtId="181" fontId="29" fillId="0" borderId="0">
      <protection locked="0"/>
    </xf>
    <xf numFmtId="182" fontId="29" fillId="0" borderId="0">
      <protection locked="0"/>
    </xf>
    <xf numFmtId="38" fontId="30" fillId="19" borderId="0" applyNumberFormat="0" applyBorder="0" applyAlignment="0" applyProtection="0"/>
    <xf numFmtId="0" fontId="31" fillId="0" borderId="0">
      <alignment horizontal="left"/>
    </xf>
    <xf numFmtId="0" fontId="32" fillId="0" borderId="16" applyNumberFormat="0" applyAlignment="0" applyProtection="0">
      <alignment horizontal="left" vertical="center"/>
    </xf>
    <xf numFmtId="0" fontId="32" fillId="0" borderId="26">
      <alignment horizontal="left" vertical="center"/>
    </xf>
    <xf numFmtId="183" fontId="33" fillId="0" borderId="0">
      <protection locked="0"/>
    </xf>
    <xf numFmtId="183" fontId="33" fillId="0" borderId="0">
      <protection locked="0"/>
    </xf>
    <xf numFmtId="10" fontId="30" fillId="19" borderId="9" applyNumberFormat="0" applyBorder="0" applyAlignment="0" applyProtection="0"/>
    <xf numFmtId="0" fontId="34" fillId="0" borderId="27"/>
    <xf numFmtId="0" fontId="35" fillId="0" borderId="0"/>
    <xf numFmtId="184" fontId="29" fillId="0" borderId="0">
      <protection locked="0"/>
    </xf>
    <xf numFmtId="10" fontId="36" fillId="0" borderId="0" applyFont="0" applyFill="0" applyBorder="0" applyAlignment="0" applyProtection="0"/>
    <xf numFmtId="0" fontId="34" fillId="0" borderId="0"/>
    <xf numFmtId="183" fontId="29" fillId="0" borderId="39">
      <protection locked="0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24" borderId="40" applyNumberFormat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24" fillId="25" borderId="41" applyNumberFormat="0" applyFont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7" borderId="42" applyNumberFormat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43" fillId="0" borderId="0"/>
    <xf numFmtId="0" fontId="44" fillId="0" borderId="43" applyNumberFormat="0" applyFill="0" applyAlignment="0" applyProtection="0">
      <alignment vertical="center"/>
    </xf>
    <xf numFmtId="0" fontId="45" fillId="0" borderId="44" applyNumberFormat="0" applyFill="0" applyAlignment="0" applyProtection="0">
      <alignment vertical="center"/>
    </xf>
    <xf numFmtId="0" fontId="46" fillId="10" borderId="40" applyNumberFormat="0" applyAlignment="0" applyProtection="0">
      <alignment vertical="center"/>
    </xf>
    <xf numFmtId="0" fontId="47" fillId="0" borderId="45" applyNumberFormat="0" applyFill="0" applyAlignment="0" applyProtection="0">
      <alignment vertical="center"/>
    </xf>
    <xf numFmtId="0" fontId="48" fillId="0" borderId="46" applyNumberFormat="0" applyFill="0" applyAlignment="0" applyProtection="0">
      <alignment vertical="center"/>
    </xf>
    <xf numFmtId="0" fontId="49" fillId="0" borderId="47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2" fillId="24" borderId="48" applyNumberFormat="0" applyAlignment="0" applyProtection="0">
      <alignment vertical="center"/>
    </xf>
    <xf numFmtId="185" fontId="53" fillId="0" borderId="0" applyFont="0" applyFill="0" applyBorder="0" applyAlignment="0" applyProtection="0"/>
    <xf numFmtId="186" fontId="53" fillId="0" borderId="0" applyFont="0" applyFill="0" applyBorder="0" applyAlignment="0" applyProtection="0"/>
    <xf numFmtId="42" fontId="5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6" fillId="0" borderId="0">
      <alignment vertical="center"/>
    </xf>
    <xf numFmtId="38" fontId="2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41" fontId="5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23" fillId="0" borderId="0"/>
    <xf numFmtId="0" fontId="36" fillId="0" borderId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0" fontId="35" fillId="0" borderId="0" applyFont="0" applyFill="0" applyProtection="0"/>
    <xf numFmtId="19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55" fillId="0" borderId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3" fillId="0" borderId="0"/>
    <xf numFmtId="0" fontId="36" fillId="0" borderId="0"/>
    <xf numFmtId="0" fontId="23" fillId="0" borderId="0"/>
    <xf numFmtId="0" fontId="23" fillId="0" borderId="0"/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77">
    <xf numFmtId="0" fontId="0" fillId="0" borderId="0" xfId="0">
      <alignment vertical="center"/>
    </xf>
    <xf numFmtId="9" fontId="7" fillId="0" borderId="0" xfId="3" applyFont="1">
      <alignment vertical="center"/>
    </xf>
    <xf numFmtId="0" fontId="9" fillId="0" borderId="0" xfId="2" applyFont="1">
      <alignment vertical="center"/>
    </xf>
    <xf numFmtId="178" fontId="9" fillId="0" borderId="0" xfId="4" applyNumberFormat="1" applyFont="1">
      <alignment vertical="center"/>
    </xf>
    <xf numFmtId="9" fontId="9" fillId="3" borderId="2" xfId="3" applyFont="1" applyFill="1" applyBorder="1" applyAlignment="1">
      <alignment horizontal="center" vertical="center"/>
    </xf>
    <xf numFmtId="41" fontId="8" fillId="0" borderId="4" xfId="4" applyFont="1" applyBorder="1" applyAlignment="1">
      <alignment horizontal="center" vertical="center"/>
    </xf>
    <xf numFmtId="41" fontId="8" fillId="0" borderId="3" xfId="4" applyFont="1" applyBorder="1" applyAlignment="1">
      <alignment horizontal="center" vertical="center"/>
    </xf>
    <xf numFmtId="41" fontId="8" fillId="0" borderId="6" xfId="4" applyFont="1" applyBorder="1" applyAlignment="1">
      <alignment horizontal="center" vertical="center"/>
    </xf>
    <xf numFmtId="9" fontId="8" fillId="0" borderId="6" xfId="3" applyFont="1" applyBorder="1" applyAlignment="1">
      <alignment horizontal="center" vertical="center"/>
    </xf>
    <xf numFmtId="9" fontId="8" fillId="0" borderId="7" xfId="3" applyFont="1" applyBorder="1" applyAlignment="1">
      <alignment horizontal="center" vertical="center"/>
    </xf>
    <xf numFmtId="9" fontId="9" fillId="0" borderId="7" xfId="3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 wrapText="1"/>
    </xf>
    <xf numFmtId="178" fontId="8" fillId="0" borderId="10" xfId="4" applyNumberFormat="1" applyFont="1" applyBorder="1" applyAlignment="1">
      <alignment horizontal="center" vertical="center"/>
    </xf>
    <xf numFmtId="41" fontId="8" fillId="0" borderId="11" xfId="4" applyFont="1" applyBorder="1" applyAlignment="1">
      <alignment horizontal="center" vertical="center"/>
    </xf>
    <xf numFmtId="41" fontId="8" fillId="0" borderId="9" xfId="4" applyFont="1" applyBorder="1" applyAlignment="1">
      <alignment horizontal="center" vertical="center"/>
    </xf>
    <xf numFmtId="41" fontId="8" fillId="0" borderId="3" xfId="4" applyFont="1" applyBorder="1" applyAlignment="1">
      <alignment horizontal="center" vertical="center" wrapText="1"/>
    </xf>
    <xf numFmtId="41" fontId="4" fillId="0" borderId="7" xfId="4" applyFont="1" applyBorder="1" applyAlignment="1">
      <alignment horizontal="center" vertical="center" wrapText="1"/>
    </xf>
    <xf numFmtId="41" fontId="8" fillId="0" borderId="5" xfId="4" applyFont="1" applyBorder="1" applyAlignment="1">
      <alignment horizontal="center" vertical="center"/>
    </xf>
    <xf numFmtId="41" fontId="9" fillId="3" borderId="13" xfId="4" applyFont="1" applyFill="1" applyBorder="1" applyAlignment="1">
      <alignment horizontal="center" vertical="center"/>
    </xf>
    <xf numFmtId="41" fontId="9" fillId="3" borderId="14" xfId="4" applyFont="1" applyFill="1" applyBorder="1" applyAlignment="1">
      <alignment horizontal="center" vertical="center"/>
    </xf>
    <xf numFmtId="41" fontId="9" fillId="3" borderId="14" xfId="4" applyFont="1" applyFill="1" applyBorder="1" applyAlignment="1">
      <alignment horizontal="right" vertical="center"/>
    </xf>
    <xf numFmtId="41" fontId="9" fillId="3" borderId="1" xfId="4" applyFont="1" applyFill="1" applyBorder="1" applyAlignment="1">
      <alignment horizontal="center" vertical="center"/>
    </xf>
    <xf numFmtId="41" fontId="6" fillId="3" borderId="1" xfId="4" applyFont="1" applyFill="1" applyBorder="1" applyAlignment="1">
      <alignment horizontal="right" vertical="center"/>
    </xf>
    <xf numFmtId="41" fontId="6" fillId="3" borderId="14" xfId="4" applyFont="1" applyFill="1" applyBorder="1" applyAlignment="1">
      <alignment horizontal="right" vertical="center"/>
    </xf>
    <xf numFmtId="41" fontId="6" fillId="3" borderId="2" xfId="4" applyFont="1" applyFill="1" applyBorder="1" applyAlignment="1">
      <alignment horizontal="right" vertical="center"/>
    </xf>
    <xf numFmtId="41" fontId="6" fillId="3" borderId="16" xfId="4" applyFont="1" applyFill="1" applyBorder="1" applyAlignment="1">
      <alignment horizontal="right" vertical="center"/>
    </xf>
    <xf numFmtId="41" fontId="6" fillId="3" borderId="15" xfId="4" applyFont="1" applyFill="1" applyBorder="1" applyAlignment="1">
      <alignment horizontal="right" vertical="center"/>
    </xf>
    <xf numFmtId="9" fontId="9" fillId="3" borderId="1" xfId="3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49" fontId="8" fillId="0" borderId="3" xfId="2" applyNumberFormat="1" applyFont="1" applyBorder="1" applyAlignment="1">
      <alignment horizontal="center" vertical="center" wrapText="1"/>
    </xf>
    <xf numFmtId="41" fontId="8" fillId="0" borderId="8" xfId="4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 shrinkToFit="1"/>
    </xf>
    <xf numFmtId="0" fontId="8" fillId="0" borderId="3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/>
    </xf>
    <xf numFmtId="178" fontId="8" fillId="0" borderId="7" xfId="4" applyNumberFormat="1" applyFont="1" applyBorder="1" applyAlignment="1">
      <alignment horizontal="center" vertical="center"/>
    </xf>
    <xf numFmtId="9" fontId="8" fillId="0" borderId="0" xfId="2" applyNumberFormat="1" applyFont="1" applyAlignment="1">
      <alignment horizontal="center" vertical="center"/>
    </xf>
    <xf numFmtId="0" fontId="11" fillId="0" borderId="0" xfId="2" applyFont="1">
      <alignment vertical="center"/>
    </xf>
    <xf numFmtId="178" fontId="11" fillId="0" borderId="0" xfId="4" applyNumberFormat="1" applyFont="1">
      <alignment vertical="center"/>
    </xf>
    <xf numFmtId="41" fontId="8" fillId="0" borderId="6" xfId="1" applyFont="1" applyBorder="1" applyAlignment="1">
      <alignment horizontal="center" vertical="center"/>
    </xf>
    <xf numFmtId="41" fontId="8" fillId="0" borderId="10" xfId="1" applyFont="1" applyBorder="1" applyAlignment="1">
      <alignment horizontal="center" vertical="center"/>
    </xf>
    <xf numFmtId="41" fontId="9" fillId="3" borderId="15" xfId="1" applyFont="1" applyFill="1" applyBorder="1" applyAlignment="1">
      <alignment horizontal="center" vertical="center"/>
    </xf>
    <xf numFmtId="41" fontId="9" fillId="3" borderId="1" xfId="1" applyFont="1" applyFill="1" applyBorder="1" applyAlignment="1">
      <alignment horizontal="center" vertical="center"/>
    </xf>
    <xf numFmtId="41" fontId="9" fillId="3" borderId="2" xfId="1" applyFont="1" applyFill="1" applyBorder="1" applyAlignment="1">
      <alignment horizontal="center" vertical="center"/>
    </xf>
    <xf numFmtId="177" fontId="19" fillId="2" borderId="1" xfId="2" applyNumberFormat="1" applyFont="1" applyFill="1" applyBorder="1" applyAlignment="1">
      <alignment horizontal="center" vertical="center" wrapText="1"/>
    </xf>
    <xf numFmtId="0" fontId="19" fillId="2" borderId="2" xfId="2" applyFont="1" applyFill="1" applyBorder="1" applyAlignment="1">
      <alignment horizontal="center" vertical="center" wrapText="1"/>
    </xf>
    <xf numFmtId="0" fontId="19" fillId="2" borderId="1" xfId="2" applyFont="1" applyFill="1" applyBorder="1" applyAlignment="1">
      <alignment horizontal="center" vertical="center" wrapText="1"/>
    </xf>
    <xf numFmtId="0" fontId="19" fillId="2" borderId="13" xfId="2" applyFont="1" applyFill="1" applyBorder="1" applyAlignment="1">
      <alignment horizontal="center" vertical="center" wrapText="1"/>
    </xf>
    <xf numFmtId="0" fontId="19" fillId="2" borderId="14" xfId="2" applyFont="1" applyFill="1" applyBorder="1" applyAlignment="1">
      <alignment horizontal="center" vertical="center" wrapText="1"/>
    </xf>
    <xf numFmtId="0" fontId="7" fillId="0" borderId="0" xfId="2" applyFont="1">
      <alignment vertical="center"/>
    </xf>
    <xf numFmtId="0" fontId="7" fillId="0" borderId="0" xfId="0" applyFont="1">
      <alignment vertical="center"/>
    </xf>
    <xf numFmtId="0" fontId="13" fillId="0" borderId="3" xfId="2" applyFont="1" applyBorder="1" applyAlignment="1">
      <alignment horizontal="center" vertical="center" shrinkToFit="1"/>
    </xf>
    <xf numFmtId="0" fontId="8" fillId="0" borderId="3" xfId="2" applyFont="1" applyBorder="1" applyAlignment="1">
      <alignment horizontal="center" vertical="center" shrinkToFit="1"/>
    </xf>
    <xf numFmtId="0" fontId="8" fillId="0" borderId="9" xfId="2" applyFont="1" applyBorder="1" applyAlignment="1">
      <alignment horizontal="center" vertical="center" shrinkToFit="1"/>
    </xf>
    <xf numFmtId="0" fontId="19" fillId="0" borderId="0" xfId="2" applyFont="1" applyAlignment="1">
      <alignment horizontal="center" vertical="center"/>
    </xf>
    <xf numFmtId="178" fontId="20" fillId="4" borderId="17" xfId="4" applyNumberFormat="1" applyFont="1" applyFill="1" applyBorder="1" applyAlignment="1">
      <alignment horizontal="center" vertical="center" wrapText="1"/>
    </xf>
    <xf numFmtId="0" fontId="20" fillId="4" borderId="18" xfId="2" applyFont="1" applyFill="1" applyBorder="1" applyAlignment="1">
      <alignment horizontal="center" vertical="center" wrapText="1"/>
    </xf>
    <xf numFmtId="0" fontId="20" fillId="4" borderId="19" xfId="2" applyFont="1" applyFill="1" applyBorder="1" applyAlignment="1">
      <alignment horizontal="center" vertical="center" wrapText="1"/>
    </xf>
    <xf numFmtId="9" fontId="8" fillId="0" borderId="12" xfId="8" applyFont="1" applyBorder="1" applyAlignment="1">
      <alignment horizontal="center" vertical="center"/>
    </xf>
    <xf numFmtId="0" fontId="17" fillId="0" borderId="0" xfId="2" applyFont="1">
      <alignment vertical="center"/>
    </xf>
    <xf numFmtId="0" fontId="13" fillId="0" borderId="0" xfId="2" applyFont="1">
      <alignment vertical="center"/>
    </xf>
    <xf numFmtId="0" fontId="13" fillId="0" borderId="0" xfId="2" applyFont="1" applyAlignment="1">
      <alignment horizontal="center" vertical="center"/>
    </xf>
    <xf numFmtId="0" fontId="13" fillId="0" borderId="0" xfId="2" applyFont="1" applyAlignment="1">
      <alignment horizontal="center" vertical="center" shrinkToFit="1"/>
    </xf>
    <xf numFmtId="41" fontId="13" fillId="0" borderId="0" xfId="4" applyFont="1">
      <alignment vertical="center"/>
    </xf>
    <xf numFmtId="49" fontId="13" fillId="0" borderId="0" xfId="2" applyNumberFormat="1" applyFont="1" applyAlignment="1">
      <alignment vertical="center" shrinkToFit="1"/>
    </xf>
    <xf numFmtId="0" fontId="12" fillId="0" borderId="24" xfId="2" applyFont="1" applyBorder="1" applyAlignment="1">
      <alignment horizontal="center" vertical="center" shrinkToFit="1"/>
    </xf>
    <xf numFmtId="0" fontId="8" fillId="0" borderId="0" xfId="2" applyFont="1">
      <alignment vertical="center"/>
    </xf>
    <xf numFmtId="49" fontId="13" fillId="0" borderId="23" xfId="2" applyNumberFormat="1" applyFont="1" applyBorder="1" applyAlignment="1">
      <alignment horizontal="center" vertical="center" shrinkToFit="1"/>
    </xf>
    <xf numFmtId="0" fontId="7" fillId="0" borderId="0" xfId="0" applyFont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9" fontId="7" fillId="0" borderId="49" xfId="8" applyFont="1" applyBorder="1" applyAlignment="1">
      <alignment horizontal="center" vertical="center"/>
    </xf>
    <xf numFmtId="9" fontId="7" fillId="0" borderId="20" xfId="8" applyFont="1" applyBorder="1" applyAlignment="1">
      <alignment horizontal="center" vertical="center"/>
    </xf>
    <xf numFmtId="9" fontId="7" fillId="0" borderId="54" xfId="8" applyFont="1" applyBorder="1" applyAlignment="1">
      <alignment horizontal="center" vertical="center"/>
    </xf>
    <xf numFmtId="9" fontId="7" fillId="0" borderId="52" xfId="8" applyFont="1" applyBorder="1" applyAlignment="1">
      <alignment horizontal="center" vertical="center"/>
    </xf>
    <xf numFmtId="9" fontId="7" fillId="28" borderId="9" xfId="8" applyFont="1" applyFill="1" applyBorder="1" applyAlignment="1">
      <alignment horizontal="center" vertical="center"/>
    </xf>
    <xf numFmtId="9" fontId="7" fillId="28" borderId="12" xfId="8" applyFont="1" applyFill="1" applyBorder="1" applyAlignment="1">
      <alignment horizontal="center" vertical="center"/>
    </xf>
    <xf numFmtId="9" fontId="7" fillId="28" borderId="51" xfId="8" applyFont="1" applyFill="1" applyBorder="1" applyAlignment="1">
      <alignment horizontal="center" vertical="center"/>
    </xf>
    <xf numFmtId="9" fontId="7" fillId="28" borderId="20" xfId="8" applyFont="1" applyFill="1" applyBorder="1" applyAlignment="1">
      <alignment horizontal="center" vertical="center"/>
    </xf>
    <xf numFmtId="9" fontId="7" fillId="28" borderId="54" xfId="8" applyFont="1" applyFill="1" applyBorder="1" applyAlignment="1">
      <alignment horizontal="center" vertical="center"/>
    </xf>
    <xf numFmtId="9" fontId="7" fillId="28" borderId="52" xfId="8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43" fontId="8" fillId="0" borderId="0" xfId="0" applyNumberFormat="1" applyFont="1">
      <alignment vertical="center"/>
    </xf>
    <xf numFmtId="0" fontId="7" fillId="0" borderId="55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9" fontId="19" fillId="0" borderId="4" xfId="8" applyFont="1" applyBorder="1" applyAlignment="1">
      <alignment horizontal="center" vertical="center"/>
    </xf>
    <xf numFmtId="9" fontId="19" fillId="0" borderId="3" xfId="8" applyFont="1" applyBorder="1" applyAlignment="1">
      <alignment horizontal="center" vertical="center"/>
    </xf>
    <xf numFmtId="9" fontId="19" fillId="0" borderId="5" xfId="8" applyFont="1" applyBorder="1" applyAlignment="1">
      <alignment horizontal="center" vertical="center"/>
    </xf>
    <xf numFmtId="9" fontId="19" fillId="0" borderId="50" xfId="0" applyNumberFormat="1" applyFont="1" applyBorder="1" applyAlignment="1">
      <alignment horizontal="center" vertical="center"/>
    </xf>
    <xf numFmtId="0" fontId="8" fillId="28" borderId="6" xfId="2" applyFont="1" applyFill="1" applyBorder="1" applyAlignment="1">
      <alignment horizontal="center" vertical="center"/>
    </xf>
    <xf numFmtId="9" fontId="7" fillId="28" borderId="11" xfId="8" applyFont="1" applyFill="1" applyBorder="1" applyAlignment="1">
      <alignment horizontal="center" vertical="center"/>
    </xf>
    <xf numFmtId="9" fontId="7" fillId="28" borderId="49" xfId="8" applyFont="1" applyFill="1" applyBorder="1" applyAlignment="1">
      <alignment horizontal="center" vertical="center"/>
    </xf>
    <xf numFmtId="0" fontId="7" fillId="28" borderId="51" xfId="0" applyFont="1" applyFill="1" applyBorder="1" applyAlignment="1">
      <alignment horizontal="center" vertical="center"/>
    </xf>
    <xf numFmtId="0" fontId="7" fillId="28" borderId="52" xfId="0" applyFont="1" applyFill="1" applyBorder="1" applyAlignment="1">
      <alignment horizontal="center" vertical="center"/>
    </xf>
    <xf numFmtId="49" fontId="13" fillId="0" borderId="22" xfId="2" applyNumberFormat="1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 shrinkToFit="1"/>
    </xf>
    <xf numFmtId="0" fontId="8" fillId="29" borderId="8" xfId="2" applyFont="1" applyFill="1" applyBorder="1" applyAlignment="1">
      <alignment horizontal="center" vertical="center"/>
    </xf>
    <xf numFmtId="0" fontId="7" fillId="29" borderId="51" xfId="0" applyFont="1" applyFill="1" applyBorder="1" applyAlignment="1">
      <alignment horizontal="center" vertical="center"/>
    </xf>
    <xf numFmtId="9" fontId="7" fillId="29" borderId="11" xfId="8" applyFont="1" applyFill="1" applyBorder="1" applyAlignment="1">
      <alignment horizontal="center" vertical="center"/>
    </xf>
    <xf numFmtId="9" fontId="7" fillId="29" borderId="9" xfId="8" applyFont="1" applyFill="1" applyBorder="1" applyAlignment="1">
      <alignment horizontal="center" vertical="center"/>
    </xf>
    <xf numFmtId="9" fontId="7" fillId="29" borderId="12" xfId="8" applyFont="1" applyFill="1" applyBorder="1" applyAlignment="1">
      <alignment horizontal="center" vertical="center"/>
    </xf>
    <xf numFmtId="9" fontId="7" fillId="29" borderId="51" xfId="8" applyFont="1" applyFill="1" applyBorder="1" applyAlignment="1">
      <alignment horizontal="center" vertical="center"/>
    </xf>
    <xf numFmtId="49" fontId="13" fillId="0" borderId="17" xfId="2" applyNumberFormat="1" applyFont="1" applyBorder="1" applyAlignment="1">
      <alignment horizontal="center" vertical="center" shrinkToFit="1"/>
    </xf>
    <xf numFmtId="0" fontId="8" fillId="28" borderId="8" xfId="2" applyFont="1" applyFill="1" applyBorder="1" applyAlignment="1">
      <alignment horizontal="center" vertical="center"/>
    </xf>
    <xf numFmtId="0" fontId="7" fillId="28" borderId="53" xfId="0" applyFont="1" applyFill="1" applyBorder="1" applyAlignment="1">
      <alignment horizontal="center" vertical="center"/>
    </xf>
    <xf numFmtId="9" fontId="7" fillId="28" borderId="38" xfId="8" applyFont="1" applyFill="1" applyBorder="1" applyAlignment="1">
      <alignment horizontal="center" vertical="center"/>
    </xf>
    <xf numFmtId="9" fontId="7" fillId="28" borderId="24" xfId="8" applyFont="1" applyFill="1" applyBorder="1" applyAlignment="1">
      <alignment horizontal="center" vertical="center"/>
    </xf>
    <xf numFmtId="9" fontId="7" fillId="28" borderId="33" xfId="8" applyFont="1" applyFill="1" applyBorder="1" applyAlignment="1">
      <alignment horizontal="center" vertical="center"/>
    </xf>
    <xf numFmtId="9" fontId="7" fillId="28" borderId="31" xfId="8" applyFont="1" applyFill="1" applyBorder="1" applyAlignment="1">
      <alignment horizontal="center" vertical="center"/>
    </xf>
    <xf numFmtId="9" fontId="7" fillId="28" borderId="53" xfId="8" applyFont="1" applyFill="1" applyBorder="1" applyAlignment="1">
      <alignment horizontal="center" vertical="center"/>
    </xf>
    <xf numFmtId="9" fontId="7" fillId="28" borderId="3" xfId="8" applyFont="1" applyFill="1" applyBorder="1" applyAlignment="1">
      <alignment horizontal="center" vertical="center"/>
    </xf>
    <xf numFmtId="41" fontId="8" fillId="0" borderId="7" xfId="4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 shrinkToFi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9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9" xfId="2" applyNumberFormat="1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0" fontId="15" fillId="0" borderId="9" xfId="2" applyFont="1" applyBorder="1" applyAlignment="1">
      <alignment horizontal="left" vertical="center"/>
    </xf>
    <xf numFmtId="0" fontId="15" fillId="0" borderId="10" xfId="2" applyFont="1" applyBorder="1" applyAlignment="1">
      <alignment horizontal="left" vertical="center"/>
    </xf>
    <xf numFmtId="0" fontId="12" fillId="0" borderId="21" xfId="2" applyFont="1" applyBorder="1" applyAlignment="1">
      <alignment horizontal="center" vertical="center"/>
    </xf>
    <xf numFmtId="0" fontId="12" fillId="0" borderId="20" xfId="2" applyFont="1" applyBorder="1" applyAlignment="1">
      <alignment horizontal="center" vertical="center"/>
    </xf>
    <xf numFmtId="0" fontId="15" fillId="0" borderId="22" xfId="2" applyFont="1" applyBorder="1" applyAlignment="1">
      <alignment horizontal="center" vertical="center"/>
    </xf>
    <xf numFmtId="42" fontId="15" fillId="0" borderId="22" xfId="7" applyFont="1" applyBorder="1" applyAlignment="1">
      <alignment horizontal="center" vertical="center"/>
    </xf>
    <xf numFmtId="0" fontId="15" fillId="0" borderId="22" xfId="2" applyFont="1" applyBorder="1" applyAlignment="1">
      <alignment horizontal="left" vertical="center"/>
    </xf>
    <xf numFmtId="0" fontId="15" fillId="0" borderId="58" xfId="2" applyFont="1" applyBorder="1" applyAlignment="1">
      <alignment horizontal="left" vertical="center"/>
    </xf>
    <xf numFmtId="0" fontId="12" fillId="0" borderId="8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5" fillId="0" borderId="3" xfId="2" applyFont="1" applyBorder="1" applyAlignment="1">
      <alignment horizontal="center" vertical="center"/>
    </xf>
    <xf numFmtId="0" fontId="15" fillId="0" borderId="9" xfId="2" applyFont="1" applyBorder="1" applyAlignment="1">
      <alignment horizontal="center" vertical="center"/>
    </xf>
    <xf numFmtId="42" fontId="15" fillId="0" borderId="9" xfId="7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/>
    </xf>
    <xf numFmtId="0" fontId="10" fillId="0" borderId="2" xfId="2" applyFont="1" applyBorder="1" applyAlignment="1">
      <alignment horizontal="center" vertical="center"/>
    </xf>
    <xf numFmtId="0" fontId="12" fillId="0" borderId="23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5" fillId="0" borderId="24" xfId="2" applyFont="1" applyBorder="1" applyAlignment="1">
      <alignment horizontal="center" vertical="center"/>
    </xf>
    <xf numFmtId="42" fontId="15" fillId="0" borderId="33" xfId="7" applyFont="1" applyBorder="1" applyAlignment="1">
      <alignment horizontal="center" vertical="center"/>
    </xf>
    <xf numFmtId="0" fontId="15" fillId="0" borderId="24" xfId="2" applyFont="1" applyBorder="1" applyAlignment="1">
      <alignment horizontal="left" vertical="center"/>
    </xf>
    <xf numFmtId="0" fontId="15" fillId="0" borderId="32" xfId="2" applyFont="1" applyBorder="1" applyAlignment="1">
      <alignment horizontal="left" vertical="center"/>
    </xf>
    <xf numFmtId="0" fontId="14" fillId="0" borderId="27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 shrinkToFit="1"/>
    </xf>
    <xf numFmtId="0" fontId="10" fillId="0" borderId="14" xfId="2" applyFont="1" applyBorder="1" applyAlignment="1">
      <alignment horizontal="center" vertical="center" shrinkToFit="1"/>
    </xf>
    <xf numFmtId="0" fontId="12" fillId="0" borderId="12" xfId="2" applyFont="1" applyBorder="1" applyAlignment="1">
      <alignment horizontal="left" vertical="center"/>
    </xf>
    <xf numFmtId="0" fontId="12" fillId="0" borderId="26" xfId="2" applyFont="1" applyBorder="1" applyAlignment="1">
      <alignment horizontal="left" vertical="center"/>
    </xf>
    <xf numFmtId="0" fontId="12" fillId="0" borderId="11" xfId="2" applyFont="1" applyBorder="1" applyAlignment="1">
      <alignment horizontal="left" vertical="center"/>
    </xf>
    <xf numFmtId="179" fontId="12" fillId="0" borderId="9" xfId="2" applyNumberFormat="1" applyFont="1" applyBorder="1" applyAlignment="1">
      <alignment horizontal="center" vertical="center"/>
    </xf>
    <xf numFmtId="49" fontId="12" fillId="0" borderId="9" xfId="2" applyNumberFormat="1" applyFont="1" applyBorder="1" applyAlignment="1">
      <alignment horizontal="left" vertical="center"/>
    </xf>
    <xf numFmtId="49" fontId="12" fillId="0" borderId="10" xfId="2" applyNumberFormat="1" applyFont="1" applyBorder="1" applyAlignment="1">
      <alignment horizontal="left" vertical="center"/>
    </xf>
    <xf numFmtId="0" fontId="12" fillId="0" borderId="31" xfId="2" applyFont="1" applyBorder="1" applyAlignment="1">
      <alignment horizontal="center" vertical="center"/>
    </xf>
    <xf numFmtId="0" fontId="12" fillId="0" borderId="37" xfId="2" applyFont="1" applyBorder="1" applyAlignment="1">
      <alignment horizontal="center" vertical="center"/>
    </xf>
    <xf numFmtId="0" fontId="12" fillId="0" borderId="38" xfId="2" applyFont="1" applyBorder="1" applyAlignment="1">
      <alignment horizontal="center" vertical="center"/>
    </xf>
    <xf numFmtId="0" fontId="12" fillId="0" borderId="31" xfId="2" applyFont="1" applyBorder="1" applyAlignment="1">
      <alignment horizontal="left" vertical="center"/>
    </xf>
    <xf numFmtId="0" fontId="12" fillId="0" borderId="37" xfId="2" applyFont="1" applyBorder="1" applyAlignment="1">
      <alignment horizontal="left" vertical="center"/>
    </xf>
    <xf numFmtId="0" fontId="12" fillId="0" borderId="38" xfId="2" applyFont="1" applyBorder="1" applyAlignment="1">
      <alignment horizontal="left" vertical="center"/>
    </xf>
    <xf numFmtId="179" fontId="12" fillId="0" borderId="31" xfId="2" applyNumberFormat="1" applyFont="1" applyBorder="1" applyAlignment="1">
      <alignment horizontal="center" vertical="center"/>
    </xf>
    <xf numFmtId="179" fontId="12" fillId="0" borderId="38" xfId="2" applyNumberFormat="1" applyFont="1" applyBorder="1" applyAlignment="1">
      <alignment horizontal="center" vertical="center"/>
    </xf>
    <xf numFmtId="179" fontId="12" fillId="0" borderId="24" xfId="2" applyNumberFormat="1" applyFont="1" applyBorder="1" applyAlignment="1">
      <alignment horizontal="center" vertical="center"/>
    </xf>
    <xf numFmtId="49" fontId="12" fillId="0" borderId="24" xfId="2" applyNumberFormat="1" applyFont="1" applyBorder="1" applyAlignment="1">
      <alignment horizontal="left" vertical="center"/>
    </xf>
    <xf numFmtId="49" fontId="12" fillId="0" borderId="32" xfId="2" applyNumberFormat="1" applyFont="1" applyBorder="1" applyAlignment="1">
      <alignment horizontal="left" vertical="center"/>
    </xf>
    <xf numFmtId="0" fontId="13" fillId="0" borderId="9" xfId="2" applyFont="1" applyBorder="1" applyAlignment="1">
      <alignment horizontal="center" vertical="center"/>
    </xf>
    <xf numFmtId="0" fontId="13" fillId="0" borderId="10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2" fillId="0" borderId="14" xfId="2" applyFont="1" applyBorder="1" applyAlignment="1">
      <alignment horizontal="center" vertical="center"/>
    </xf>
    <xf numFmtId="0" fontId="10" fillId="0" borderId="15" xfId="2" applyFont="1" applyBorder="1" applyAlignment="1">
      <alignment horizontal="center" vertical="center" shrinkToFit="1"/>
    </xf>
    <xf numFmtId="0" fontId="10" fillId="0" borderId="16" xfId="2" applyFont="1" applyBorder="1" applyAlignment="1">
      <alignment horizontal="center" vertical="center" shrinkToFit="1"/>
    </xf>
    <xf numFmtId="0" fontId="10" fillId="0" borderId="13" xfId="2" applyFont="1" applyBorder="1" applyAlignment="1">
      <alignment horizontal="center" vertical="center" shrinkToFit="1"/>
    </xf>
    <xf numFmtId="0" fontId="10" fillId="0" borderId="28" xfId="2" applyFont="1" applyBorder="1" applyAlignment="1">
      <alignment horizontal="center" vertical="center" shrinkToFit="1"/>
    </xf>
    <xf numFmtId="0" fontId="13" fillId="0" borderId="25" xfId="2" applyFont="1" applyBorder="1" applyAlignment="1">
      <alignment horizontal="center" vertical="center"/>
    </xf>
    <xf numFmtId="0" fontId="13" fillId="0" borderId="11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 wrapText="1"/>
    </xf>
    <xf numFmtId="49" fontId="13" fillId="0" borderId="9" xfId="2" applyNumberFormat="1" applyFont="1" applyBorder="1" applyAlignment="1">
      <alignment horizontal="center" vertical="center"/>
    </xf>
    <xf numFmtId="41" fontId="13" fillId="0" borderId="9" xfId="4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left" vertical="center" shrinkToFit="1"/>
    </xf>
    <xf numFmtId="0" fontId="13" fillId="0" borderId="12" xfId="2" applyFont="1" applyBorder="1" applyAlignment="1">
      <alignment horizontal="center" vertical="center" wrapText="1"/>
    </xf>
    <xf numFmtId="0" fontId="13" fillId="0" borderId="26" xfId="2" applyFont="1" applyBorder="1" applyAlignment="1">
      <alignment horizontal="center" vertical="center" wrapText="1"/>
    </xf>
    <xf numFmtId="0" fontId="13" fillId="0" borderId="11" xfId="2" applyFont="1" applyBorder="1" applyAlignment="1">
      <alignment horizontal="center" vertical="center" wrapText="1"/>
    </xf>
    <xf numFmtId="0" fontId="13" fillId="0" borderId="15" xfId="2" applyFont="1" applyBorder="1" applyAlignment="1">
      <alignment horizontal="center" vertical="center"/>
    </xf>
    <xf numFmtId="0" fontId="13" fillId="0" borderId="16" xfId="2" applyFont="1" applyBorder="1" applyAlignment="1">
      <alignment horizontal="center" vertical="center"/>
    </xf>
    <xf numFmtId="0" fontId="13" fillId="0" borderId="13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0" fontId="13" fillId="0" borderId="2" xfId="2" applyFont="1" applyBorder="1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49" fontId="13" fillId="0" borderId="6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12" xfId="2" applyNumberFormat="1" applyFont="1" applyBorder="1" applyAlignment="1">
      <alignment horizontal="left" vertical="center" shrinkToFit="1"/>
    </xf>
    <xf numFmtId="49" fontId="13" fillId="0" borderId="26" xfId="2" applyNumberFormat="1" applyFont="1" applyBorder="1" applyAlignment="1">
      <alignment horizontal="left" vertical="center" shrinkToFit="1"/>
    </xf>
    <xf numFmtId="49" fontId="13" fillId="0" borderId="60" xfId="2" applyNumberFormat="1" applyFont="1" applyBorder="1" applyAlignment="1">
      <alignment horizontal="left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1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54" xfId="2" applyNumberFormat="1" applyFont="1" applyBorder="1" applyAlignment="1">
      <alignment horizontal="left" vertical="center" shrinkToFit="1"/>
    </xf>
    <xf numFmtId="49" fontId="13" fillId="0" borderId="61" xfId="2" applyNumberFormat="1" applyFont="1" applyBorder="1" applyAlignment="1">
      <alignment horizontal="left" vertical="center" shrinkToFit="1"/>
    </xf>
    <xf numFmtId="49" fontId="13" fillId="0" borderId="62" xfId="2" applyNumberFormat="1" applyFont="1" applyBorder="1" applyAlignment="1">
      <alignment horizontal="left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left" vertical="center" shrinkToFit="1"/>
    </xf>
    <xf numFmtId="49" fontId="13" fillId="0" borderId="58" xfId="2" applyNumberFormat="1" applyFont="1" applyBorder="1" applyAlignment="1">
      <alignment horizontal="left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12" xfId="2" applyNumberFormat="1" applyFont="1" applyBorder="1" applyAlignment="1">
      <alignment horizontal="center" vertical="center" shrinkToFit="1"/>
    </xf>
    <xf numFmtId="49" fontId="13" fillId="0" borderId="11" xfId="2" applyNumberFormat="1" applyFont="1" applyBorder="1" applyAlignment="1">
      <alignment horizontal="center" vertical="center" shrinkToFit="1"/>
    </xf>
    <xf numFmtId="49" fontId="13" fillId="0" borderId="26" xfId="2" applyNumberFormat="1" applyFont="1" applyBorder="1" applyAlignment="1">
      <alignment horizontal="center" vertical="center" shrinkToFit="1"/>
    </xf>
    <xf numFmtId="0" fontId="19" fillId="2" borderId="32" xfId="2" applyFont="1" applyFill="1" applyBorder="1" applyAlignment="1">
      <alignment horizontal="center" vertical="center" wrapText="1"/>
    </xf>
    <xf numFmtId="0" fontId="19" fillId="2" borderId="30" xfId="2" applyFont="1" applyFill="1" applyBorder="1" applyAlignment="1">
      <alignment horizontal="center" vertical="center"/>
    </xf>
    <xf numFmtId="0" fontId="9" fillId="3" borderId="29" xfId="2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horizontal="center" vertical="center"/>
    </xf>
    <xf numFmtId="0" fontId="9" fillId="3" borderId="28" xfId="2" applyFont="1" applyFill="1" applyBorder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10" fillId="0" borderId="34" xfId="2" applyFont="1" applyBorder="1" applyAlignment="1">
      <alignment horizontal="center" vertical="center"/>
    </xf>
    <xf numFmtId="0" fontId="10" fillId="0" borderId="35" xfId="2" applyFont="1" applyBorder="1" applyAlignment="1">
      <alignment horizontal="center" vertical="center"/>
    </xf>
    <xf numFmtId="0" fontId="10" fillId="0" borderId="36" xfId="2" applyFont="1" applyBorder="1" applyAlignment="1">
      <alignment horizontal="center" vertical="center"/>
    </xf>
    <xf numFmtId="0" fontId="16" fillId="0" borderId="34" xfId="2" applyFont="1" applyBorder="1" applyAlignment="1">
      <alignment horizontal="center" vertical="center"/>
    </xf>
    <xf numFmtId="0" fontId="16" fillId="0" borderId="35" xfId="2" applyFont="1" applyBorder="1" applyAlignment="1">
      <alignment horizontal="center" vertical="center"/>
    </xf>
    <xf numFmtId="0" fontId="16" fillId="0" borderId="36" xfId="2" applyFont="1" applyBorder="1" applyAlignment="1">
      <alignment horizontal="center" vertical="center"/>
    </xf>
    <xf numFmtId="49" fontId="13" fillId="0" borderId="23" xfId="2" applyNumberFormat="1" applyFont="1" applyBorder="1" applyAlignment="1">
      <alignment horizontal="center" vertical="center"/>
    </xf>
    <xf numFmtId="49" fontId="13" fillId="0" borderId="24" xfId="2" applyNumberFormat="1" applyFont="1" applyBorder="1" applyAlignment="1">
      <alignment horizontal="center" vertical="center"/>
    </xf>
    <xf numFmtId="49" fontId="13" fillId="0" borderId="31" xfId="2" applyNumberFormat="1" applyFont="1" applyBorder="1" applyAlignment="1">
      <alignment horizontal="center" vertical="center"/>
    </xf>
    <xf numFmtId="49" fontId="13" fillId="0" borderId="37" xfId="2" applyNumberFormat="1" applyFont="1" applyBorder="1" applyAlignment="1">
      <alignment horizontal="center" vertical="center"/>
    </xf>
    <xf numFmtId="49" fontId="13" fillId="0" borderId="59" xfId="2" applyNumberFormat="1" applyFont="1" applyBorder="1" applyAlignment="1">
      <alignment horizontal="center" vertical="center"/>
    </xf>
    <xf numFmtId="49" fontId="13" fillId="0" borderId="38" xfId="2" applyNumberFormat="1" applyFont="1" applyBorder="1" applyAlignment="1">
      <alignment horizontal="center" vertical="center"/>
    </xf>
    <xf numFmtId="0" fontId="20" fillId="4" borderId="29" xfId="2" applyFont="1" applyFill="1" applyBorder="1" applyAlignment="1">
      <alignment horizontal="center" vertical="center" wrapText="1"/>
    </xf>
    <xf numFmtId="0" fontId="20" fillId="4" borderId="16" xfId="2" applyFont="1" applyFill="1" applyBorder="1" applyAlignment="1">
      <alignment horizontal="center" vertical="center" wrapText="1"/>
    </xf>
    <xf numFmtId="0" fontId="20" fillId="4" borderId="28" xfId="2" applyFont="1" applyFill="1" applyBorder="1" applyAlignment="1">
      <alignment horizontal="center" vertical="center" wrapText="1"/>
    </xf>
    <xf numFmtId="177" fontId="19" fillId="2" borderId="29" xfId="2" applyNumberFormat="1" applyFont="1" applyFill="1" applyBorder="1" applyAlignment="1">
      <alignment horizontal="center" vertical="center" wrapText="1"/>
    </xf>
    <xf numFmtId="177" fontId="19" fillId="2" borderId="28" xfId="2" applyNumberFormat="1" applyFont="1" applyFill="1" applyBorder="1" applyAlignment="1">
      <alignment horizontal="center" vertical="center" wrapText="1"/>
    </xf>
    <xf numFmtId="0" fontId="19" fillId="2" borderId="29" xfId="2" applyFont="1" applyFill="1" applyBorder="1" applyAlignment="1">
      <alignment horizontal="center" vertical="center"/>
    </xf>
    <xf numFmtId="0" fontId="19" fillId="2" borderId="16" xfId="2" applyFont="1" applyFill="1" applyBorder="1" applyAlignment="1">
      <alignment horizontal="center" vertical="center"/>
    </xf>
    <xf numFmtId="0" fontId="19" fillId="2" borderId="28" xfId="2" applyFont="1" applyFill="1" applyBorder="1" applyAlignment="1">
      <alignment horizontal="center" vertical="center"/>
    </xf>
    <xf numFmtId="0" fontId="19" fillId="2" borderId="23" xfId="2" applyFont="1" applyFill="1" applyBorder="1" applyAlignment="1">
      <alignment horizontal="center" vertical="center" wrapText="1"/>
    </xf>
    <xf numFmtId="0" fontId="19" fillId="2" borderId="21" xfId="2" applyFont="1" applyFill="1" applyBorder="1" applyAlignment="1">
      <alignment horizontal="center" vertical="center"/>
    </xf>
    <xf numFmtId="0" fontId="18" fillId="0" borderId="0" xfId="2" applyFont="1" applyAlignment="1">
      <alignment horizontal="center" vertical="center"/>
    </xf>
    <xf numFmtId="176" fontId="7" fillId="0" borderId="0" xfId="2" applyNumberFormat="1" applyFont="1" applyAlignment="1">
      <alignment horizontal="center" vertical="center"/>
    </xf>
    <xf numFmtId="0" fontId="20" fillId="4" borderId="23" xfId="2" applyFont="1" applyFill="1" applyBorder="1" applyAlignment="1">
      <alignment horizontal="center" vertical="center" wrapText="1"/>
    </xf>
    <xf numFmtId="0" fontId="20" fillId="4" borderId="21" xfId="2" applyFont="1" applyFill="1" applyBorder="1" applyAlignment="1">
      <alignment horizontal="center" vertical="center"/>
    </xf>
    <xf numFmtId="0" fontId="20" fillId="4" borderId="33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4" xfId="2" applyFont="1" applyFill="1" applyBorder="1" applyAlignment="1">
      <alignment horizontal="center" vertical="center"/>
    </xf>
    <xf numFmtId="0" fontId="20" fillId="4" borderId="20" xfId="2" applyFont="1" applyFill="1" applyBorder="1" applyAlignment="1">
      <alignment horizontal="center" vertical="center"/>
    </xf>
    <xf numFmtId="0" fontId="20" fillId="4" borderId="24" xfId="2" applyFont="1" applyFill="1" applyBorder="1" applyAlignment="1">
      <alignment horizontal="center" vertical="center" wrapText="1"/>
    </xf>
    <xf numFmtId="178" fontId="20" fillId="4" borderId="32" xfId="4" applyNumberFormat="1" applyFont="1" applyFill="1" applyBorder="1" applyAlignment="1">
      <alignment horizontal="center" vertical="center" wrapText="1"/>
    </xf>
    <xf numFmtId="178" fontId="20" fillId="4" borderId="30" xfId="4" applyNumberFormat="1" applyFont="1" applyFill="1" applyBorder="1" applyAlignment="1">
      <alignment horizontal="center" vertical="center"/>
    </xf>
    <xf numFmtId="49" fontId="13" fillId="0" borderId="5" xfId="2" applyNumberFormat="1" applyFont="1" applyBorder="1" applyAlignment="1">
      <alignment horizontal="left" vertical="center" shrinkToFit="1"/>
    </xf>
    <xf numFmtId="49" fontId="13" fillId="0" borderId="63" xfId="2" applyNumberFormat="1" applyFont="1" applyBorder="1" applyAlignment="1">
      <alignment horizontal="left" vertical="center" shrinkToFit="1"/>
    </xf>
    <xf numFmtId="49" fontId="13" fillId="0" borderId="64" xfId="2" applyNumberFormat="1" applyFont="1" applyBorder="1" applyAlignment="1">
      <alignment horizontal="left" vertical="center" shrinkToFit="1"/>
    </xf>
    <xf numFmtId="0" fontId="9" fillId="0" borderId="27" xfId="0" applyFont="1" applyBorder="1" applyAlignment="1">
      <alignment horizontal="center" vertical="center"/>
    </xf>
  </cellXfs>
  <cellStyles count="3845">
    <cellStyle name="_x0002_._x0011__x0002_._x001b__x0002_ _x0015_%_x0018__x0001_" xfId="3128" xr:uid="{00000000-0005-0000-0000-000000000000}"/>
    <cellStyle name="?" xfId="3129" xr:uid="{00000000-0005-0000-0000-000001000000}"/>
    <cellStyle name="20% - 강조색1 2" xfId="10" xr:uid="{00000000-0005-0000-0000-000002000000}"/>
    <cellStyle name="20% - 강조색1 2 10" xfId="11" xr:uid="{00000000-0005-0000-0000-000003000000}"/>
    <cellStyle name="20% - 강조색1 2 10 2" xfId="12" xr:uid="{00000000-0005-0000-0000-000004000000}"/>
    <cellStyle name="20% - 강조색1 2 10 3" xfId="13" xr:uid="{00000000-0005-0000-0000-000005000000}"/>
    <cellStyle name="20% - 강조색1 2 10 4" xfId="14" xr:uid="{00000000-0005-0000-0000-000006000000}"/>
    <cellStyle name="20% - 강조색1 2 10 5" xfId="15" xr:uid="{00000000-0005-0000-0000-000007000000}"/>
    <cellStyle name="20% - 강조색1 2 10 6" xfId="16" xr:uid="{00000000-0005-0000-0000-000008000000}"/>
    <cellStyle name="20% - 강조색1 2 11" xfId="17" xr:uid="{00000000-0005-0000-0000-000009000000}"/>
    <cellStyle name="20% - 강조색1 2 11 2" xfId="18" xr:uid="{00000000-0005-0000-0000-00000A000000}"/>
    <cellStyle name="20% - 강조색1 2 11 3" xfId="19" xr:uid="{00000000-0005-0000-0000-00000B000000}"/>
    <cellStyle name="20% - 강조색1 2 11 4" xfId="20" xr:uid="{00000000-0005-0000-0000-00000C000000}"/>
    <cellStyle name="20% - 강조색1 2 11 5" xfId="21" xr:uid="{00000000-0005-0000-0000-00000D000000}"/>
    <cellStyle name="20% - 강조색1 2 11 6" xfId="22" xr:uid="{00000000-0005-0000-0000-00000E000000}"/>
    <cellStyle name="20% - 강조색1 2 12" xfId="23" xr:uid="{00000000-0005-0000-0000-00000F000000}"/>
    <cellStyle name="20% - 강조색1 2 12 2" xfId="24" xr:uid="{00000000-0005-0000-0000-000010000000}"/>
    <cellStyle name="20% - 강조색1 2 12 3" xfId="25" xr:uid="{00000000-0005-0000-0000-000011000000}"/>
    <cellStyle name="20% - 강조색1 2 12 4" xfId="26" xr:uid="{00000000-0005-0000-0000-000012000000}"/>
    <cellStyle name="20% - 강조색1 2 12 5" xfId="27" xr:uid="{00000000-0005-0000-0000-000013000000}"/>
    <cellStyle name="20% - 강조색1 2 12 6" xfId="28" xr:uid="{00000000-0005-0000-0000-000014000000}"/>
    <cellStyle name="20% - 강조색1 2 13" xfId="29" xr:uid="{00000000-0005-0000-0000-000015000000}"/>
    <cellStyle name="20% - 강조색1 2 13 2" xfId="30" xr:uid="{00000000-0005-0000-0000-000016000000}"/>
    <cellStyle name="20% - 강조색1 2 13 3" xfId="31" xr:uid="{00000000-0005-0000-0000-000017000000}"/>
    <cellStyle name="20% - 강조색1 2 13 4" xfId="32" xr:uid="{00000000-0005-0000-0000-000018000000}"/>
    <cellStyle name="20% - 강조색1 2 13 5" xfId="33" xr:uid="{00000000-0005-0000-0000-000019000000}"/>
    <cellStyle name="20% - 강조색1 2 13 6" xfId="34" xr:uid="{00000000-0005-0000-0000-00001A000000}"/>
    <cellStyle name="20% - 강조색1 2 14" xfId="35" xr:uid="{00000000-0005-0000-0000-00001B000000}"/>
    <cellStyle name="20% - 강조색1 2 14 2" xfId="36" xr:uid="{00000000-0005-0000-0000-00001C000000}"/>
    <cellStyle name="20% - 강조색1 2 14 3" xfId="37" xr:uid="{00000000-0005-0000-0000-00001D000000}"/>
    <cellStyle name="20% - 강조색1 2 14 4" xfId="38" xr:uid="{00000000-0005-0000-0000-00001E000000}"/>
    <cellStyle name="20% - 강조색1 2 14 5" xfId="39" xr:uid="{00000000-0005-0000-0000-00001F000000}"/>
    <cellStyle name="20% - 강조색1 2 14 6" xfId="40" xr:uid="{00000000-0005-0000-0000-000020000000}"/>
    <cellStyle name="20% - 강조색1 2 15" xfId="41" xr:uid="{00000000-0005-0000-0000-000021000000}"/>
    <cellStyle name="20% - 강조색1 2 16" xfId="42" xr:uid="{00000000-0005-0000-0000-000022000000}"/>
    <cellStyle name="20% - 강조색1 2 17" xfId="43" xr:uid="{00000000-0005-0000-0000-000023000000}"/>
    <cellStyle name="20% - 강조색1 2 18" xfId="44" xr:uid="{00000000-0005-0000-0000-000024000000}"/>
    <cellStyle name="20% - 강조색1 2 19" xfId="45" xr:uid="{00000000-0005-0000-0000-000025000000}"/>
    <cellStyle name="20% - 강조색1 2 2" xfId="46" xr:uid="{00000000-0005-0000-0000-000026000000}"/>
    <cellStyle name="20% - 강조색1 2 2 2" xfId="47" xr:uid="{00000000-0005-0000-0000-000027000000}"/>
    <cellStyle name="20% - 강조색1 2 2 3" xfId="48" xr:uid="{00000000-0005-0000-0000-000028000000}"/>
    <cellStyle name="20% - 강조색1 2 2 4" xfId="49" xr:uid="{00000000-0005-0000-0000-000029000000}"/>
    <cellStyle name="20% - 강조색1 2 2 5" xfId="50" xr:uid="{00000000-0005-0000-0000-00002A000000}"/>
    <cellStyle name="20% - 강조색1 2 2 6" xfId="51" xr:uid="{00000000-0005-0000-0000-00002B000000}"/>
    <cellStyle name="20% - 강조색1 2 3" xfId="52" xr:uid="{00000000-0005-0000-0000-00002C000000}"/>
    <cellStyle name="20% - 강조색1 2 3 2" xfId="53" xr:uid="{00000000-0005-0000-0000-00002D000000}"/>
    <cellStyle name="20% - 강조색1 2 3 3" xfId="54" xr:uid="{00000000-0005-0000-0000-00002E000000}"/>
    <cellStyle name="20% - 강조색1 2 3 4" xfId="55" xr:uid="{00000000-0005-0000-0000-00002F000000}"/>
    <cellStyle name="20% - 강조색1 2 3 5" xfId="56" xr:uid="{00000000-0005-0000-0000-000030000000}"/>
    <cellStyle name="20% - 강조색1 2 3 6" xfId="57" xr:uid="{00000000-0005-0000-0000-000031000000}"/>
    <cellStyle name="20% - 강조색1 2 4" xfId="58" xr:uid="{00000000-0005-0000-0000-000032000000}"/>
    <cellStyle name="20% - 강조색1 2 4 2" xfId="59" xr:uid="{00000000-0005-0000-0000-000033000000}"/>
    <cellStyle name="20% - 강조색1 2 4 3" xfId="60" xr:uid="{00000000-0005-0000-0000-000034000000}"/>
    <cellStyle name="20% - 강조색1 2 4 4" xfId="61" xr:uid="{00000000-0005-0000-0000-000035000000}"/>
    <cellStyle name="20% - 강조색1 2 4 5" xfId="62" xr:uid="{00000000-0005-0000-0000-000036000000}"/>
    <cellStyle name="20% - 강조색1 2 4 6" xfId="63" xr:uid="{00000000-0005-0000-0000-000037000000}"/>
    <cellStyle name="20% - 강조색1 2 5" xfId="64" xr:uid="{00000000-0005-0000-0000-000038000000}"/>
    <cellStyle name="20% - 강조색1 2 5 2" xfId="65" xr:uid="{00000000-0005-0000-0000-000039000000}"/>
    <cellStyle name="20% - 강조색1 2 5 3" xfId="66" xr:uid="{00000000-0005-0000-0000-00003A000000}"/>
    <cellStyle name="20% - 강조색1 2 5 4" xfId="67" xr:uid="{00000000-0005-0000-0000-00003B000000}"/>
    <cellStyle name="20% - 강조색1 2 5 5" xfId="68" xr:uid="{00000000-0005-0000-0000-00003C000000}"/>
    <cellStyle name="20% - 강조색1 2 5 6" xfId="69" xr:uid="{00000000-0005-0000-0000-00003D000000}"/>
    <cellStyle name="20% - 강조색1 2 6" xfId="70" xr:uid="{00000000-0005-0000-0000-00003E000000}"/>
    <cellStyle name="20% - 강조색1 2 6 2" xfId="71" xr:uid="{00000000-0005-0000-0000-00003F000000}"/>
    <cellStyle name="20% - 강조색1 2 6 3" xfId="72" xr:uid="{00000000-0005-0000-0000-000040000000}"/>
    <cellStyle name="20% - 강조색1 2 6 4" xfId="73" xr:uid="{00000000-0005-0000-0000-000041000000}"/>
    <cellStyle name="20% - 강조색1 2 6 5" xfId="74" xr:uid="{00000000-0005-0000-0000-000042000000}"/>
    <cellStyle name="20% - 강조색1 2 6 6" xfId="75" xr:uid="{00000000-0005-0000-0000-000043000000}"/>
    <cellStyle name="20% - 강조색1 2 7" xfId="76" xr:uid="{00000000-0005-0000-0000-000044000000}"/>
    <cellStyle name="20% - 강조색1 2 7 2" xfId="77" xr:uid="{00000000-0005-0000-0000-000045000000}"/>
    <cellStyle name="20% - 강조색1 2 7 3" xfId="78" xr:uid="{00000000-0005-0000-0000-000046000000}"/>
    <cellStyle name="20% - 강조색1 2 7 4" xfId="79" xr:uid="{00000000-0005-0000-0000-000047000000}"/>
    <cellStyle name="20% - 강조색1 2 7 5" xfId="80" xr:uid="{00000000-0005-0000-0000-000048000000}"/>
    <cellStyle name="20% - 강조색1 2 7 6" xfId="81" xr:uid="{00000000-0005-0000-0000-000049000000}"/>
    <cellStyle name="20% - 강조색1 2 8" xfId="82" xr:uid="{00000000-0005-0000-0000-00004A000000}"/>
    <cellStyle name="20% - 강조색1 2 8 2" xfId="83" xr:uid="{00000000-0005-0000-0000-00004B000000}"/>
    <cellStyle name="20% - 강조색1 2 8 3" xfId="84" xr:uid="{00000000-0005-0000-0000-00004C000000}"/>
    <cellStyle name="20% - 강조색1 2 8 4" xfId="85" xr:uid="{00000000-0005-0000-0000-00004D000000}"/>
    <cellStyle name="20% - 강조색1 2 8 5" xfId="86" xr:uid="{00000000-0005-0000-0000-00004E000000}"/>
    <cellStyle name="20% - 강조색1 2 8 6" xfId="87" xr:uid="{00000000-0005-0000-0000-00004F000000}"/>
    <cellStyle name="20% - 강조색1 2 9" xfId="88" xr:uid="{00000000-0005-0000-0000-000050000000}"/>
    <cellStyle name="20% - 강조색1 2 9 2" xfId="89" xr:uid="{00000000-0005-0000-0000-000051000000}"/>
    <cellStyle name="20% - 강조색1 2 9 3" xfId="90" xr:uid="{00000000-0005-0000-0000-000052000000}"/>
    <cellStyle name="20% - 강조색1 2 9 4" xfId="91" xr:uid="{00000000-0005-0000-0000-000053000000}"/>
    <cellStyle name="20% - 강조색1 2 9 5" xfId="92" xr:uid="{00000000-0005-0000-0000-000054000000}"/>
    <cellStyle name="20% - 강조색1 2 9 6" xfId="93" xr:uid="{00000000-0005-0000-0000-000055000000}"/>
    <cellStyle name="20% - 강조색2 2" xfId="94" xr:uid="{00000000-0005-0000-0000-000056000000}"/>
    <cellStyle name="20% - 강조색2 2 10" xfId="95" xr:uid="{00000000-0005-0000-0000-000057000000}"/>
    <cellStyle name="20% - 강조색2 2 10 2" xfId="96" xr:uid="{00000000-0005-0000-0000-000058000000}"/>
    <cellStyle name="20% - 강조색2 2 10 3" xfId="97" xr:uid="{00000000-0005-0000-0000-000059000000}"/>
    <cellStyle name="20% - 강조색2 2 10 4" xfId="98" xr:uid="{00000000-0005-0000-0000-00005A000000}"/>
    <cellStyle name="20% - 강조색2 2 10 5" xfId="99" xr:uid="{00000000-0005-0000-0000-00005B000000}"/>
    <cellStyle name="20% - 강조색2 2 10 6" xfId="100" xr:uid="{00000000-0005-0000-0000-00005C000000}"/>
    <cellStyle name="20% - 강조색2 2 11" xfId="101" xr:uid="{00000000-0005-0000-0000-00005D000000}"/>
    <cellStyle name="20% - 강조색2 2 11 2" xfId="102" xr:uid="{00000000-0005-0000-0000-00005E000000}"/>
    <cellStyle name="20% - 강조색2 2 11 3" xfId="103" xr:uid="{00000000-0005-0000-0000-00005F000000}"/>
    <cellStyle name="20% - 강조색2 2 11 4" xfId="104" xr:uid="{00000000-0005-0000-0000-000060000000}"/>
    <cellStyle name="20% - 강조색2 2 11 5" xfId="105" xr:uid="{00000000-0005-0000-0000-000061000000}"/>
    <cellStyle name="20% - 강조색2 2 11 6" xfId="106" xr:uid="{00000000-0005-0000-0000-000062000000}"/>
    <cellStyle name="20% - 강조색2 2 12" xfId="107" xr:uid="{00000000-0005-0000-0000-000063000000}"/>
    <cellStyle name="20% - 강조색2 2 12 2" xfId="108" xr:uid="{00000000-0005-0000-0000-000064000000}"/>
    <cellStyle name="20% - 강조색2 2 12 3" xfId="109" xr:uid="{00000000-0005-0000-0000-000065000000}"/>
    <cellStyle name="20% - 강조색2 2 12 4" xfId="110" xr:uid="{00000000-0005-0000-0000-000066000000}"/>
    <cellStyle name="20% - 강조색2 2 12 5" xfId="111" xr:uid="{00000000-0005-0000-0000-000067000000}"/>
    <cellStyle name="20% - 강조색2 2 12 6" xfId="112" xr:uid="{00000000-0005-0000-0000-000068000000}"/>
    <cellStyle name="20% - 강조색2 2 13" xfId="113" xr:uid="{00000000-0005-0000-0000-000069000000}"/>
    <cellStyle name="20% - 강조색2 2 13 2" xfId="114" xr:uid="{00000000-0005-0000-0000-00006A000000}"/>
    <cellStyle name="20% - 강조색2 2 13 3" xfId="115" xr:uid="{00000000-0005-0000-0000-00006B000000}"/>
    <cellStyle name="20% - 강조색2 2 13 4" xfId="116" xr:uid="{00000000-0005-0000-0000-00006C000000}"/>
    <cellStyle name="20% - 강조색2 2 13 5" xfId="117" xr:uid="{00000000-0005-0000-0000-00006D000000}"/>
    <cellStyle name="20% - 강조색2 2 13 6" xfId="118" xr:uid="{00000000-0005-0000-0000-00006E000000}"/>
    <cellStyle name="20% - 강조색2 2 14" xfId="119" xr:uid="{00000000-0005-0000-0000-00006F000000}"/>
    <cellStyle name="20% - 강조색2 2 14 2" xfId="120" xr:uid="{00000000-0005-0000-0000-000070000000}"/>
    <cellStyle name="20% - 강조색2 2 14 3" xfId="121" xr:uid="{00000000-0005-0000-0000-000071000000}"/>
    <cellStyle name="20% - 강조색2 2 14 4" xfId="122" xr:uid="{00000000-0005-0000-0000-000072000000}"/>
    <cellStyle name="20% - 강조색2 2 14 5" xfId="123" xr:uid="{00000000-0005-0000-0000-000073000000}"/>
    <cellStyle name="20% - 강조색2 2 14 6" xfId="124" xr:uid="{00000000-0005-0000-0000-000074000000}"/>
    <cellStyle name="20% - 강조색2 2 15" xfId="125" xr:uid="{00000000-0005-0000-0000-000075000000}"/>
    <cellStyle name="20% - 강조색2 2 16" xfId="126" xr:uid="{00000000-0005-0000-0000-000076000000}"/>
    <cellStyle name="20% - 강조색2 2 17" xfId="127" xr:uid="{00000000-0005-0000-0000-000077000000}"/>
    <cellStyle name="20% - 강조색2 2 18" xfId="128" xr:uid="{00000000-0005-0000-0000-000078000000}"/>
    <cellStyle name="20% - 강조색2 2 19" xfId="129" xr:uid="{00000000-0005-0000-0000-000079000000}"/>
    <cellStyle name="20% - 강조색2 2 2" xfId="130" xr:uid="{00000000-0005-0000-0000-00007A000000}"/>
    <cellStyle name="20% - 강조색2 2 2 2" xfId="131" xr:uid="{00000000-0005-0000-0000-00007B000000}"/>
    <cellStyle name="20% - 강조색2 2 2 3" xfId="132" xr:uid="{00000000-0005-0000-0000-00007C000000}"/>
    <cellStyle name="20% - 강조색2 2 2 4" xfId="133" xr:uid="{00000000-0005-0000-0000-00007D000000}"/>
    <cellStyle name="20% - 강조색2 2 2 5" xfId="134" xr:uid="{00000000-0005-0000-0000-00007E000000}"/>
    <cellStyle name="20% - 강조색2 2 2 6" xfId="135" xr:uid="{00000000-0005-0000-0000-00007F000000}"/>
    <cellStyle name="20% - 강조색2 2 3" xfId="136" xr:uid="{00000000-0005-0000-0000-000080000000}"/>
    <cellStyle name="20% - 강조색2 2 3 2" xfId="137" xr:uid="{00000000-0005-0000-0000-000081000000}"/>
    <cellStyle name="20% - 강조색2 2 3 3" xfId="138" xr:uid="{00000000-0005-0000-0000-000082000000}"/>
    <cellStyle name="20% - 강조색2 2 3 4" xfId="139" xr:uid="{00000000-0005-0000-0000-000083000000}"/>
    <cellStyle name="20% - 강조색2 2 3 5" xfId="140" xr:uid="{00000000-0005-0000-0000-000084000000}"/>
    <cellStyle name="20% - 강조색2 2 3 6" xfId="141" xr:uid="{00000000-0005-0000-0000-000085000000}"/>
    <cellStyle name="20% - 강조색2 2 4" xfId="142" xr:uid="{00000000-0005-0000-0000-000086000000}"/>
    <cellStyle name="20% - 강조색2 2 4 2" xfId="143" xr:uid="{00000000-0005-0000-0000-000087000000}"/>
    <cellStyle name="20% - 강조색2 2 4 3" xfId="144" xr:uid="{00000000-0005-0000-0000-000088000000}"/>
    <cellStyle name="20% - 강조색2 2 4 4" xfId="145" xr:uid="{00000000-0005-0000-0000-000089000000}"/>
    <cellStyle name="20% - 강조색2 2 4 5" xfId="146" xr:uid="{00000000-0005-0000-0000-00008A000000}"/>
    <cellStyle name="20% - 강조색2 2 4 6" xfId="147" xr:uid="{00000000-0005-0000-0000-00008B000000}"/>
    <cellStyle name="20% - 강조색2 2 5" xfId="148" xr:uid="{00000000-0005-0000-0000-00008C000000}"/>
    <cellStyle name="20% - 강조색2 2 5 2" xfId="149" xr:uid="{00000000-0005-0000-0000-00008D000000}"/>
    <cellStyle name="20% - 강조색2 2 5 3" xfId="150" xr:uid="{00000000-0005-0000-0000-00008E000000}"/>
    <cellStyle name="20% - 강조색2 2 5 4" xfId="151" xr:uid="{00000000-0005-0000-0000-00008F000000}"/>
    <cellStyle name="20% - 강조색2 2 5 5" xfId="152" xr:uid="{00000000-0005-0000-0000-000090000000}"/>
    <cellStyle name="20% - 강조색2 2 5 6" xfId="153" xr:uid="{00000000-0005-0000-0000-000091000000}"/>
    <cellStyle name="20% - 강조색2 2 6" xfId="154" xr:uid="{00000000-0005-0000-0000-000092000000}"/>
    <cellStyle name="20% - 강조색2 2 6 2" xfId="155" xr:uid="{00000000-0005-0000-0000-000093000000}"/>
    <cellStyle name="20% - 강조색2 2 6 3" xfId="156" xr:uid="{00000000-0005-0000-0000-000094000000}"/>
    <cellStyle name="20% - 강조색2 2 6 4" xfId="157" xr:uid="{00000000-0005-0000-0000-000095000000}"/>
    <cellStyle name="20% - 강조색2 2 6 5" xfId="158" xr:uid="{00000000-0005-0000-0000-000096000000}"/>
    <cellStyle name="20% - 강조색2 2 6 6" xfId="159" xr:uid="{00000000-0005-0000-0000-000097000000}"/>
    <cellStyle name="20% - 강조색2 2 7" xfId="160" xr:uid="{00000000-0005-0000-0000-000098000000}"/>
    <cellStyle name="20% - 강조색2 2 7 2" xfId="161" xr:uid="{00000000-0005-0000-0000-000099000000}"/>
    <cellStyle name="20% - 강조색2 2 7 3" xfId="162" xr:uid="{00000000-0005-0000-0000-00009A000000}"/>
    <cellStyle name="20% - 강조색2 2 7 4" xfId="163" xr:uid="{00000000-0005-0000-0000-00009B000000}"/>
    <cellStyle name="20% - 강조색2 2 7 5" xfId="164" xr:uid="{00000000-0005-0000-0000-00009C000000}"/>
    <cellStyle name="20% - 강조색2 2 7 6" xfId="165" xr:uid="{00000000-0005-0000-0000-00009D000000}"/>
    <cellStyle name="20% - 강조색2 2 8" xfId="166" xr:uid="{00000000-0005-0000-0000-00009E000000}"/>
    <cellStyle name="20% - 강조색2 2 8 2" xfId="167" xr:uid="{00000000-0005-0000-0000-00009F000000}"/>
    <cellStyle name="20% - 강조색2 2 8 3" xfId="168" xr:uid="{00000000-0005-0000-0000-0000A0000000}"/>
    <cellStyle name="20% - 강조색2 2 8 4" xfId="169" xr:uid="{00000000-0005-0000-0000-0000A1000000}"/>
    <cellStyle name="20% - 강조색2 2 8 5" xfId="170" xr:uid="{00000000-0005-0000-0000-0000A2000000}"/>
    <cellStyle name="20% - 강조색2 2 8 6" xfId="171" xr:uid="{00000000-0005-0000-0000-0000A3000000}"/>
    <cellStyle name="20% - 강조색2 2 9" xfId="172" xr:uid="{00000000-0005-0000-0000-0000A4000000}"/>
    <cellStyle name="20% - 강조색2 2 9 2" xfId="173" xr:uid="{00000000-0005-0000-0000-0000A5000000}"/>
    <cellStyle name="20% - 강조색2 2 9 3" xfId="174" xr:uid="{00000000-0005-0000-0000-0000A6000000}"/>
    <cellStyle name="20% - 강조색2 2 9 4" xfId="175" xr:uid="{00000000-0005-0000-0000-0000A7000000}"/>
    <cellStyle name="20% - 강조색2 2 9 5" xfId="176" xr:uid="{00000000-0005-0000-0000-0000A8000000}"/>
    <cellStyle name="20% - 강조색2 2 9 6" xfId="177" xr:uid="{00000000-0005-0000-0000-0000A9000000}"/>
    <cellStyle name="20% - 강조색3 2" xfId="178" xr:uid="{00000000-0005-0000-0000-0000AA000000}"/>
    <cellStyle name="20% - 강조색3 2 10" xfId="179" xr:uid="{00000000-0005-0000-0000-0000AB000000}"/>
    <cellStyle name="20% - 강조색3 2 10 2" xfId="180" xr:uid="{00000000-0005-0000-0000-0000AC000000}"/>
    <cellStyle name="20% - 강조색3 2 10 3" xfId="181" xr:uid="{00000000-0005-0000-0000-0000AD000000}"/>
    <cellStyle name="20% - 강조색3 2 10 4" xfId="182" xr:uid="{00000000-0005-0000-0000-0000AE000000}"/>
    <cellStyle name="20% - 강조색3 2 10 5" xfId="183" xr:uid="{00000000-0005-0000-0000-0000AF000000}"/>
    <cellStyle name="20% - 강조색3 2 10 6" xfId="184" xr:uid="{00000000-0005-0000-0000-0000B0000000}"/>
    <cellStyle name="20% - 강조색3 2 11" xfId="185" xr:uid="{00000000-0005-0000-0000-0000B1000000}"/>
    <cellStyle name="20% - 강조색3 2 11 2" xfId="186" xr:uid="{00000000-0005-0000-0000-0000B2000000}"/>
    <cellStyle name="20% - 강조색3 2 11 3" xfId="187" xr:uid="{00000000-0005-0000-0000-0000B3000000}"/>
    <cellStyle name="20% - 강조색3 2 11 4" xfId="188" xr:uid="{00000000-0005-0000-0000-0000B4000000}"/>
    <cellStyle name="20% - 강조색3 2 11 5" xfId="189" xr:uid="{00000000-0005-0000-0000-0000B5000000}"/>
    <cellStyle name="20% - 강조색3 2 11 6" xfId="190" xr:uid="{00000000-0005-0000-0000-0000B6000000}"/>
    <cellStyle name="20% - 강조색3 2 12" xfId="191" xr:uid="{00000000-0005-0000-0000-0000B7000000}"/>
    <cellStyle name="20% - 강조색3 2 12 2" xfId="192" xr:uid="{00000000-0005-0000-0000-0000B8000000}"/>
    <cellStyle name="20% - 강조색3 2 12 3" xfId="193" xr:uid="{00000000-0005-0000-0000-0000B9000000}"/>
    <cellStyle name="20% - 강조색3 2 12 4" xfId="194" xr:uid="{00000000-0005-0000-0000-0000BA000000}"/>
    <cellStyle name="20% - 강조색3 2 12 5" xfId="195" xr:uid="{00000000-0005-0000-0000-0000BB000000}"/>
    <cellStyle name="20% - 강조색3 2 12 6" xfId="196" xr:uid="{00000000-0005-0000-0000-0000BC000000}"/>
    <cellStyle name="20% - 강조색3 2 13" xfId="197" xr:uid="{00000000-0005-0000-0000-0000BD000000}"/>
    <cellStyle name="20% - 강조색3 2 13 2" xfId="198" xr:uid="{00000000-0005-0000-0000-0000BE000000}"/>
    <cellStyle name="20% - 강조색3 2 13 3" xfId="199" xr:uid="{00000000-0005-0000-0000-0000BF000000}"/>
    <cellStyle name="20% - 강조색3 2 13 4" xfId="200" xr:uid="{00000000-0005-0000-0000-0000C0000000}"/>
    <cellStyle name="20% - 강조색3 2 13 5" xfId="201" xr:uid="{00000000-0005-0000-0000-0000C1000000}"/>
    <cellStyle name="20% - 강조색3 2 13 6" xfId="202" xr:uid="{00000000-0005-0000-0000-0000C2000000}"/>
    <cellStyle name="20% - 강조색3 2 14" xfId="203" xr:uid="{00000000-0005-0000-0000-0000C3000000}"/>
    <cellStyle name="20% - 강조색3 2 14 2" xfId="204" xr:uid="{00000000-0005-0000-0000-0000C4000000}"/>
    <cellStyle name="20% - 강조색3 2 14 3" xfId="205" xr:uid="{00000000-0005-0000-0000-0000C5000000}"/>
    <cellStyle name="20% - 강조색3 2 14 4" xfId="206" xr:uid="{00000000-0005-0000-0000-0000C6000000}"/>
    <cellStyle name="20% - 강조색3 2 14 5" xfId="207" xr:uid="{00000000-0005-0000-0000-0000C7000000}"/>
    <cellStyle name="20% - 강조색3 2 14 6" xfId="208" xr:uid="{00000000-0005-0000-0000-0000C8000000}"/>
    <cellStyle name="20% - 강조색3 2 15" xfId="209" xr:uid="{00000000-0005-0000-0000-0000C9000000}"/>
    <cellStyle name="20% - 강조색3 2 16" xfId="210" xr:uid="{00000000-0005-0000-0000-0000CA000000}"/>
    <cellStyle name="20% - 강조색3 2 17" xfId="211" xr:uid="{00000000-0005-0000-0000-0000CB000000}"/>
    <cellStyle name="20% - 강조색3 2 18" xfId="212" xr:uid="{00000000-0005-0000-0000-0000CC000000}"/>
    <cellStyle name="20% - 강조색3 2 19" xfId="213" xr:uid="{00000000-0005-0000-0000-0000CD000000}"/>
    <cellStyle name="20% - 강조색3 2 2" xfId="214" xr:uid="{00000000-0005-0000-0000-0000CE000000}"/>
    <cellStyle name="20% - 강조색3 2 2 2" xfId="215" xr:uid="{00000000-0005-0000-0000-0000CF000000}"/>
    <cellStyle name="20% - 강조색3 2 2 3" xfId="216" xr:uid="{00000000-0005-0000-0000-0000D0000000}"/>
    <cellStyle name="20% - 강조색3 2 2 4" xfId="217" xr:uid="{00000000-0005-0000-0000-0000D1000000}"/>
    <cellStyle name="20% - 강조색3 2 2 5" xfId="218" xr:uid="{00000000-0005-0000-0000-0000D2000000}"/>
    <cellStyle name="20% - 강조색3 2 2 6" xfId="219" xr:uid="{00000000-0005-0000-0000-0000D3000000}"/>
    <cellStyle name="20% - 강조색3 2 3" xfId="220" xr:uid="{00000000-0005-0000-0000-0000D4000000}"/>
    <cellStyle name="20% - 강조색3 2 3 2" xfId="221" xr:uid="{00000000-0005-0000-0000-0000D5000000}"/>
    <cellStyle name="20% - 강조색3 2 3 3" xfId="222" xr:uid="{00000000-0005-0000-0000-0000D6000000}"/>
    <cellStyle name="20% - 강조색3 2 3 4" xfId="223" xr:uid="{00000000-0005-0000-0000-0000D7000000}"/>
    <cellStyle name="20% - 강조색3 2 3 5" xfId="224" xr:uid="{00000000-0005-0000-0000-0000D8000000}"/>
    <cellStyle name="20% - 강조색3 2 3 6" xfId="225" xr:uid="{00000000-0005-0000-0000-0000D9000000}"/>
    <cellStyle name="20% - 강조색3 2 4" xfId="226" xr:uid="{00000000-0005-0000-0000-0000DA000000}"/>
    <cellStyle name="20% - 강조색3 2 4 2" xfId="227" xr:uid="{00000000-0005-0000-0000-0000DB000000}"/>
    <cellStyle name="20% - 강조색3 2 4 3" xfId="228" xr:uid="{00000000-0005-0000-0000-0000DC000000}"/>
    <cellStyle name="20% - 강조색3 2 4 4" xfId="229" xr:uid="{00000000-0005-0000-0000-0000DD000000}"/>
    <cellStyle name="20% - 강조색3 2 4 5" xfId="230" xr:uid="{00000000-0005-0000-0000-0000DE000000}"/>
    <cellStyle name="20% - 강조색3 2 4 6" xfId="231" xr:uid="{00000000-0005-0000-0000-0000DF000000}"/>
    <cellStyle name="20% - 강조색3 2 5" xfId="232" xr:uid="{00000000-0005-0000-0000-0000E0000000}"/>
    <cellStyle name="20% - 강조색3 2 5 2" xfId="233" xr:uid="{00000000-0005-0000-0000-0000E1000000}"/>
    <cellStyle name="20% - 강조색3 2 5 3" xfId="234" xr:uid="{00000000-0005-0000-0000-0000E2000000}"/>
    <cellStyle name="20% - 강조색3 2 5 4" xfId="235" xr:uid="{00000000-0005-0000-0000-0000E3000000}"/>
    <cellStyle name="20% - 강조색3 2 5 5" xfId="236" xr:uid="{00000000-0005-0000-0000-0000E4000000}"/>
    <cellStyle name="20% - 강조색3 2 5 6" xfId="237" xr:uid="{00000000-0005-0000-0000-0000E5000000}"/>
    <cellStyle name="20% - 강조색3 2 6" xfId="238" xr:uid="{00000000-0005-0000-0000-0000E6000000}"/>
    <cellStyle name="20% - 강조색3 2 6 2" xfId="239" xr:uid="{00000000-0005-0000-0000-0000E7000000}"/>
    <cellStyle name="20% - 강조색3 2 6 3" xfId="240" xr:uid="{00000000-0005-0000-0000-0000E8000000}"/>
    <cellStyle name="20% - 강조색3 2 6 4" xfId="241" xr:uid="{00000000-0005-0000-0000-0000E9000000}"/>
    <cellStyle name="20% - 강조색3 2 6 5" xfId="242" xr:uid="{00000000-0005-0000-0000-0000EA000000}"/>
    <cellStyle name="20% - 강조색3 2 6 6" xfId="243" xr:uid="{00000000-0005-0000-0000-0000EB000000}"/>
    <cellStyle name="20% - 강조색3 2 7" xfId="244" xr:uid="{00000000-0005-0000-0000-0000EC000000}"/>
    <cellStyle name="20% - 강조색3 2 7 2" xfId="245" xr:uid="{00000000-0005-0000-0000-0000ED000000}"/>
    <cellStyle name="20% - 강조색3 2 7 3" xfId="246" xr:uid="{00000000-0005-0000-0000-0000EE000000}"/>
    <cellStyle name="20% - 강조색3 2 7 4" xfId="247" xr:uid="{00000000-0005-0000-0000-0000EF000000}"/>
    <cellStyle name="20% - 강조색3 2 7 5" xfId="248" xr:uid="{00000000-0005-0000-0000-0000F0000000}"/>
    <cellStyle name="20% - 강조색3 2 7 6" xfId="249" xr:uid="{00000000-0005-0000-0000-0000F1000000}"/>
    <cellStyle name="20% - 강조색3 2 8" xfId="250" xr:uid="{00000000-0005-0000-0000-0000F2000000}"/>
    <cellStyle name="20% - 강조색3 2 8 2" xfId="251" xr:uid="{00000000-0005-0000-0000-0000F3000000}"/>
    <cellStyle name="20% - 강조색3 2 8 3" xfId="252" xr:uid="{00000000-0005-0000-0000-0000F4000000}"/>
    <cellStyle name="20% - 강조색3 2 8 4" xfId="253" xr:uid="{00000000-0005-0000-0000-0000F5000000}"/>
    <cellStyle name="20% - 강조색3 2 8 5" xfId="254" xr:uid="{00000000-0005-0000-0000-0000F6000000}"/>
    <cellStyle name="20% - 강조색3 2 8 6" xfId="255" xr:uid="{00000000-0005-0000-0000-0000F7000000}"/>
    <cellStyle name="20% - 강조색3 2 9" xfId="256" xr:uid="{00000000-0005-0000-0000-0000F8000000}"/>
    <cellStyle name="20% - 강조색3 2 9 2" xfId="257" xr:uid="{00000000-0005-0000-0000-0000F9000000}"/>
    <cellStyle name="20% - 강조색3 2 9 3" xfId="258" xr:uid="{00000000-0005-0000-0000-0000FA000000}"/>
    <cellStyle name="20% - 강조색3 2 9 4" xfId="259" xr:uid="{00000000-0005-0000-0000-0000FB000000}"/>
    <cellStyle name="20% - 강조색3 2 9 5" xfId="260" xr:uid="{00000000-0005-0000-0000-0000FC000000}"/>
    <cellStyle name="20% - 강조색3 2 9 6" xfId="261" xr:uid="{00000000-0005-0000-0000-0000FD000000}"/>
    <cellStyle name="20% - 강조색4 2" xfId="262" xr:uid="{00000000-0005-0000-0000-0000FE000000}"/>
    <cellStyle name="20% - 강조색4 2 10" xfId="263" xr:uid="{00000000-0005-0000-0000-0000FF000000}"/>
    <cellStyle name="20% - 강조색4 2 10 2" xfId="264" xr:uid="{00000000-0005-0000-0000-000000010000}"/>
    <cellStyle name="20% - 강조색4 2 10 3" xfId="265" xr:uid="{00000000-0005-0000-0000-000001010000}"/>
    <cellStyle name="20% - 강조색4 2 10 4" xfId="266" xr:uid="{00000000-0005-0000-0000-000002010000}"/>
    <cellStyle name="20% - 강조색4 2 10 5" xfId="267" xr:uid="{00000000-0005-0000-0000-000003010000}"/>
    <cellStyle name="20% - 강조색4 2 10 6" xfId="268" xr:uid="{00000000-0005-0000-0000-000004010000}"/>
    <cellStyle name="20% - 강조색4 2 11" xfId="269" xr:uid="{00000000-0005-0000-0000-000005010000}"/>
    <cellStyle name="20% - 강조색4 2 11 2" xfId="270" xr:uid="{00000000-0005-0000-0000-000006010000}"/>
    <cellStyle name="20% - 강조색4 2 11 3" xfId="271" xr:uid="{00000000-0005-0000-0000-000007010000}"/>
    <cellStyle name="20% - 강조색4 2 11 4" xfId="272" xr:uid="{00000000-0005-0000-0000-000008010000}"/>
    <cellStyle name="20% - 강조색4 2 11 5" xfId="273" xr:uid="{00000000-0005-0000-0000-000009010000}"/>
    <cellStyle name="20% - 강조색4 2 11 6" xfId="274" xr:uid="{00000000-0005-0000-0000-00000A010000}"/>
    <cellStyle name="20% - 강조색4 2 12" xfId="275" xr:uid="{00000000-0005-0000-0000-00000B010000}"/>
    <cellStyle name="20% - 강조색4 2 12 2" xfId="276" xr:uid="{00000000-0005-0000-0000-00000C010000}"/>
    <cellStyle name="20% - 강조색4 2 12 3" xfId="277" xr:uid="{00000000-0005-0000-0000-00000D010000}"/>
    <cellStyle name="20% - 강조색4 2 12 4" xfId="278" xr:uid="{00000000-0005-0000-0000-00000E010000}"/>
    <cellStyle name="20% - 강조색4 2 12 5" xfId="279" xr:uid="{00000000-0005-0000-0000-00000F010000}"/>
    <cellStyle name="20% - 강조색4 2 12 6" xfId="280" xr:uid="{00000000-0005-0000-0000-000010010000}"/>
    <cellStyle name="20% - 강조색4 2 13" xfId="281" xr:uid="{00000000-0005-0000-0000-000011010000}"/>
    <cellStyle name="20% - 강조색4 2 13 2" xfId="282" xr:uid="{00000000-0005-0000-0000-000012010000}"/>
    <cellStyle name="20% - 강조색4 2 13 3" xfId="283" xr:uid="{00000000-0005-0000-0000-000013010000}"/>
    <cellStyle name="20% - 강조색4 2 13 4" xfId="284" xr:uid="{00000000-0005-0000-0000-000014010000}"/>
    <cellStyle name="20% - 강조색4 2 13 5" xfId="285" xr:uid="{00000000-0005-0000-0000-000015010000}"/>
    <cellStyle name="20% - 강조색4 2 13 6" xfId="286" xr:uid="{00000000-0005-0000-0000-000016010000}"/>
    <cellStyle name="20% - 강조색4 2 14" xfId="287" xr:uid="{00000000-0005-0000-0000-000017010000}"/>
    <cellStyle name="20% - 강조색4 2 14 2" xfId="288" xr:uid="{00000000-0005-0000-0000-000018010000}"/>
    <cellStyle name="20% - 강조색4 2 14 3" xfId="289" xr:uid="{00000000-0005-0000-0000-000019010000}"/>
    <cellStyle name="20% - 강조색4 2 14 4" xfId="290" xr:uid="{00000000-0005-0000-0000-00001A010000}"/>
    <cellStyle name="20% - 강조색4 2 14 5" xfId="291" xr:uid="{00000000-0005-0000-0000-00001B010000}"/>
    <cellStyle name="20% - 강조색4 2 14 6" xfId="292" xr:uid="{00000000-0005-0000-0000-00001C010000}"/>
    <cellStyle name="20% - 강조색4 2 15" xfId="293" xr:uid="{00000000-0005-0000-0000-00001D010000}"/>
    <cellStyle name="20% - 강조색4 2 16" xfId="294" xr:uid="{00000000-0005-0000-0000-00001E010000}"/>
    <cellStyle name="20% - 강조색4 2 17" xfId="295" xr:uid="{00000000-0005-0000-0000-00001F010000}"/>
    <cellStyle name="20% - 강조색4 2 18" xfId="296" xr:uid="{00000000-0005-0000-0000-000020010000}"/>
    <cellStyle name="20% - 강조색4 2 19" xfId="297" xr:uid="{00000000-0005-0000-0000-000021010000}"/>
    <cellStyle name="20% - 강조색4 2 2" xfId="298" xr:uid="{00000000-0005-0000-0000-000022010000}"/>
    <cellStyle name="20% - 강조색4 2 2 2" xfId="299" xr:uid="{00000000-0005-0000-0000-000023010000}"/>
    <cellStyle name="20% - 강조색4 2 2 3" xfId="300" xr:uid="{00000000-0005-0000-0000-000024010000}"/>
    <cellStyle name="20% - 강조색4 2 2 4" xfId="301" xr:uid="{00000000-0005-0000-0000-000025010000}"/>
    <cellStyle name="20% - 강조색4 2 2 5" xfId="302" xr:uid="{00000000-0005-0000-0000-000026010000}"/>
    <cellStyle name="20% - 강조색4 2 2 6" xfId="303" xr:uid="{00000000-0005-0000-0000-000027010000}"/>
    <cellStyle name="20% - 강조색4 2 3" xfId="304" xr:uid="{00000000-0005-0000-0000-000028010000}"/>
    <cellStyle name="20% - 강조색4 2 3 2" xfId="305" xr:uid="{00000000-0005-0000-0000-000029010000}"/>
    <cellStyle name="20% - 강조색4 2 3 3" xfId="306" xr:uid="{00000000-0005-0000-0000-00002A010000}"/>
    <cellStyle name="20% - 강조색4 2 3 4" xfId="307" xr:uid="{00000000-0005-0000-0000-00002B010000}"/>
    <cellStyle name="20% - 강조색4 2 3 5" xfId="308" xr:uid="{00000000-0005-0000-0000-00002C010000}"/>
    <cellStyle name="20% - 강조색4 2 3 6" xfId="309" xr:uid="{00000000-0005-0000-0000-00002D010000}"/>
    <cellStyle name="20% - 강조색4 2 4" xfId="310" xr:uid="{00000000-0005-0000-0000-00002E010000}"/>
    <cellStyle name="20% - 강조색4 2 4 2" xfId="311" xr:uid="{00000000-0005-0000-0000-00002F010000}"/>
    <cellStyle name="20% - 강조색4 2 4 3" xfId="312" xr:uid="{00000000-0005-0000-0000-000030010000}"/>
    <cellStyle name="20% - 강조색4 2 4 4" xfId="313" xr:uid="{00000000-0005-0000-0000-000031010000}"/>
    <cellStyle name="20% - 강조색4 2 4 5" xfId="314" xr:uid="{00000000-0005-0000-0000-000032010000}"/>
    <cellStyle name="20% - 강조색4 2 4 6" xfId="315" xr:uid="{00000000-0005-0000-0000-000033010000}"/>
    <cellStyle name="20% - 강조색4 2 5" xfId="316" xr:uid="{00000000-0005-0000-0000-000034010000}"/>
    <cellStyle name="20% - 강조색4 2 5 2" xfId="317" xr:uid="{00000000-0005-0000-0000-000035010000}"/>
    <cellStyle name="20% - 강조색4 2 5 3" xfId="318" xr:uid="{00000000-0005-0000-0000-000036010000}"/>
    <cellStyle name="20% - 강조색4 2 5 4" xfId="319" xr:uid="{00000000-0005-0000-0000-000037010000}"/>
    <cellStyle name="20% - 강조색4 2 5 5" xfId="320" xr:uid="{00000000-0005-0000-0000-000038010000}"/>
    <cellStyle name="20% - 강조색4 2 5 6" xfId="321" xr:uid="{00000000-0005-0000-0000-000039010000}"/>
    <cellStyle name="20% - 강조색4 2 6" xfId="322" xr:uid="{00000000-0005-0000-0000-00003A010000}"/>
    <cellStyle name="20% - 강조색4 2 6 2" xfId="323" xr:uid="{00000000-0005-0000-0000-00003B010000}"/>
    <cellStyle name="20% - 강조색4 2 6 3" xfId="324" xr:uid="{00000000-0005-0000-0000-00003C010000}"/>
    <cellStyle name="20% - 강조색4 2 6 4" xfId="325" xr:uid="{00000000-0005-0000-0000-00003D010000}"/>
    <cellStyle name="20% - 강조색4 2 6 5" xfId="326" xr:uid="{00000000-0005-0000-0000-00003E010000}"/>
    <cellStyle name="20% - 강조색4 2 6 6" xfId="327" xr:uid="{00000000-0005-0000-0000-00003F010000}"/>
    <cellStyle name="20% - 강조색4 2 7" xfId="328" xr:uid="{00000000-0005-0000-0000-000040010000}"/>
    <cellStyle name="20% - 강조색4 2 7 2" xfId="329" xr:uid="{00000000-0005-0000-0000-000041010000}"/>
    <cellStyle name="20% - 강조색4 2 7 3" xfId="330" xr:uid="{00000000-0005-0000-0000-000042010000}"/>
    <cellStyle name="20% - 강조색4 2 7 4" xfId="331" xr:uid="{00000000-0005-0000-0000-000043010000}"/>
    <cellStyle name="20% - 강조색4 2 7 5" xfId="332" xr:uid="{00000000-0005-0000-0000-000044010000}"/>
    <cellStyle name="20% - 강조색4 2 7 6" xfId="333" xr:uid="{00000000-0005-0000-0000-000045010000}"/>
    <cellStyle name="20% - 강조색4 2 8" xfId="334" xr:uid="{00000000-0005-0000-0000-000046010000}"/>
    <cellStyle name="20% - 강조색4 2 8 2" xfId="335" xr:uid="{00000000-0005-0000-0000-000047010000}"/>
    <cellStyle name="20% - 강조색4 2 8 3" xfId="336" xr:uid="{00000000-0005-0000-0000-000048010000}"/>
    <cellStyle name="20% - 강조색4 2 8 4" xfId="337" xr:uid="{00000000-0005-0000-0000-000049010000}"/>
    <cellStyle name="20% - 강조색4 2 8 5" xfId="338" xr:uid="{00000000-0005-0000-0000-00004A010000}"/>
    <cellStyle name="20% - 강조색4 2 8 6" xfId="339" xr:uid="{00000000-0005-0000-0000-00004B010000}"/>
    <cellStyle name="20% - 강조색4 2 9" xfId="340" xr:uid="{00000000-0005-0000-0000-00004C010000}"/>
    <cellStyle name="20% - 강조색4 2 9 2" xfId="341" xr:uid="{00000000-0005-0000-0000-00004D010000}"/>
    <cellStyle name="20% - 강조색4 2 9 3" xfId="342" xr:uid="{00000000-0005-0000-0000-00004E010000}"/>
    <cellStyle name="20% - 강조색4 2 9 4" xfId="343" xr:uid="{00000000-0005-0000-0000-00004F010000}"/>
    <cellStyle name="20% - 강조색4 2 9 5" xfId="344" xr:uid="{00000000-0005-0000-0000-000050010000}"/>
    <cellStyle name="20% - 강조색4 2 9 6" xfId="345" xr:uid="{00000000-0005-0000-0000-000051010000}"/>
    <cellStyle name="20% - 강조색5 2" xfId="346" xr:uid="{00000000-0005-0000-0000-000052010000}"/>
    <cellStyle name="20% - 강조색5 2 10" xfId="347" xr:uid="{00000000-0005-0000-0000-000053010000}"/>
    <cellStyle name="20% - 강조색5 2 10 2" xfId="348" xr:uid="{00000000-0005-0000-0000-000054010000}"/>
    <cellStyle name="20% - 강조색5 2 10 3" xfId="349" xr:uid="{00000000-0005-0000-0000-000055010000}"/>
    <cellStyle name="20% - 강조색5 2 10 4" xfId="350" xr:uid="{00000000-0005-0000-0000-000056010000}"/>
    <cellStyle name="20% - 강조색5 2 10 5" xfId="351" xr:uid="{00000000-0005-0000-0000-000057010000}"/>
    <cellStyle name="20% - 강조색5 2 10 6" xfId="352" xr:uid="{00000000-0005-0000-0000-000058010000}"/>
    <cellStyle name="20% - 강조색5 2 11" xfId="353" xr:uid="{00000000-0005-0000-0000-000059010000}"/>
    <cellStyle name="20% - 강조색5 2 11 2" xfId="354" xr:uid="{00000000-0005-0000-0000-00005A010000}"/>
    <cellStyle name="20% - 강조색5 2 11 3" xfId="355" xr:uid="{00000000-0005-0000-0000-00005B010000}"/>
    <cellStyle name="20% - 강조색5 2 11 4" xfId="356" xr:uid="{00000000-0005-0000-0000-00005C010000}"/>
    <cellStyle name="20% - 강조색5 2 11 5" xfId="357" xr:uid="{00000000-0005-0000-0000-00005D010000}"/>
    <cellStyle name="20% - 강조색5 2 11 6" xfId="358" xr:uid="{00000000-0005-0000-0000-00005E010000}"/>
    <cellStyle name="20% - 강조색5 2 12" xfId="359" xr:uid="{00000000-0005-0000-0000-00005F010000}"/>
    <cellStyle name="20% - 강조색5 2 12 2" xfId="360" xr:uid="{00000000-0005-0000-0000-000060010000}"/>
    <cellStyle name="20% - 강조색5 2 12 3" xfId="361" xr:uid="{00000000-0005-0000-0000-000061010000}"/>
    <cellStyle name="20% - 강조색5 2 12 4" xfId="362" xr:uid="{00000000-0005-0000-0000-000062010000}"/>
    <cellStyle name="20% - 강조색5 2 12 5" xfId="363" xr:uid="{00000000-0005-0000-0000-000063010000}"/>
    <cellStyle name="20% - 강조색5 2 12 6" xfId="364" xr:uid="{00000000-0005-0000-0000-000064010000}"/>
    <cellStyle name="20% - 강조색5 2 13" xfId="365" xr:uid="{00000000-0005-0000-0000-000065010000}"/>
    <cellStyle name="20% - 강조색5 2 13 2" xfId="366" xr:uid="{00000000-0005-0000-0000-000066010000}"/>
    <cellStyle name="20% - 강조색5 2 13 3" xfId="367" xr:uid="{00000000-0005-0000-0000-000067010000}"/>
    <cellStyle name="20% - 강조색5 2 13 4" xfId="368" xr:uid="{00000000-0005-0000-0000-000068010000}"/>
    <cellStyle name="20% - 강조색5 2 13 5" xfId="369" xr:uid="{00000000-0005-0000-0000-000069010000}"/>
    <cellStyle name="20% - 강조색5 2 13 6" xfId="370" xr:uid="{00000000-0005-0000-0000-00006A010000}"/>
    <cellStyle name="20% - 강조색5 2 14" xfId="371" xr:uid="{00000000-0005-0000-0000-00006B010000}"/>
    <cellStyle name="20% - 강조색5 2 14 2" xfId="372" xr:uid="{00000000-0005-0000-0000-00006C010000}"/>
    <cellStyle name="20% - 강조색5 2 14 3" xfId="373" xr:uid="{00000000-0005-0000-0000-00006D010000}"/>
    <cellStyle name="20% - 강조색5 2 14 4" xfId="374" xr:uid="{00000000-0005-0000-0000-00006E010000}"/>
    <cellStyle name="20% - 강조색5 2 14 5" xfId="375" xr:uid="{00000000-0005-0000-0000-00006F010000}"/>
    <cellStyle name="20% - 강조색5 2 14 6" xfId="376" xr:uid="{00000000-0005-0000-0000-000070010000}"/>
    <cellStyle name="20% - 강조색5 2 15" xfId="377" xr:uid="{00000000-0005-0000-0000-000071010000}"/>
    <cellStyle name="20% - 강조색5 2 16" xfId="378" xr:uid="{00000000-0005-0000-0000-000072010000}"/>
    <cellStyle name="20% - 강조색5 2 17" xfId="379" xr:uid="{00000000-0005-0000-0000-000073010000}"/>
    <cellStyle name="20% - 강조색5 2 18" xfId="380" xr:uid="{00000000-0005-0000-0000-000074010000}"/>
    <cellStyle name="20% - 강조색5 2 19" xfId="381" xr:uid="{00000000-0005-0000-0000-000075010000}"/>
    <cellStyle name="20% - 강조색5 2 2" xfId="382" xr:uid="{00000000-0005-0000-0000-000076010000}"/>
    <cellStyle name="20% - 강조색5 2 2 2" xfId="383" xr:uid="{00000000-0005-0000-0000-000077010000}"/>
    <cellStyle name="20% - 강조색5 2 2 3" xfId="384" xr:uid="{00000000-0005-0000-0000-000078010000}"/>
    <cellStyle name="20% - 강조색5 2 2 4" xfId="385" xr:uid="{00000000-0005-0000-0000-000079010000}"/>
    <cellStyle name="20% - 강조색5 2 2 5" xfId="386" xr:uid="{00000000-0005-0000-0000-00007A010000}"/>
    <cellStyle name="20% - 강조색5 2 2 6" xfId="387" xr:uid="{00000000-0005-0000-0000-00007B010000}"/>
    <cellStyle name="20% - 강조색5 2 3" xfId="388" xr:uid="{00000000-0005-0000-0000-00007C010000}"/>
    <cellStyle name="20% - 강조색5 2 3 2" xfId="389" xr:uid="{00000000-0005-0000-0000-00007D010000}"/>
    <cellStyle name="20% - 강조색5 2 3 3" xfId="390" xr:uid="{00000000-0005-0000-0000-00007E010000}"/>
    <cellStyle name="20% - 강조색5 2 3 4" xfId="391" xr:uid="{00000000-0005-0000-0000-00007F010000}"/>
    <cellStyle name="20% - 강조색5 2 3 5" xfId="392" xr:uid="{00000000-0005-0000-0000-000080010000}"/>
    <cellStyle name="20% - 강조색5 2 3 6" xfId="393" xr:uid="{00000000-0005-0000-0000-000081010000}"/>
    <cellStyle name="20% - 강조색5 2 4" xfId="394" xr:uid="{00000000-0005-0000-0000-000082010000}"/>
    <cellStyle name="20% - 강조색5 2 4 2" xfId="395" xr:uid="{00000000-0005-0000-0000-000083010000}"/>
    <cellStyle name="20% - 강조색5 2 4 3" xfId="396" xr:uid="{00000000-0005-0000-0000-000084010000}"/>
    <cellStyle name="20% - 강조색5 2 4 4" xfId="397" xr:uid="{00000000-0005-0000-0000-000085010000}"/>
    <cellStyle name="20% - 강조색5 2 4 5" xfId="398" xr:uid="{00000000-0005-0000-0000-000086010000}"/>
    <cellStyle name="20% - 강조색5 2 4 6" xfId="399" xr:uid="{00000000-0005-0000-0000-000087010000}"/>
    <cellStyle name="20% - 강조색5 2 5" xfId="400" xr:uid="{00000000-0005-0000-0000-000088010000}"/>
    <cellStyle name="20% - 강조색5 2 5 2" xfId="401" xr:uid="{00000000-0005-0000-0000-000089010000}"/>
    <cellStyle name="20% - 강조색5 2 5 3" xfId="402" xr:uid="{00000000-0005-0000-0000-00008A010000}"/>
    <cellStyle name="20% - 강조색5 2 5 4" xfId="403" xr:uid="{00000000-0005-0000-0000-00008B010000}"/>
    <cellStyle name="20% - 강조색5 2 5 5" xfId="404" xr:uid="{00000000-0005-0000-0000-00008C010000}"/>
    <cellStyle name="20% - 강조색5 2 5 6" xfId="405" xr:uid="{00000000-0005-0000-0000-00008D010000}"/>
    <cellStyle name="20% - 강조색5 2 6" xfId="406" xr:uid="{00000000-0005-0000-0000-00008E010000}"/>
    <cellStyle name="20% - 강조색5 2 6 2" xfId="407" xr:uid="{00000000-0005-0000-0000-00008F010000}"/>
    <cellStyle name="20% - 강조색5 2 6 3" xfId="408" xr:uid="{00000000-0005-0000-0000-000090010000}"/>
    <cellStyle name="20% - 강조색5 2 6 4" xfId="409" xr:uid="{00000000-0005-0000-0000-000091010000}"/>
    <cellStyle name="20% - 강조색5 2 6 5" xfId="410" xr:uid="{00000000-0005-0000-0000-000092010000}"/>
    <cellStyle name="20% - 강조색5 2 6 6" xfId="411" xr:uid="{00000000-0005-0000-0000-000093010000}"/>
    <cellStyle name="20% - 강조색5 2 7" xfId="412" xr:uid="{00000000-0005-0000-0000-000094010000}"/>
    <cellStyle name="20% - 강조색5 2 7 2" xfId="413" xr:uid="{00000000-0005-0000-0000-000095010000}"/>
    <cellStyle name="20% - 강조색5 2 7 3" xfId="414" xr:uid="{00000000-0005-0000-0000-000096010000}"/>
    <cellStyle name="20% - 강조색5 2 7 4" xfId="415" xr:uid="{00000000-0005-0000-0000-000097010000}"/>
    <cellStyle name="20% - 강조색5 2 7 5" xfId="416" xr:uid="{00000000-0005-0000-0000-000098010000}"/>
    <cellStyle name="20% - 강조색5 2 7 6" xfId="417" xr:uid="{00000000-0005-0000-0000-000099010000}"/>
    <cellStyle name="20% - 강조색5 2 8" xfId="418" xr:uid="{00000000-0005-0000-0000-00009A010000}"/>
    <cellStyle name="20% - 강조색5 2 8 2" xfId="419" xr:uid="{00000000-0005-0000-0000-00009B010000}"/>
    <cellStyle name="20% - 강조색5 2 8 3" xfId="420" xr:uid="{00000000-0005-0000-0000-00009C010000}"/>
    <cellStyle name="20% - 강조색5 2 8 4" xfId="421" xr:uid="{00000000-0005-0000-0000-00009D010000}"/>
    <cellStyle name="20% - 강조색5 2 8 5" xfId="422" xr:uid="{00000000-0005-0000-0000-00009E010000}"/>
    <cellStyle name="20% - 강조색5 2 8 6" xfId="423" xr:uid="{00000000-0005-0000-0000-00009F010000}"/>
    <cellStyle name="20% - 강조색5 2 9" xfId="424" xr:uid="{00000000-0005-0000-0000-0000A0010000}"/>
    <cellStyle name="20% - 강조색5 2 9 2" xfId="425" xr:uid="{00000000-0005-0000-0000-0000A1010000}"/>
    <cellStyle name="20% - 강조색5 2 9 3" xfId="426" xr:uid="{00000000-0005-0000-0000-0000A2010000}"/>
    <cellStyle name="20% - 강조색5 2 9 4" xfId="427" xr:uid="{00000000-0005-0000-0000-0000A3010000}"/>
    <cellStyle name="20% - 강조색5 2 9 5" xfId="428" xr:uid="{00000000-0005-0000-0000-0000A4010000}"/>
    <cellStyle name="20% - 강조색5 2 9 6" xfId="429" xr:uid="{00000000-0005-0000-0000-0000A5010000}"/>
    <cellStyle name="20% - 강조색6 2" xfId="430" xr:uid="{00000000-0005-0000-0000-0000A6010000}"/>
    <cellStyle name="20% - 강조색6 2 10" xfId="431" xr:uid="{00000000-0005-0000-0000-0000A7010000}"/>
    <cellStyle name="20% - 강조색6 2 10 2" xfId="432" xr:uid="{00000000-0005-0000-0000-0000A8010000}"/>
    <cellStyle name="20% - 강조색6 2 10 3" xfId="433" xr:uid="{00000000-0005-0000-0000-0000A9010000}"/>
    <cellStyle name="20% - 강조색6 2 10 4" xfId="434" xr:uid="{00000000-0005-0000-0000-0000AA010000}"/>
    <cellStyle name="20% - 강조색6 2 10 5" xfId="435" xr:uid="{00000000-0005-0000-0000-0000AB010000}"/>
    <cellStyle name="20% - 강조색6 2 10 6" xfId="436" xr:uid="{00000000-0005-0000-0000-0000AC010000}"/>
    <cellStyle name="20% - 강조색6 2 11" xfId="437" xr:uid="{00000000-0005-0000-0000-0000AD010000}"/>
    <cellStyle name="20% - 강조색6 2 11 2" xfId="438" xr:uid="{00000000-0005-0000-0000-0000AE010000}"/>
    <cellStyle name="20% - 강조색6 2 11 3" xfId="439" xr:uid="{00000000-0005-0000-0000-0000AF010000}"/>
    <cellStyle name="20% - 강조색6 2 11 4" xfId="440" xr:uid="{00000000-0005-0000-0000-0000B0010000}"/>
    <cellStyle name="20% - 강조색6 2 11 5" xfId="441" xr:uid="{00000000-0005-0000-0000-0000B1010000}"/>
    <cellStyle name="20% - 강조색6 2 11 6" xfId="442" xr:uid="{00000000-0005-0000-0000-0000B2010000}"/>
    <cellStyle name="20% - 강조색6 2 12" xfId="443" xr:uid="{00000000-0005-0000-0000-0000B3010000}"/>
    <cellStyle name="20% - 강조색6 2 12 2" xfId="444" xr:uid="{00000000-0005-0000-0000-0000B4010000}"/>
    <cellStyle name="20% - 강조색6 2 12 3" xfId="445" xr:uid="{00000000-0005-0000-0000-0000B5010000}"/>
    <cellStyle name="20% - 강조색6 2 12 4" xfId="446" xr:uid="{00000000-0005-0000-0000-0000B6010000}"/>
    <cellStyle name="20% - 강조색6 2 12 5" xfId="447" xr:uid="{00000000-0005-0000-0000-0000B7010000}"/>
    <cellStyle name="20% - 강조색6 2 12 6" xfId="448" xr:uid="{00000000-0005-0000-0000-0000B8010000}"/>
    <cellStyle name="20% - 강조색6 2 13" xfId="449" xr:uid="{00000000-0005-0000-0000-0000B9010000}"/>
    <cellStyle name="20% - 강조색6 2 13 2" xfId="450" xr:uid="{00000000-0005-0000-0000-0000BA010000}"/>
    <cellStyle name="20% - 강조색6 2 13 3" xfId="451" xr:uid="{00000000-0005-0000-0000-0000BB010000}"/>
    <cellStyle name="20% - 강조색6 2 13 4" xfId="452" xr:uid="{00000000-0005-0000-0000-0000BC010000}"/>
    <cellStyle name="20% - 강조색6 2 13 5" xfId="453" xr:uid="{00000000-0005-0000-0000-0000BD010000}"/>
    <cellStyle name="20% - 강조색6 2 13 6" xfId="454" xr:uid="{00000000-0005-0000-0000-0000BE010000}"/>
    <cellStyle name="20% - 강조색6 2 14" xfId="455" xr:uid="{00000000-0005-0000-0000-0000BF010000}"/>
    <cellStyle name="20% - 강조색6 2 14 2" xfId="456" xr:uid="{00000000-0005-0000-0000-0000C0010000}"/>
    <cellStyle name="20% - 강조색6 2 14 3" xfId="457" xr:uid="{00000000-0005-0000-0000-0000C1010000}"/>
    <cellStyle name="20% - 강조색6 2 14 4" xfId="458" xr:uid="{00000000-0005-0000-0000-0000C2010000}"/>
    <cellStyle name="20% - 강조색6 2 14 5" xfId="459" xr:uid="{00000000-0005-0000-0000-0000C3010000}"/>
    <cellStyle name="20% - 강조색6 2 14 6" xfId="460" xr:uid="{00000000-0005-0000-0000-0000C4010000}"/>
    <cellStyle name="20% - 강조색6 2 15" xfId="461" xr:uid="{00000000-0005-0000-0000-0000C5010000}"/>
    <cellStyle name="20% - 강조색6 2 16" xfId="462" xr:uid="{00000000-0005-0000-0000-0000C6010000}"/>
    <cellStyle name="20% - 강조색6 2 17" xfId="463" xr:uid="{00000000-0005-0000-0000-0000C7010000}"/>
    <cellStyle name="20% - 강조색6 2 18" xfId="464" xr:uid="{00000000-0005-0000-0000-0000C8010000}"/>
    <cellStyle name="20% - 강조색6 2 19" xfId="465" xr:uid="{00000000-0005-0000-0000-0000C9010000}"/>
    <cellStyle name="20% - 강조색6 2 2" xfId="466" xr:uid="{00000000-0005-0000-0000-0000CA010000}"/>
    <cellStyle name="20% - 강조색6 2 2 2" xfId="467" xr:uid="{00000000-0005-0000-0000-0000CB010000}"/>
    <cellStyle name="20% - 강조색6 2 2 3" xfId="468" xr:uid="{00000000-0005-0000-0000-0000CC010000}"/>
    <cellStyle name="20% - 강조색6 2 2 4" xfId="469" xr:uid="{00000000-0005-0000-0000-0000CD010000}"/>
    <cellStyle name="20% - 강조색6 2 2 5" xfId="470" xr:uid="{00000000-0005-0000-0000-0000CE010000}"/>
    <cellStyle name="20% - 강조색6 2 2 6" xfId="471" xr:uid="{00000000-0005-0000-0000-0000CF010000}"/>
    <cellStyle name="20% - 강조색6 2 3" xfId="472" xr:uid="{00000000-0005-0000-0000-0000D0010000}"/>
    <cellStyle name="20% - 강조색6 2 3 2" xfId="473" xr:uid="{00000000-0005-0000-0000-0000D1010000}"/>
    <cellStyle name="20% - 강조색6 2 3 3" xfId="474" xr:uid="{00000000-0005-0000-0000-0000D2010000}"/>
    <cellStyle name="20% - 강조색6 2 3 4" xfId="475" xr:uid="{00000000-0005-0000-0000-0000D3010000}"/>
    <cellStyle name="20% - 강조색6 2 3 5" xfId="476" xr:uid="{00000000-0005-0000-0000-0000D4010000}"/>
    <cellStyle name="20% - 강조색6 2 3 6" xfId="477" xr:uid="{00000000-0005-0000-0000-0000D5010000}"/>
    <cellStyle name="20% - 강조색6 2 4" xfId="478" xr:uid="{00000000-0005-0000-0000-0000D6010000}"/>
    <cellStyle name="20% - 강조색6 2 4 2" xfId="479" xr:uid="{00000000-0005-0000-0000-0000D7010000}"/>
    <cellStyle name="20% - 강조색6 2 4 3" xfId="480" xr:uid="{00000000-0005-0000-0000-0000D8010000}"/>
    <cellStyle name="20% - 강조색6 2 4 4" xfId="481" xr:uid="{00000000-0005-0000-0000-0000D9010000}"/>
    <cellStyle name="20% - 강조색6 2 4 5" xfId="482" xr:uid="{00000000-0005-0000-0000-0000DA010000}"/>
    <cellStyle name="20% - 강조색6 2 4 6" xfId="483" xr:uid="{00000000-0005-0000-0000-0000DB010000}"/>
    <cellStyle name="20% - 강조색6 2 5" xfId="484" xr:uid="{00000000-0005-0000-0000-0000DC010000}"/>
    <cellStyle name="20% - 강조색6 2 5 2" xfId="485" xr:uid="{00000000-0005-0000-0000-0000DD010000}"/>
    <cellStyle name="20% - 강조색6 2 5 3" xfId="486" xr:uid="{00000000-0005-0000-0000-0000DE010000}"/>
    <cellStyle name="20% - 강조색6 2 5 4" xfId="487" xr:uid="{00000000-0005-0000-0000-0000DF010000}"/>
    <cellStyle name="20% - 강조색6 2 5 5" xfId="488" xr:uid="{00000000-0005-0000-0000-0000E0010000}"/>
    <cellStyle name="20% - 강조색6 2 5 6" xfId="489" xr:uid="{00000000-0005-0000-0000-0000E1010000}"/>
    <cellStyle name="20% - 강조색6 2 6" xfId="490" xr:uid="{00000000-0005-0000-0000-0000E2010000}"/>
    <cellStyle name="20% - 강조색6 2 6 2" xfId="491" xr:uid="{00000000-0005-0000-0000-0000E3010000}"/>
    <cellStyle name="20% - 강조색6 2 6 3" xfId="492" xr:uid="{00000000-0005-0000-0000-0000E4010000}"/>
    <cellStyle name="20% - 강조색6 2 6 4" xfId="493" xr:uid="{00000000-0005-0000-0000-0000E5010000}"/>
    <cellStyle name="20% - 강조색6 2 6 5" xfId="494" xr:uid="{00000000-0005-0000-0000-0000E6010000}"/>
    <cellStyle name="20% - 강조색6 2 6 6" xfId="495" xr:uid="{00000000-0005-0000-0000-0000E7010000}"/>
    <cellStyle name="20% - 강조색6 2 7" xfId="496" xr:uid="{00000000-0005-0000-0000-0000E8010000}"/>
    <cellStyle name="20% - 강조색6 2 7 2" xfId="497" xr:uid="{00000000-0005-0000-0000-0000E9010000}"/>
    <cellStyle name="20% - 강조색6 2 7 3" xfId="498" xr:uid="{00000000-0005-0000-0000-0000EA010000}"/>
    <cellStyle name="20% - 강조색6 2 7 4" xfId="499" xr:uid="{00000000-0005-0000-0000-0000EB010000}"/>
    <cellStyle name="20% - 강조색6 2 7 5" xfId="500" xr:uid="{00000000-0005-0000-0000-0000EC010000}"/>
    <cellStyle name="20% - 강조색6 2 7 6" xfId="501" xr:uid="{00000000-0005-0000-0000-0000ED010000}"/>
    <cellStyle name="20% - 강조색6 2 8" xfId="502" xr:uid="{00000000-0005-0000-0000-0000EE010000}"/>
    <cellStyle name="20% - 강조색6 2 8 2" xfId="503" xr:uid="{00000000-0005-0000-0000-0000EF010000}"/>
    <cellStyle name="20% - 강조색6 2 8 3" xfId="504" xr:uid="{00000000-0005-0000-0000-0000F0010000}"/>
    <cellStyle name="20% - 강조색6 2 8 4" xfId="505" xr:uid="{00000000-0005-0000-0000-0000F1010000}"/>
    <cellStyle name="20% - 강조색6 2 8 5" xfId="506" xr:uid="{00000000-0005-0000-0000-0000F2010000}"/>
    <cellStyle name="20% - 강조색6 2 8 6" xfId="507" xr:uid="{00000000-0005-0000-0000-0000F3010000}"/>
    <cellStyle name="20% - 강조색6 2 9" xfId="508" xr:uid="{00000000-0005-0000-0000-0000F4010000}"/>
    <cellStyle name="20% - 강조색6 2 9 2" xfId="509" xr:uid="{00000000-0005-0000-0000-0000F5010000}"/>
    <cellStyle name="20% - 강조색6 2 9 3" xfId="510" xr:uid="{00000000-0005-0000-0000-0000F6010000}"/>
    <cellStyle name="20% - 강조색6 2 9 4" xfId="511" xr:uid="{00000000-0005-0000-0000-0000F7010000}"/>
    <cellStyle name="20% - 강조색6 2 9 5" xfId="512" xr:uid="{00000000-0005-0000-0000-0000F8010000}"/>
    <cellStyle name="20% - 강조색6 2 9 6" xfId="513" xr:uid="{00000000-0005-0000-0000-0000F9010000}"/>
    <cellStyle name="40% - 강조색1 2" xfId="514" xr:uid="{00000000-0005-0000-0000-0000FA010000}"/>
    <cellStyle name="40% - 강조색1 2 10" xfId="515" xr:uid="{00000000-0005-0000-0000-0000FB010000}"/>
    <cellStyle name="40% - 강조색1 2 10 2" xfId="516" xr:uid="{00000000-0005-0000-0000-0000FC010000}"/>
    <cellStyle name="40% - 강조색1 2 10 3" xfId="517" xr:uid="{00000000-0005-0000-0000-0000FD010000}"/>
    <cellStyle name="40% - 강조색1 2 10 4" xfId="518" xr:uid="{00000000-0005-0000-0000-0000FE010000}"/>
    <cellStyle name="40% - 강조색1 2 10 5" xfId="519" xr:uid="{00000000-0005-0000-0000-0000FF010000}"/>
    <cellStyle name="40% - 강조색1 2 10 6" xfId="520" xr:uid="{00000000-0005-0000-0000-000000020000}"/>
    <cellStyle name="40% - 강조색1 2 11" xfId="521" xr:uid="{00000000-0005-0000-0000-000001020000}"/>
    <cellStyle name="40% - 강조색1 2 11 2" xfId="522" xr:uid="{00000000-0005-0000-0000-000002020000}"/>
    <cellStyle name="40% - 강조색1 2 11 3" xfId="523" xr:uid="{00000000-0005-0000-0000-000003020000}"/>
    <cellStyle name="40% - 강조색1 2 11 4" xfId="524" xr:uid="{00000000-0005-0000-0000-000004020000}"/>
    <cellStyle name="40% - 강조색1 2 11 5" xfId="525" xr:uid="{00000000-0005-0000-0000-000005020000}"/>
    <cellStyle name="40% - 강조색1 2 11 6" xfId="526" xr:uid="{00000000-0005-0000-0000-000006020000}"/>
    <cellStyle name="40% - 강조색1 2 12" xfId="527" xr:uid="{00000000-0005-0000-0000-000007020000}"/>
    <cellStyle name="40% - 강조색1 2 12 2" xfId="528" xr:uid="{00000000-0005-0000-0000-000008020000}"/>
    <cellStyle name="40% - 강조색1 2 12 3" xfId="529" xr:uid="{00000000-0005-0000-0000-000009020000}"/>
    <cellStyle name="40% - 강조색1 2 12 4" xfId="530" xr:uid="{00000000-0005-0000-0000-00000A020000}"/>
    <cellStyle name="40% - 강조색1 2 12 5" xfId="531" xr:uid="{00000000-0005-0000-0000-00000B020000}"/>
    <cellStyle name="40% - 강조색1 2 12 6" xfId="532" xr:uid="{00000000-0005-0000-0000-00000C020000}"/>
    <cellStyle name="40% - 강조색1 2 13" xfId="533" xr:uid="{00000000-0005-0000-0000-00000D020000}"/>
    <cellStyle name="40% - 강조색1 2 13 2" xfId="534" xr:uid="{00000000-0005-0000-0000-00000E020000}"/>
    <cellStyle name="40% - 강조색1 2 13 3" xfId="535" xr:uid="{00000000-0005-0000-0000-00000F020000}"/>
    <cellStyle name="40% - 강조색1 2 13 4" xfId="536" xr:uid="{00000000-0005-0000-0000-000010020000}"/>
    <cellStyle name="40% - 강조색1 2 13 5" xfId="537" xr:uid="{00000000-0005-0000-0000-000011020000}"/>
    <cellStyle name="40% - 강조색1 2 13 6" xfId="538" xr:uid="{00000000-0005-0000-0000-000012020000}"/>
    <cellStyle name="40% - 강조색1 2 14" xfId="539" xr:uid="{00000000-0005-0000-0000-000013020000}"/>
    <cellStyle name="40% - 강조색1 2 14 2" xfId="540" xr:uid="{00000000-0005-0000-0000-000014020000}"/>
    <cellStyle name="40% - 강조색1 2 14 3" xfId="541" xr:uid="{00000000-0005-0000-0000-000015020000}"/>
    <cellStyle name="40% - 강조색1 2 14 4" xfId="542" xr:uid="{00000000-0005-0000-0000-000016020000}"/>
    <cellStyle name="40% - 강조색1 2 14 5" xfId="543" xr:uid="{00000000-0005-0000-0000-000017020000}"/>
    <cellStyle name="40% - 강조색1 2 14 6" xfId="544" xr:uid="{00000000-0005-0000-0000-000018020000}"/>
    <cellStyle name="40% - 강조색1 2 15" xfId="545" xr:uid="{00000000-0005-0000-0000-000019020000}"/>
    <cellStyle name="40% - 강조색1 2 16" xfId="546" xr:uid="{00000000-0005-0000-0000-00001A020000}"/>
    <cellStyle name="40% - 강조색1 2 17" xfId="547" xr:uid="{00000000-0005-0000-0000-00001B020000}"/>
    <cellStyle name="40% - 강조색1 2 18" xfId="548" xr:uid="{00000000-0005-0000-0000-00001C020000}"/>
    <cellStyle name="40% - 강조색1 2 19" xfId="549" xr:uid="{00000000-0005-0000-0000-00001D020000}"/>
    <cellStyle name="40% - 강조색1 2 2" xfId="550" xr:uid="{00000000-0005-0000-0000-00001E020000}"/>
    <cellStyle name="40% - 강조색1 2 2 2" xfId="551" xr:uid="{00000000-0005-0000-0000-00001F020000}"/>
    <cellStyle name="40% - 강조색1 2 2 3" xfId="552" xr:uid="{00000000-0005-0000-0000-000020020000}"/>
    <cellStyle name="40% - 강조색1 2 2 4" xfId="553" xr:uid="{00000000-0005-0000-0000-000021020000}"/>
    <cellStyle name="40% - 강조색1 2 2 5" xfId="554" xr:uid="{00000000-0005-0000-0000-000022020000}"/>
    <cellStyle name="40% - 강조색1 2 2 6" xfId="555" xr:uid="{00000000-0005-0000-0000-000023020000}"/>
    <cellStyle name="40% - 강조색1 2 3" xfId="556" xr:uid="{00000000-0005-0000-0000-000024020000}"/>
    <cellStyle name="40% - 강조색1 2 3 2" xfId="557" xr:uid="{00000000-0005-0000-0000-000025020000}"/>
    <cellStyle name="40% - 강조색1 2 3 3" xfId="558" xr:uid="{00000000-0005-0000-0000-000026020000}"/>
    <cellStyle name="40% - 강조색1 2 3 4" xfId="559" xr:uid="{00000000-0005-0000-0000-000027020000}"/>
    <cellStyle name="40% - 강조색1 2 3 5" xfId="560" xr:uid="{00000000-0005-0000-0000-000028020000}"/>
    <cellStyle name="40% - 강조색1 2 3 6" xfId="561" xr:uid="{00000000-0005-0000-0000-000029020000}"/>
    <cellStyle name="40% - 강조색1 2 4" xfId="562" xr:uid="{00000000-0005-0000-0000-00002A020000}"/>
    <cellStyle name="40% - 강조색1 2 4 2" xfId="563" xr:uid="{00000000-0005-0000-0000-00002B020000}"/>
    <cellStyle name="40% - 강조색1 2 4 3" xfId="564" xr:uid="{00000000-0005-0000-0000-00002C020000}"/>
    <cellStyle name="40% - 강조색1 2 4 4" xfId="565" xr:uid="{00000000-0005-0000-0000-00002D020000}"/>
    <cellStyle name="40% - 강조색1 2 4 5" xfId="566" xr:uid="{00000000-0005-0000-0000-00002E020000}"/>
    <cellStyle name="40% - 강조색1 2 4 6" xfId="567" xr:uid="{00000000-0005-0000-0000-00002F020000}"/>
    <cellStyle name="40% - 강조색1 2 5" xfId="568" xr:uid="{00000000-0005-0000-0000-000030020000}"/>
    <cellStyle name="40% - 강조색1 2 5 2" xfId="569" xr:uid="{00000000-0005-0000-0000-000031020000}"/>
    <cellStyle name="40% - 강조색1 2 5 3" xfId="570" xr:uid="{00000000-0005-0000-0000-000032020000}"/>
    <cellStyle name="40% - 강조색1 2 5 4" xfId="571" xr:uid="{00000000-0005-0000-0000-000033020000}"/>
    <cellStyle name="40% - 강조색1 2 5 5" xfId="572" xr:uid="{00000000-0005-0000-0000-000034020000}"/>
    <cellStyle name="40% - 강조색1 2 5 6" xfId="573" xr:uid="{00000000-0005-0000-0000-000035020000}"/>
    <cellStyle name="40% - 강조색1 2 6" xfId="574" xr:uid="{00000000-0005-0000-0000-000036020000}"/>
    <cellStyle name="40% - 강조색1 2 6 2" xfId="575" xr:uid="{00000000-0005-0000-0000-000037020000}"/>
    <cellStyle name="40% - 강조색1 2 6 3" xfId="576" xr:uid="{00000000-0005-0000-0000-000038020000}"/>
    <cellStyle name="40% - 강조색1 2 6 4" xfId="577" xr:uid="{00000000-0005-0000-0000-000039020000}"/>
    <cellStyle name="40% - 강조색1 2 6 5" xfId="578" xr:uid="{00000000-0005-0000-0000-00003A020000}"/>
    <cellStyle name="40% - 강조색1 2 6 6" xfId="579" xr:uid="{00000000-0005-0000-0000-00003B020000}"/>
    <cellStyle name="40% - 강조색1 2 7" xfId="580" xr:uid="{00000000-0005-0000-0000-00003C020000}"/>
    <cellStyle name="40% - 강조색1 2 7 2" xfId="581" xr:uid="{00000000-0005-0000-0000-00003D020000}"/>
    <cellStyle name="40% - 강조색1 2 7 3" xfId="582" xr:uid="{00000000-0005-0000-0000-00003E020000}"/>
    <cellStyle name="40% - 강조색1 2 7 4" xfId="583" xr:uid="{00000000-0005-0000-0000-00003F020000}"/>
    <cellStyle name="40% - 강조색1 2 7 5" xfId="584" xr:uid="{00000000-0005-0000-0000-000040020000}"/>
    <cellStyle name="40% - 강조색1 2 7 6" xfId="585" xr:uid="{00000000-0005-0000-0000-000041020000}"/>
    <cellStyle name="40% - 강조색1 2 8" xfId="586" xr:uid="{00000000-0005-0000-0000-000042020000}"/>
    <cellStyle name="40% - 강조색1 2 8 2" xfId="587" xr:uid="{00000000-0005-0000-0000-000043020000}"/>
    <cellStyle name="40% - 강조색1 2 8 3" xfId="588" xr:uid="{00000000-0005-0000-0000-000044020000}"/>
    <cellStyle name="40% - 강조색1 2 8 4" xfId="589" xr:uid="{00000000-0005-0000-0000-000045020000}"/>
    <cellStyle name="40% - 강조색1 2 8 5" xfId="590" xr:uid="{00000000-0005-0000-0000-000046020000}"/>
    <cellStyle name="40% - 강조색1 2 8 6" xfId="591" xr:uid="{00000000-0005-0000-0000-000047020000}"/>
    <cellStyle name="40% - 강조색1 2 9" xfId="592" xr:uid="{00000000-0005-0000-0000-000048020000}"/>
    <cellStyle name="40% - 강조색1 2 9 2" xfId="593" xr:uid="{00000000-0005-0000-0000-000049020000}"/>
    <cellStyle name="40% - 강조색1 2 9 3" xfId="594" xr:uid="{00000000-0005-0000-0000-00004A020000}"/>
    <cellStyle name="40% - 강조색1 2 9 4" xfId="595" xr:uid="{00000000-0005-0000-0000-00004B020000}"/>
    <cellStyle name="40% - 강조색1 2 9 5" xfId="596" xr:uid="{00000000-0005-0000-0000-00004C020000}"/>
    <cellStyle name="40% - 강조색1 2 9 6" xfId="597" xr:uid="{00000000-0005-0000-0000-00004D020000}"/>
    <cellStyle name="40% - 강조색2 2" xfId="598" xr:uid="{00000000-0005-0000-0000-00004E020000}"/>
    <cellStyle name="40% - 강조색2 2 10" xfId="599" xr:uid="{00000000-0005-0000-0000-00004F020000}"/>
    <cellStyle name="40% - 강조색2 2 10 2" xfId="600" xr:uid="{00000000-0005-0000-0000-000050020000}"/>
    <cellStyle name="40% - 강조색2 2 10 3" xfId="601" xr:uid="{00000000-0005-0000-0000-000051020000}"/>
    <cellStyle name="40% - 강조색2 2 10 4" xfId="602" xr:uid="{00000000-0005-0000-0000-000052020000}"/>
    <cellStyle name="40% - 강조색2 2 10 5" xfId="603" xr:uid="{00000000-0005-0000-0000-000053020000}"/>
    <cellStyle name="40% - 강조색2 2 10 6" xfId="604" xr:uid="{00000000-0005-0000-0000-000054020000}"/>
    <cellStyle name="40% - 강조색2 2 11" xfId="605" xr:uid="{00000000-0005-0000-0000-000055020000}"/>
    <cellStyle name="40% - 강조색2 2 11 2" xfId="606" xr:uid="{00000000-0005-0000-0000-000056020000}"/>
    <cellStyle name="40% - 강조색2 2 11 3" xfId="607" xr:uid="{00000000-0005-0000-0000-000057020000}"/>
    <cellStyle name="40% - 강조색2 2 11 4" xfId="608" xr:uid="{00000000-0005-0000-0000-000058020000}"/>
    <cellStyle name="40% - 강조색2 2 11 5" xfId="609" xr:uid="{00000000-0005-0000-0000-000059020000}"/>
    <cellStyle name="40% - 강조색2 2 11 6" xfId="610" xr:uid="{00000000-0005-0000-0000-00005A020000}"/>
    <cellStyle name="40% - 강조색2 2 12" xfId="611" xr:uid="{00000000-0005-0000-0000-00005B020000}"/>
    <cellStyle name="40% - 강조색2 2 12 2" xfId="612" xr:uid="{00000000-0005-0000-0000-00005C020000}"/>
    <cellStyle name="40% - 강조색2 2 12 3" xfId="613" xr:uid="{00000000-0005-0000-0000-00005D020000}"/>
    <cellStyle name="40% - 강조색2 2 12 4" xfId="614" xr:uid="{00000000-0005-0000-0000-00005E020000}"/>
    <cellStyle name="40% - 강조색2 2 12 5" xfId="615" xr:uid="{00000000-0005-0000-0000-00005F020000}"/>
    <cellStyle name="40% - 강조색2 2 12 6" xfId="616" xr:uid="{00000000-0005-0000-0000-000060020000}"/>
    <cellStyle name="40% - 강조색2 2 13" xfId="617" xr:uid="{00000000-0005-0000-0000-000061020000}"/>
    <cellStyle name="40% - 강조색2 2 13 2" xfId="618" xr:uid="{00000000-0005-0000-0000-000062020000}"/>
    <cellStyle name="40% - 강조색2 2 13 3" xfId="619" xr:uid="{00000000-0005-0000-0000-000063020000}"/>
    <cellStyle name="40% - 강조색2 2 13 4" xfId="620" xr:uid="{00000000-0005-0000-0000-000064020000}"/>
    <cellStyle name="40% - 강조색2 2 13 5" xfId="621" xr:uid="{00000000-0005-0000-0000-000065020000}"/>
    <cellStyle name="40% - 강조색2 2 13 6" xfId="622" xr:uid="{00000000-0005-0000-0000-000066020000}"/>
    <cellStyle name="40% - 강조색2 2 14" xfId="623" xr:uid="{00000000-0005-0000-0000-000067020000}"/>
    <cellStyle name="40% - 강조색2 2 14 2" xfId="624" xr:uid="{00000000-0005-0000-0000-000068020000}"/>
    <cellStyle name="40% - 강조색2 2 14 3" xfId="625" xr:uid="{00000000-0005-0000-0000-000069020000}"/>
    <cellStyle name="40% - 강조색2 2 14 4" xfId="626" xr:uid="{00000000-0005-0000-0000-00006A020000}"/>
    <cellStyle name="40% - 강조색2 2 14 5" xfId="627" xr:uid="{00000000-0005-0000-0000-00006B020000}"/>
    <cellStyle name="40% - 강조색2 2 14 6" xfId="628" xr:uid="{00000000-0005-0000-0000-00006C020000}"/>
    <cellStyle name="40% - 강조색2 2 15" xfId="629" xr:uid="{00000000-0005-0000-0000-00006D020000}"/>
    <cellStyle name="40% - 강조색2 2 16" xfId="630" xr:uid="{00000000-0005-0000-0000-00006E020000}"/>
    <cellStyle name="40% - 강조색2 2 17" xfId="631" xr:uid="{00000000-0005-0000-0000-00006F020000}"/>
    <cellStyle name="40% - 강조색2 2 18" xfId="632" xr:uid="{00000000-0005-0000-0000-000070020000}"/>
    <cellStyle name="40% - 강조색2 2 19" xfId="633" xr:uid="{00000000-0005-0000-0000-000071020000}"/>
    <cellStyle name="40% - 강조색2 2 2" xfId="634" xr:uid="{00000000-0005-0000-0000-000072020000}"/>
    <cellStyle name="40% - 강조색2 2 2 2" xfId="635" xr:uid="{00000000-0005-0000-0000-000073020000}"/>
    <cellStyle name="40% - 강조색2 2 2 3" xfId="636" xr:uid="{00000000-0005-0000-0000-000074020000}"/>
    <cellStyle name="40% - 강조색2 2 2 4" xfId="637" xr:uid="{00000000-0005-0000-0000-000075020000}"/>
    <cellStyle name="40% - 강조색2 2 2 5" xfId="638" xr:uid="{00000000-0005-0000-0000-000076020000}"/>
    <cellStyle name="40% - 강조색2 2 2 6" xfId="639" xr:uid="{00000000-0005-0000-0000-000077020000}"/>
    <cellStyle name="40% - 강조색2 2 3" xfId="640" xr:uid="{00000000-0005-0000-0000-000078020000}"/>
    <cellStyle name="40% - 강조색2 2 3 2" xfId="641" xr:uid="{00000000-0005-0000-0000-000079020000}"/>
    <cellStyle name="40% - 강조색2 2 3 3" xfId="642" xr:uid="{00000000-0005-0000-0000-00007A020000}"/>
    <cellStyle name="40% - 강조색2 2 3 4" xfId="643" xr:uid="{00000000-0005-0000-0000-00007B020000}"/>
    <cellStyle name="40% - 강조색2 2 3 5" xfId="644" xr:uid="{00000000-0005-0000-0000-00007C020000}"/>
    <cellStyle name="40% - 강조색2 2 3 6" xfId="645" xr:uid="{00000000-0005-0000-0000-00007D020000}"/>
    <cellStyle name="40% - 강조색2 2 4" xfId="646" xr:uid="{00000000-0005-0000-0000-00007E020000}"/>
    <cellStyle name="40% - 강조색2 2 4 2" xfId="647" xr:uid="{00000000-0005-0000-0000-00007F020000}"/>
    <cellStyle name="40% - 강조색2 2 4 3" xfId="648" xr:uid="{00000000-0005-0000-0000-000080020000}"/>
    <cellStyle name="40% - 강조색2 2 4 4" xfId="649" xr:uid="{00000000-0005-0000-0000-000081020000}"/>
    <cellStyle name="40% - 강조색2 2 4 5" xfId="650" xr:uid="{00000000-0005-0000-0000-000082020000}"/>
    <cellStyle name="40% - 강조색2 2 4 6" xfId="651" xr:uid="{00000000-0005-0000-0000-000083020000}"/>
    <cellStyle name="40% - 강조색2 2 5" xfId="652" xr:uid="{00000000-0005-0000-0000-000084020000}"/>
    <cellStyle name="40% - 강조색2 2 5 2" xfId="653" xr:uid="{00000000-0005-0000-0000-000085020000}"/>
    <cellStyle name="40% - 강조색2 2 5 3" xfId="654" xr:uid="{00000000-0005-0000-0000-000086020000}"/>
    <cellStyle name="40% - 강조색2 2 5 4" xfId="655" xr:uid="{00000000-0005-0000-0000-000087020000}"/>
    <cellStyle name="40% - 강조색2 2 5 5" xfId="656" xr:uid="{00000000-0005-0000-0000-000088020000}"/>
    <cellStyle name="40% - 강조색2 2 5 6" xfId="657" xr:uid="{00000000-0005-0000-0000-000089020000}"/>
    <cellStyle name="40% - 강조색2 2 6" xfId="658" xr:uid="{00000000-0005-0000-0000-00008A020000}"/>
    <cellStyle name="40% - 강조색2 2 6 2" xfId="659" xr:uid="{00000000-0005-0000-0000-00008B020000}"/>
    <cellStyle name="40% - 강조색2 2 6 3" xfId="660" xr:uid="{00000000-0005-0000-0000-00008C020000}"/>
    <cellStyle name="40% - 강조색2 2 6 4" xfId="661" xr:uid="{00000000-0005-0000-0000-00008D020000}"/>
    <cellStyle name="40% - 강조색2 2 6 5" xfId="662" xr:uid="{00000000-0005-0000-0000-00008E020000}"/>
    <cellStyle name="40% - 강조색2 2 6 6" xfId="663" xr:uid="{00000000-0005-0000-0000-00008F020000}"/>
    <cellStyle name="40% - 강조색2 2 7" xfId="664" xr:uid="{00000000-0005-0000-0000-000090020000}"/>
    <cellStyle name="40% - 강조색2 2 7 2" xfId="665" xr:uid="{00000000-0005-0000-0000-000091020000}"/>
    <cellStyle name="40% - 강조색2 2 7 3" xfId="666" xr:uid="{00000000-0005-0000-0000-000092020000}"/>
    <cellStyle name="40% - 강조색2 2 7 4" xfId="667" xr:uid="{00000000-0005-0000-0000-000093020000}"/>
    <cellStyle name="40% - 강조색2 2 7 5" xfId="668" xr:uid="{00000000-0005-0000-0000-000094020000}"/>
    <cellStyle name="40% - 강조색2 2 7 6" xfId="669" xr:uid="{00000000-0005-0000-0000-000095020000}"/>
    <cellStyle name="40% - 강조색2 2 8" xfId="670" xr:uid="{00000000-0005-0000-0000-000096020000}"/>
    <cellStyle name="40% - 강조색2 2 8 2" xfId="671" xr:uid="{00000000-0005-0000-0000-000097020000}"/>
    <cellStyle name="40% - 강조색2 2 8 3" xfId="672" xr:uid="{00000000-0005-0000-0000-000098020000}"/>
    <cellStyle name="40% - 강조색2 2 8 4" xfId="673" xr:uid="{00000000-0005-0000-0000-000099020000}"/>
    <cellStyle name="40% - 강조색2 2 8 5" xfId="674" xr:uid="{00000000-0005-0000-0000-00009A020000}"/>
    <cellStyle name="40% - 강조색2 2 8 6" xfId="675" xr:uid="{00000000-0005-0000-0000-00009B020000}"/>
    <cellStyle name="40% - 강조색2 2 9" xfId="676" xr:uid="{00000000-0005-0000-0000-00009C020000}"/>
    <cellStyle name="40% - 강조색2 2 9 2" xfId="677" xr:uid="{00000000-0005-0000-0000-00009D020000}"/>
    <cellStyle name="40% - 강조색2 2 9 3" xfId="678" xr:uid="{00000000-0005-0000-0000-00009E020000}"/>
    <cellStyle name="40% - 강조색2 2 9 4" xfId="679" xr:uid="{00000000-0005-0000-0000-00009F020000}"/>
    <cellStyle name="40% - 강조색2 2 9 5" xfId="680" xr:uid="{00000000-0005-0000-0000-0000A0020000}"/>
    <cellStyle name="40% - 강조색2 2 9 6" xfId="681" xr:uid="{00000000-0005-0000-0000-0000A1020000}"/>
    <cellStyle name="40% - 강조색3 2" xfId="682" xr:uid="{00000000-0005-0000-0000-0000A2020000}"/>
    <cellStyle name="40% - 강조색3 2 10" xfId="683" xr:uid="{00000000-0005-0000-0000-0000A3020000}"/>
    <cellStyle name="40% - 강조색3 2 10 2" xfId="684" xr:uid="{00000000-0005-0000-0000-0000A4020000}"/>
    <cellStyle name="40% - 강조색3 2 10 3" xfId="685" xr:uid="{00000000-0005-0000-0000-0000A5020000}"/>
    <cellStyle name="40% - 강조색3 2 10 4" xfId="686" xr:uid="{00000000-0005-0000-0000-0000A6020000}"/>
    <cellStyle name="40% - 강조색3 2 10 5" xfId="687" xr:uid="{00000000-0005-0000-0000-0000A7020000}"/>
    <cellStyle name="40% - 강조색3 2 10 6" xfId="688" xr:uid="{00000000-0005-0000-0000-0000A8020000}"/>
    <cellStyle name="40% - 강조색3 2 11" xfId="689" xr:uid="{00000000-0005-0000-0000-0000A9020000}"/>
    <cellStyle name="40% - 강조색3 2 11 2" xfId="690" xr:uid="{00000000-0005-0000-0000-0000AA020000}"/>
    <cellStyle name="40% - 강조색3 2 11 3" xfId="691" xr:uid="{00000000-0005-0000-0000-0000AB020000}"/>
    <cellStyle name="40% - 강조색3 2 11 4" xfId="692" xr:uid="{00000000-0005-0000-0000-0000AC020000}"/>
    <cellStyle name="40% - 강조색3 2 11 5" xfId="693" xr:uid="{00000000-0005-0000-0000-0000AD020000}"/>
    <cellStyle name="40% - 강조색3 2 11 6" xfId="694" xr:uid="{00000000-0005-0000-0000-0000AE020000}"/>
    <cellStyle name="40% - 강조색3 2 12" xfId="695" xr:uid="{00000000-0005-0000-0000-0000AF020000}"/>
    <cellStyle name="40% - 강조색3 2 12 2" xfId="696" xr:uid="{00000000-0005-0000-0000-0000B0020000}"/>
    <cellStyle name="40% - 강조색3 2 12 3" xfId="697" xr:uid="{00000000-0005-0000-0000-0000B1020000}"/>
    <cellStyle name="40% - 강조색3 2 12 4" xfId="698" xr:uid="{00000000-0005-0000-0000-0000B2020000}"/>
    <cellStyle name="40% - 강조색3 2 12 5" xfId="699" xr:uid="{00000000-0005-0000-0000-0000B3020000}"/>
    <cellStyle name="40% - 강조색3 2 12 6" xfId="700" xr:uid="{00000000-0005-0000-0000-0000B4020000}"/>
    <cellStyle name="40% - 강조색3 2 13" xfId="701" xr:uid="{00000000-0005-0000-0000-0000B5020000}"/>
    <cellStyle name="40% - 강조색3 2 13 2" xfId="702" xr:uid="{00000000-0005-0000-0000-0000B6020000}"/>
    <cellStyle name="40% - 강조색3 2 13 3" xfId="703" xr:uid="{00000000-0005-0000-0000-0000B7020000}"/>
    <cellStyle name="40% - 강조색3 2 13 4" xfId="704" xr:uid="{00000000-0005-0000-0000-0000B8020000}"/>
    <cellStyle name="40% - 강조색3 2 13 5" xfId="705" xr:uid="{00000000-0005-0000-0000-0000B9020000}"/>
    <cellStyle name="40% - 강조색3 2 13 6" xfId="706" xr:uid="{00000000-0005-0000-0000-0000BA020000}"/>
    <cellStyle name="40% - 강조색3 2 14" xfId="707" xr:uid="{00000000-0005-0000-0000-0000BB020000}"/>
    <cellStyle name="40% - 강조색3 2 14 2" xfId="708" xr:uid="{00000000-0005-0000-0000-0000BC020000}"/>
    <cellStyle name="40% - 강조색3 2 14 3" xfId="709" xr:uid="{00000000-0005-0000-0000-0000BD020000}"/>
    <cellStyle name="40% - 강조색3 2 14 4" xfId="710" xr:uid="{00000000-0005-0000-0000-0000BE020000}"/>
    <cellStyle name="40% - 강조색3 2 14 5" xfId="711" xr:uid="{00000000-0005-0000-0000-0000BF020000}"/>
    <cellStyle name="40% - 강조색3 2 14 6" xfId="712" xr:uid="{00000000-0005-0000-0000-0000C0020000}"/>
    <cellStyle name="40% - 강조색3 2 15" xfId="713" xr:uid="{00000000-0005-0000-0000-0000C1020000}"/>
    <cellStyle name="40% - 강조색3 2 16" xfId="714" xr:uid="{00000000-0005-0000-0000-0000C2020000}"/>
    <cellStyle name="40% - 강조색3 2 17" xfId="715" xr:uid="{00000000-0005-0000-0000-0000C3020000}"/>
    <cellStyle name="40% - 강조색3 2 18" xfId="716" xr:uid="{00000000-0005-0000-0000-0000C4020000}"/>
    <cellStyle name="40% - 강조색3 2 19" xfId="717" xr:uid="{00000000-0005-0000-0000-0000C5020000}"/>
    <cellStyle name="40% - 강조색3 2 2" xfId="718" xr:uid="{00000000-0005-0000-0000-0000C6020000}"/>
    <cellStyle name="40% - 강조색3 2 2 2" xfId="719" xr:uid="{00000000-0005-0000-0000-0000C7020000}"/>
    <cellStyle name="40% - 강조색3 2 2 3" xfId="720" xr:uid="{00000000-0005-0000-0000-0000C8020000}"/>
    <cellStyle name="40% - 강조색3 2 2 4" xfId="721" xr:uid="{00000000-0005-0000-0000-0000C9020000}"/>
    <cellStyle name="40% - 강조색3 2 2 5" xfId="722" xr:uid="{00000000-0005-0000-0000-0000CA020000}"/>
    <cellStyle name="40% - 강조색3 2 2 6" xfId="723" xr:uid="{00000000-0005-0000-0000-0000CB020000}"/>
    <cellStyle name="40% - 강조색3 2 3" xfId="724" xr:uid="{00000000-0005-0000-0000-0000CC020000}"/>
    <cellStyle name="40% - 강조색3 2 3 2" xfId="725" xr:uid="{00000000-0005-0000-0000-0000CD020000}"/>
    <cellStyle name="40% - 강조색3 2 3 3" xfId="726" xr:uid="{00000000-0005-0000-0000-0000CE020000}"/>
    <cellStyle name="40% - 강조색3 2 3 4" xfId="727" xr:uid="{00000000-0005-0000-0000-0000CF020000}"/>
    <cellStyle name="40% - 강조색3 2 3 5" xfId="728" xr:uid="{00000000-0005-0000-0000-0000D0020000}"/>
    <cellStyle name="40% - 강조색3 2 3 6" xfId="729" xr:uid="{00000000-0005-0000-0000-0000D1020000}"/>
    <cellStyle name="40% - 강조색3 2 4" xfId="730" xr:uid="{00000000-0005-0000-0000-0000D2020000}"/>
    <cellStyle name="40% - 강조색3 2 4 2" xfId="731" xr:uid="{00000000-0005-0000-0000-0000D3020000}"/>
    <cellStyle name="40% - 강조색3 2 4 3" xfId="732" xr:uid="{00000000-0005-0000-0000-0000D4020000}"/>
    <cellStyle name="40% - 강조색3 2 4 4" xfId="733" xr:uid="{00000000-0005-0000-0000-0000D5020000}"/>
    <cellStyle name="40% - 강조색3 2 4 5" xfId="734" xr:uid="{00000000-0005-0000-0000-0000D6020000}"/>
    <cellStyle name="40% - 강조색3 2 4 6" xfId="735" xr:uid="{00000000-0005-0000-0000-0000D7020000}"/>
    <cellStyle name="40% - 강조색3 2 5" xfId="736" xr:uid="{00000000-0005-0000-0000-0000D8020000}"/>
    <cellStyle name="40% - 강조색3 2 5 2" xfId="737" xr:uid="{00000000-0005-0000-0000-0000D9020000}"/>
    <cellStyle name="40% - 강조색3 2 5 3" xfId="738" xr:uid="{00000000-0005-0000-0000-0000DA020000}"/>
    <cellStyle name="40% - 강조색3 2 5 4" xfId="739" xr:uid="{00000000-0005-0000-0000-0000DB020000}"/>
    <cellStyle name="40% - 강조색3 2 5 5" xfId="740" xr:uid="{00000000-0005-0000-0000-0000DC020000}"/>
    <cellStyle name="40% - 강조색3 2 5 6" xfId="741" xr:uid="{00000000-0005-0000-0000-0000DD020000}"/>
    <cellStyle name="40% - 강조색3 2 6" xfId="742" xr:uid="{00000000-0005-0000-0000-0000DE020000}"/>
    <cellStyle name="40% - 강조색3 2 6 2" xfId="743" xr:uid="{00000000-0005-0000-0000-0000DF020000}"/>
    <cellStyle name="40% - 강조색3 2 6 3" xfId="744" xr:uid="{00000000-0005-0000-0000-0000E0020000}"/>
    <cellStyle name="40% - 강조색3 2 6 4" xfId="745" xr:uid="{00000000-0005-0000-0000-0000E1020000}"/>
    <cellStyle name="40% - 강조색3 2 6 5" xfId="746" xr:uid="{00000000-0005-0000-0000-0000E2020000}"/>
    <cellStyle name="40% - 강조색3 2 6 6" xfId="747" xr:uid="{00000000-0005-0000-0000-0000E3020000}"/>
    <cellStyle name="40% - 강조색3 2 7" xfId="748" xr:uid="{00000000-0005-0000-0000-0000E4020000}"/>
    <cellStyle name="40% - 강조색3 2 7 2" xfId="749" xr:uid="{00000000-0005-0000-0000-0000E5020000}"/>
    <cellStyle name="40% - 강조색3 2 7 3" xfId="750" xr:uid="{00000000-0005-0000-0000-0000E6020000}"/>
    <cellStyle name="40% - 강조색3 2 7 4" xfId="751" xr:uid="{00000000-0005-0000-0000-0000E7020000}"/>
    <cellStyle name="40% - 강조색3 2 7 5" xfId="752" xr:uid="{00000000-0005-0000-0000-0000E8020000}"/>
    <cellStyle name="40% - 강조색3 2 7 6" xfId="753" xr:uid="{00000000-0005-0000-0000-0000E9020000}"/>
    <cellStyle name="40% - 강조색3 2 8" xfId="754" xr:uid="{00000000-0005-0000-0000-0000EA020000}"/>
    <cellStyle name="40% - 강조색3 2 8 2" xfId="755" xr:uid="{00000000-0005-0000-0000-0000EB020000}"/>
    <cellStyle name="40% - 강조색3 2 8 3" xfId="756" xr:uid="{00000000-0005-0000-0000-0000EC020000}"/>
    <cellStyle name="40% - 강조색3 2 8 4" xfId="757" xr:uid="{00000000-0005-0000-0000-0000ED020000}"/>
    <cellStyle name="40% - 강조색3 2 8 5" xfId="758" xr:uid="{00000000-0005-0000-0000-0000EE020000}"/>
    <cellStyle name="40% - 강조색3 2 8 6" xfId="759" xr:uid="{00000000-0005-0000-0000-0000EF020000}"/>
    <cellStyle name="40% - 강조색3 2 9" xfId="760" xr:uid="{00000000-0005-0000-0000-0000F0020000}"/>
    <cellStyle name="40% - 강조색3 2 9 2" xfId="761" xr:uid="{00000000-0005-0000-0000-0000F1020000}"/>
    <cellStyle name="40% - 강조색3 2 9 3" xfId="762" xr:uid="{00000000-0005-0000-0000-0000F2020000}"/>
    <cellStyle name="40% - 강조색3 2 9 4" xfId="763" xr:uid="{00000000-0005-0000-0000-0000F3020000}"/>
    <cellStyle name="40% - 강조색3 2 9 5" xfId="764" xr:uid="{00000000-0005-0000-0000-0000F4020000}"/>
    <cellStyle name="40% - 강조색3 2 9 6" xfId="765" xr:uid="{00000000-0005-0000-0000-0000F5020000}"/>
    <cellStyle name="40% - 강조색4 2" xfId="766" xr:uid="{00000000-0005-0000-0000-0000F6020000}"/>
    <cellStyle name="40% - 강조색4 2 10" xfId="767" xr:uid="{00000000-0005-0000-0000-0000F7020000}"/>
    <cellStyle name="40% - 강조색4 2 10 2" xfId="768" xr:uid="{00000000-0005-0000-0000-0000F8020000}"/>
    <cellStyle name="40% - 강조색4 2 10 3" xfId="769" xr:uid="{00000000-0005-0000-0000-0000F9020000}"/>
    <cellStyle name="40% - 강조색4 2 10 4" xfId="770" xr:uid="{00000000-0005-0000-0000-0000FA020000}"/>
    <cellStyle name="40% - 강조색4 2 10 5" xfId="771" xr:uid="{00000000-0005-0000-0000-0000FB020000}"/>
    <cellStyle name="40% - 강조색4 2 10 6" xfId="772" xr:uid="{00000000-0005-0000-0000-0000FC020000}"/>
    <cellStyle name="40% - 강조색4 2 11" xfId="773" xr:uid="{00000000-0005-0000-0000-0000FD020000}"/>
    <cellStyle name="40% - 강조색4 2 11 2" xfId="774" xr:uid="{00000000-0005-0000-0000-0000FE020000}"/>
    <cellStyle name="40% - 강조색4 2 11 3" xfId="775" xr:uid="{00000000-0005-0000-0000-0000FF020000}"/>
    <cellStyle name="40% - 강조색4 2 11 4" xfId="776" xr:uid="{00000000-0005-0000-0000-000000030000}"/>
    <cellStyle name="40% - 강조색4 2 11 5" xfId="777" xr:uid="{00000000-0005-0000-0000-000001030000}"/>
    <cellStyle name="40% - 강조색4 2 11 6" xfId="778" xr:uid="{00000000-0005-0000-0000-000002030000}"/>
    <cellStyle name="40% - 강조색4 2 12" xfId="779" xr:uid="{00000000-0005-0000-0000-000003030000}"/>
    <cellStyle name="40% - 강조색4 2 12 2" xfId="780" xr:uid="{00000000-0005-0000-0000-000004030000}"/>
    <cellStyle name="40% - 강조색4 2 12 3" xfId="781" xr:uid="{00000000-0005-0000-0000-000005030000}"/>
    <cellStyle name="40% - 강조색4 2 12 4" xfId="782" xr:uid="{00000000-0005-0000-0000-000006030000}"/>
    <cellStyle name="40% - 강조색4 2 12 5" xfId="783" xr:uid="{00000000-0005-0000-0000-000007030000}"/>
    <cellStyle name="40% - 강조색4 2 12 6" xfId="784" xr:uid="{00000000-0005-0000-0000-000008030000}"/>
    <cellStyle name="40% - 강조색4 2 13" xfId="785" xr:uid="{00000000-0005-0000-0000-000009030000}"/>
    <cellStyle name="40% - 강조색4 2 13 2" xfId="786" xr:uid="{00000000-0005-0000-0000-00000A030000}"/>
    <cellStyle name="40% - 강조색4 2 13 3" xfId="787" xr:uid="{00000000-0005-0000-0000-00000B030000}"/>
    <cellStyle name="40% - 강조색4 2 13 4" xfId="788" xr:uid="{00000000-0005-0000-0000-00000C030000}"/>
    <cellStyle name="40% - 강조색4 2 13 5" xfId="789" xr:uid="{00000000-0005-0000-0000-00000D030000}"/>
    <cellStyle name="40% - 강조색4 2 13 6" xfId="790" xr:uid="{00000000-0005-0000-0000-00000E030000}"/>
    <cellStyle name="40% - 강조색4 2 14" xfId="791" xr:uid="{00000000-0005-0000-0000-00000F030000}"/>
    <cellStyle name="40% - 강조색4 2 14 2" xfId="792" xr:uid="{00000000-0005-0000-0000-000010030000}"/>
    <cellStyle name="40% - 강조색4 2 14 3" xfId="793" xr:uid="{00000000-0005-0000-0000-000011030000}"/>
    <cellStyle name="40% - 강조색4 2 14 4" xfId="794" xr:uid="{00000000-0005-0000-0000-000012030000}"/>
    <cellStyle name="40% - 강조색4 2 14 5" xfId="795" xr:uid="{00000000-0005-0000-0000-000013030000}"/>
    <cellStyle name="40% - 강조색4 2 14 6" xfId="796" xr:uid="{00000000-0005-0000-0000-000014030000}"/>
    <cellStyle name="40% - 강조색4 2 15" xfId="797" xr:uid="{00000000-0005-0000-0000-000015030000}"/>
    <cellStyle name="40% - 강조색4 2 16" xfId="798" xr:uid="{00000000-0005-0000-0000-000016030000}"/>
    <cellStyle name="40% - 강조색4 2 17" xfId="799" xr:uid="{00000000-0005-0000-0000-000017030000}"/>
    <cellStyle name="40% - 강조색4 2 18" xfId="800" xr:uid="{00000000-0005-0000-0000-000018030000}"/>
    <cellStyle name="40% - 강조색4 2 19" xfId="801" xr:uid="{00000000-0005-0000-0000-000019030000}"/>
    <cellStyle name="40% - 강조색4 2 2" xfId="802" xr:uid="{00000000-0005-0000-0000-00001A030000}"/>
    <cellStyle name="40% - 강조색4 2 2 2" xfId="803" xr:uid="{00000000-0005-0000-0000-00001B030000}"/>
    <cellStyle name="40% - 강조색4 2 2 3" xfId="804" xr:uid="{00000000-0005-0000-0000-00001C030000}"/>
    <cellStyle name="40% - 강조색4 2 2 4" xfId="805" xr:uid="{00000000-0005-0000-0000-00001D030000}"/>
    <cellStyle name="40% - 강조색4 2 2 5" xfId="806" xr:uid="{00000000-0005-0000-0000-00001E030000}"/>
    <cellStyle name="40% - 강조색4 2 2 6" xfId="807" xr:uid="{00000000-0005-0000-0000-00001F030000}"/>
    <cellStyle name="40% - 강조색4 2 3" xfId="808" xr:uid="{00000000-0005-0000-0000-000020030000}"/>
    <cellStyle name="40% - 강조색4 2 3 2" xfId="809" xr:uid="{00000000-0005-0000-0000-000021030000}"/>
    <cellStyle name="40% - 강조색4 2 3 3" xfId="810" xr:uid="{00000000-0005-0000-0000-000022030000}"/>
    <cellStyle name="40% - 강조색4 2 3 4" xfId="811" xr:uid="{00000000-0005-0000-0000-000023030000}"/>
    <cellStyle name="40% - 강조색4 2 3 5" xfId="812" xr:uid="{00000000-0005-0000-0000-000024030000}"/>
    <cellStyle name="40% - 강조색4 2 3 6" xfId="813" xr:uid="{00000000-0005-0000-0000-000025030000}"/>
    <cellStyle name="40% - 강조색4 2 4" xfId="814" xr:uid="{00000000-0005-0000-0000-000026030000}"/>
    <cellStyle name="40% - 강조색4 2 4 2" xfId="815" xr:uid="{00000000-0005-0000-0000-000027030000}"/>
    <cellStyle name="40% - 강조색4 2 4 3" xfId="816" xr:uid="{00000000-0005-0000-0000-000028030000}"/>
    <cellStyle name="40% - 강조색4 2 4 4" xfId="817" xr:uid="{00000000-0005-0000-0000-000029030000}"/>
    <cellStyle name="40% - 강조색4 2 4 5" xfId="818" xr:uid="{00000000-0005-0000-0000-00002A030000}"/>
    <cellStyle name="40% - 강조색4 2 4 6" xfId="819" xr:uid="{00000000-0005-0000-0000-00002B030000}"/>
    <cellStyle name="40% - 강조색4 2 5" xfId="820" xr:uid="{00000000-0005-0000-0000-00002C030000}"/>
    <cellStyle name="40% - 강조색4 2 5 2" xfId="821" xr:uid="{00000000-0005-0000-0000-00002D030000}"/>
    <cellStyle name="40% - 강조색4 2 5 3" xfId="822" xr:uid="{00000000-0005-0000-0000-00002E030000}"/>
    <cellStyle name="40% - 강조색4 2 5 4" xfId="823" xr:uid="{00000000-0005-0000-0000-00002F030000}"/>
    <cellStyle name="40% - 강조색4 2 5 5" xfId="824" xr:uid="{00000000-0005-0000-0000-000030030000}"/>
    <cellStyle name="40% - 강조색4 2 5 6" xfId="825" xr:uid="{00000000-0005-0000-0000-000031030000}"/>
    <cellStyle name="40% - 강조색4 2 6" xfId="826" xr:uid="{00000000-0005-0000-0000-000032030000}"/>
    <cellStyle name="40% - 강조색4 2 6 2" xfId="827" xr:uid="{00000000-0005-0000-0000-000033030000}"/>
    <cellStyle name="40% - 강조색4 2 6 3" xfId="828" xr:uid="{00000000-0005-0000-0000-000034030000}"/>
    <cellStyle name="40% - 강조색4 2 6 4" xfId="829" xr:uid="{00000000-0005-0000-0000-000035030000}"/>
    <cellStyle name="40% - 강조색4 2 6 5" xfId="830" xr:uid="{00000000-0005-0000-0000-000036030000}"/>
    <cellStyle name="40% - 강조색4 2 6 6" xfId="831" xr:uid="{00000000-0005-0000-0000-000037030000}"/>
    <cellStyle name="40% - 강조색4 2 7" xfId="832" xr:uid="{00000000-0005-0000-0000-000038030000}"/>
    <cellStyle name="40% - 강조색4 2 7 2" xfId="833" xr:uid="{00000000-0005-0000-0000-000039030000}"/>
    <cellStyle name="40% - 강조색4 2 7 3" xfId="834" xr:uid="{00000000-0005-0000-0000-00003A030000}"/>
    <cellStyle name="40% - 강조색4 2 7 4" xfId="835" xr:uid="{00000000-0005-0000-0000-00003B030000}"/>
    <cellStyle name="40% - 강조색4 2 7 5" xfId="836" xr:uid="{00000000-0005-0000-0000-00003C030000}"/>
    <cellStyle name="40% - 강조색4 2 7 6" xfId="837" xr:uid="{00000000-0005-0000-0000-00003D030000}"/>
    <cellStyle name="40% - 강조색4 2 8" xfId="838" xr:uid="{00000000-0005-0000-0000-00003E030000}"/>
    <cellStyle name="40% - 강조색4 2 8 2" xfId="839" xr:uid="{00000000-0005-0000-0000-00003F030000}"/>
    <cellStyle name="40% - 강조색4 2 8 3" xfId="840" xr:uid="{00000000-0005-0000-0000-000040030000}"/>
    <cellStyle name="40% - 강조색4 2 8 4" xfId="841" xr:uid="{00000000-0005-0000-0000-000041030000}"/>
    <cellStyle name="40% - 강조색4 2 8 5" xfId="842" xr:uid="{00000000-0005-0000-0000-000042030000}"/>
    <cellStyle name="40% - 강조색4 2 8 6" xfId="843" xr:uid="{00000000-0005-0000-0000-000043030000}"/>
    <cellStyle name="40% - 강조색4 2 9" xfId="844" xr:uid="{00000000-0005-0000-0000-000044030000}"/>
    <cellStyle name="40% - 강조색4 2 9 2" xfId="845" xr:uid="{00000000-0005-0000-0000-000045030000}"/>
    <cellStyle name="40% - 강조색4 2 9 3" xfId="846" xr:uid="{00000000-0005-0000-0000-000046030000}"/>
    <cellStyle name="40% - 강조색4 2 9 4" xfId="847" xr:uid="{00000000-0005-0000-0000-000047030000}"/>
    <cellStyle name="40% - 강조색4 2 9 5" xfId="848" xr:uid="{00000000-0005-0000-0000-000048030000}"/>
    <cellStyle name="40% - 강조색4 2 9 6" xfId="849" xr:uid="{00000000-0005-0000-0000-000049030000}"/>
    <cellStyle name="40% - 강조색5 2" xfId="850" xr:uid="{00000000-0005-0000-0000-00004A030000}"/>
    <cellStyle name="40% - 강조색5 2 10" xfId="851" xr:uid="{00000000-0005-0000-0000-00004B030000}"/>
    <cellStyle name="40% - 강조색5 2 10 2" xfId="852" xr:uid="{00000000-0005-0000-0000-00004C030000}"/>
    <cellStyle name="40% - 강조색5 2 10 3" xfId="853" xr:uid="{00000000-0005-0000-0000-00004D030000}"/>
    <cellStyle name="40% - 강조색5 2 10 4" xfId="854" xr:uid="{00000000-0005-0000-0000-00004E030000}"/>
    <cellStyle name="40% - 강조색5 2 10 5" xfId="855" xr:uid="{00000000-0005-0000-0000-00004F030000}"/>
    <cellStyle name="40% - 강조색5 2 10 6" xfId="856" xr:uid="{00000000-0005-0000-0000-000050030000}"/>
    <cellStyle name="40% - 강조색5 2 11" xfId="857" xr:uid="{00000000-0005-0000-0000-000051030000}"/>
    <cellStyle name="40% - 강조색5 2 11 2" xfId="858" xr:uid="{00000000-0005-0000-0000-000052030000}"/>
    <cellStyle name="40% - 강조색5 2 11 3" xfId="859" xr:uid="{00000000-0005-0000-0000-000053030000}"/>
    <cellStyle name="40% - 강조색5 2 11 4" xfId="860" xr:uid="{00000000-0005-0000-0000-000054030000}"/>
    <cellStyle name="40% - 강조색5 2 11 5" xfId="861" xr:uid="{00000000-0005-0000-0000-000055030000}"/>
    <cellStyle name="40% - 강조색5 2 11 6" xfId="862" xr:uid="{00000000-0005-0000-0000-000056030000}"/>
    <cellStyle name="40% - 강조색5 2 12" xfId="863" xr:uid="{00000000-0005-0000-0000-000057030000}"/>
    <cellStyle name="40% - 강조색5 2 12 2" xfId="864" xr:uid="{00000000-0005-0000-0000-000058030000}"/>
    <cellStyle name="40% - 강조색5 2 12 3" xfId="865" xr:uid="{00000000-0005-0000-0000-000059030000}"/>
    <cellStyle name="40% - 강조색5 2 12 4" xfId="866" xr:uid="{00000000-0005-0000-0000-00005A030000}"/>
    <cellStyle name="40% - 강조색5 2 12 5" xfId="867" xr:uid="{00000000-0005-0000-0000-00005B030000}"/>
    <cellStyle name="40% - 강조색5 2 12 6" xfId="868" xr:uid="{00000000-0005-0000-0000-00005C030000}"/>
    <cellStyle name="40% - 강조색5 2 13" xfId="869" xr:uid="{00000000-0005-0000-0000-00005D030000}"/>
    <cellStyle name="40% - 강조색5 2 13 2" xfId="870" xr:uid="{00000000-0005-0000-0000-00005E030000}"/>
    <cellStyle name="40% - 강조색5 2 13 3" xfId="871" xr:uid="{00000000-0005-0000-0000-00005F030000}"/>
    <cellStyle name="40% - 강조색5 2 13 4" xfId="872" xr:uid="{00000000-0005-0000-0000-000060030000}"/>
    <cellStyle name="40% - 강조색5 2 13 5" xfId="873" xr:uid="{00000000-0005-0000-0000-000061030000}"/>
    <cellStyle name="40% - 강조색5 2 13 6" xfId="874" xr:uid="{00000000-0005-0000-0000-000062030000}"/>
    <cellStyle name="40% - 강조색5 2 14" xfId="875" xr:uid="{00000000-0005-0000-0000-000063030000}"/>
    <cellStyle name="40% - 강조색5 2 14 2" xfId="876" xr:uid="{00000000-0005-0000-0000-000064030000}"/>
    <cellStyle name="40% - 강조색5 2 14 3" xfId="877" xr:uid="{00000000-0005-0000-0000-000065030000}"/>
    <cellStyle name="40% - 강조색5 2 14 4" xfId="878" xr:uid="{00000000-0005-0000-0000-000066030000}"/>
    <cellStyle name="40% - 강조색5 2 14 5" xfId="879" xr:uid="{00000000-0005-0000-0000-000067030000}"/>
    <cellStyle name="40% - 강조색5 2 14 6" xfId="880" xr:uid="{00000000-0005-0000-0000-000068030000}"/>
    <cellStyle name="40% - 강조색5 2 15" xfId="881" xr:uid="{00000000-0005-0000-0000-000069030000}"/>
    <cellStyle name="40% - 강조색5 2 16" xfId="882" xr:uid="{00000000-0005-0000-0000-00006A030000}"/>
    <cellStyle name="40% - 강조색5 2 17" xfId="883" xr:uid="{00000000-0005-0000-0000-00006B030000}"/>
    <cellStyle name="40% - 강조색5 2 18" xfId="884" xr:uid="{00000000-0005-0000-0000-00006C030000}"/>
    <cellStyle name="40% - 강조색5 2 19" xfId="885" xr:uid="{00000000-0005-0000-0000-00006D030000}"/>
    <cellStyle name="40% - 강조색5 2 2" xfId="886" xr:uid="{00000000-0005-0000-0000-00006E030000}"/>
    <cellStyle name="40% - 강조색5 2 2 2" xfId="887" xr:uid="{00000000-0005-0000-0000-00006F030000}"/>
    <cellStyle name="40% - 강조색5 2 2 3" xfId="888" xr:uid="{00000000-0005-0000-0000-000070030000}"/>
    <cellStyle name="40% - 강조색5 2 2 4" xfId="889" xr:uid="{00000000-0005-0000-0000-000071030000}"/>
    <cellStyle name="40% - 강조색5 2 2 5" xfId="890" xr:uid="{00000000-0005-0000-0000-000072030000}"/>
    <cellStyle name="40% - 강조색5 2 2 6" xfId="891" xr:uid="{00000000-0005-0000-0000-000073030000}"/>
    <cellStyle name="40% - 강조색5 2 3" xfId="892" xr:uid="{00000000-0005-0000-0000-000074030000}"/>
    <cellStyle name="40% - 강조색5 2 3 2" xfId="893" xr:uid="{00000000-0005-0000-0000-000075030000}"/>
    <cellStyle name="40% - 강조색5 2 3 3" xfId="894" xr:uid="{00000000-0005-0000-0000-000076030000}"/>
    <cellStyle name="40% - 강조색5 2 3 4" xfId="895" xr:uid="{00000000-0005-0000-0000-000077030000}"/>
    <cellStyle name="40% - 강조색5 2 3 5" xfId="896" xr:uid="{00000000-0005-0000-0000-000078030000}"/>
    <cellStyle name="40% - 강조색5 2 3 6" xfId="897" xr:uid="{00000000-0005-0000-0000-000079030000}"/>
    <cellStyle name="40% - 강조색5 2 4" xfId="898" xr:uid="{00000000-0005-0000-0000-00007A030000}"/>
    <cellStyle name="40% - 강조색5 2 4 2" xfId="899" xr:uid="{00000000-0005-0000-0000-00007B030000}"/>
    <cellStyle name="40% - 강조색5 2 4 3" xfId="900" xr:uid="{00000000-0005-0000-0000-00007C030000}"/>
    <cellStyle name="40% - 강조색5 2 4 4" xfId="901" xr:uid="{00000000-0005-0000-0000-00007D030000}"/>
    <cellStyle name="40% - 강조색5 2 4 5" xfId="902" xr:uid="{00000000-0005-0000-0000-00007E030000}"/>
    <cellStyle name="40% - 강조색5 2 4 6" xfId="903" xr:uid="{00000000-0005-0000-0000-00007F030000}"/>
    <cellStyle name="40% - 강조색5 2 5" xfId="904" xr:uid="{00000000-0005-0000-0000-000080030000}"/>
    <cellStyle name="40% - 강조색5 2 5 2" xfId="905" xr:uid="{00000000-0005-0000-0000-000081030000}"/>
    <cellStyle name="40% - 강조색5 2 5 3" xfId="906" xr:uid="{00000000-0005-0000-0000-000082030000}"/>
    <cellStyle name="40% - 강조색5 2 5 4" xfId="907" xr:uid="{00000000-0005-0000-0000-000083030000}"/>
    <cellStyle name="40% - 강조색5 2 5 5" xfId="908" xr:uid="{00000000-0005-0000-0000-000084030000}"/>
    <cellStyle name="40% - 강조색5 2 5 6" xfId="909" xr:uid="{00000000-0005-0000-0000-000085030000}"/>
    <cellStyle name="40% - 강조색5 2 6" xfId="910" xr:uid="{00000000-0005-0000-0000-000086030000}"/>
    <cellStyle name="40% - 강조색5 2 6 2" xfId="911" xr:uid="{00000000-0005-0000-0000-000087030000}"/>
    <cellStyle name="40% - 강조색5 2 6 3" xfId="912" xr:uid="{00000000-0005-0000-0000-000088030000}"/>
    <cellStyle name="40% - 강조색5 2 6 4" xfId="913" xr:uid="{00000000-0005-0000-0000-000089030000}"/>
    <cellStyle name="40% - 강조색5 2 6 5" xfId="914" xr:uid="{00000000-0005-0000-0000-00008A030000}"/>
    <cellStyle name="40% - 강조색5 2 6 6" xfId="915" xr:uid="{00000000-0005-0000-0000-00008B030000}"/>
    <cellStyle name="40% - 강조색5 2 7" xfId="916" xr:uid="{00000000-0005-0000-0000-00008C030000}"/>
    <cellStyle name="40% - 강조색5 2 7 2" xfId="917" xr:uid="{00000000-0005-0000-0000-00008D030000}"/>
    <cellStyle name="40% - 강조색5 2 7 3" xfId="918" xr:uid="{00000000-0005-0000-0000-00008E030000}"/>
    <cellStyle name="40% - 강조색5 2 7 4" xfId="919" xr:uid="{00000000-0005-0000-0000-00008F030000}"/>
    <cellStyle name="40% - 강조색5 2 7 5" xfId="920" xr:uid="{00000000-0005-0000-0000-000090030000}"/>
    <cellStyle name="40% - 강조색5 2 7 6" xfId="921" xr:uid="{00000000-0005-0000-0000-000091030000}"/>
    <cellStyle name="40% - 강조색5 2 8" xfId="922" xr:uid="{00000000-0005-0000-0000-000092030000}"/>
    <cellStyle name="40% - 강조색5 2 8 2" xfId="923" xr:uid="{00000000-0005-0000-0000-000093030000}"/>
    <cellStyle name="40% - 강조색5 2 8 3" xfId="924" xr:uid="{00000000-0005-0000-0000-000094030000}"/>
    <cellStyle name="40% - 강조색5 2 8 4" xfId="925" xr:uid="{00000000-0005-0000-0000-000095030000}"/>
    <cellStyle name="40% - 강조색5 2 8 5" xfId="926" xr:uid="{00000000-0005-0000-0000-000096030000}"/>
    <cellStyle name="40% - 강조색5 2 8 6" xfId="927" xr:uid="{00000000-0005-0000-0000-000097030000}"/>
    <cellStyle name="40% - 강조색5 2 9" xfId="928" xr:uid="{00000000-0005-0000-0000-000098030000}"/>
    <cellStyle name="40% - 강조색5 2 9 2" xfId="929" xr:uid="{00000000-0005-0000-0000-000099030000}"/>
    <cellStyle name="40% - 강조색5 2 9 3" xfId="930" xr:uid="{00000000-0005-0000-0000-00009A030000}"/>
    <cellStyle name="40% - 강조색5 2 9 4" xfId="931" xr:uid="{00000000-0005-0000-0000-00009B030000}"/>
    <cellStyle name="40% - 강조색5 2 9 5" xfId="932" xr:uid="{00000000-0005-0000-0000-00009C030000}"/>
    <cellStyle name="40% - 강조색5 2 9 6" xfId="933" xr:uid="{00000000-0005-0000-0000-00009D030000}"/>
    <cellStyle name="40% - 강조색6 2" xfId="934" xr:uid="{00000000-0005-0000-0000-00009E030000}"/>
    <cellStyle name="40% - 강조색6 2 10" xfId="935" xr:uid="{00000000-0005-0000-0000-00009F030000}"/>
    <cellStyle name="40% - 강조색6 2 10 2" xfId="936" xr:uid="{00000000-0005-0000-0000-0000A0030000}"/>
    <cellStyle name="40% - 강조색6 2 10 3" xfId="937" xr:uid="{00000000-0005-0000-0000-0000A1030000}"/>
    <cellStyle name="40% - 강조색6 2 10 4" xfId="938" xr:uid="{00000000-0005-0000-0000-0000A2030000}"/>
    <cellStyle name="40% - 강조색6 2 10 5" xfId="939" xr:uid="{00000000-0005-0000-0000-0000A3030000}"/>
    <cellStyle name="40% - 강조색6 2 10 6" xfId="940" xr:uid="{00000000-0005-0000-0000-0000A4030000}"/>
    <cellStyle name="40% - 강조색6 2 11" xfId="941" xr:uid="{00000000-0005-0000-0000-0000A5030000}"/>
    <cellStyle name="40% - 강조색6 2 11 2" xfId="942" xr:uid="{00000000-0005-0000-0000-0000A6030000}"/>
    <cellStyle name="40% - 강조색6 2 11 3" xfId="943" xr:uid="{00000000-0005-0000-0000-0000A7030000}"/>
    <cellStyle name="40% - 강조색6 2 11 4" xfId="944" xr:uid="{00000000-0005-0000-0000-0000A8030000}"/>
    <cellStyle name="40% - 강조색6 2 11 5" xfId="945" xr:uid="{00000000-0005-0000-0000-0000A9030000}"/>
    <cellStyle name="40% - 강조색6 2 11 6" xfId="946" xr:uid="{00000000-0005-0000-0000-0000AA030000}"/>
    <cellStyle name="40% - 강조색6 2 12" xfId="947" xr:uid="{00000000-0005-0000-0000-0000AB030000}"/>
    <cellStyle name="40% - 강조색6 2 12 2" xfId="948" xr:uid="{00000000-0005-0000-0000-0000AC030000}"/>
    <cellStyle name="40% - 강조색6 2 12 3" xfId="949" xr:uid="{00000000-0005-0000-0000-0000AD030000}"/>
    <cellStyle name="40% - 강조색6 2 12 4" xfId="950" xr:uid="{00000000-0005-0000-0000-0000AE030000}"/>
    <cellStyle name="40% - 강조색6 2 12 5" xfId="951" xr:uid="{00000000-0005-0000-0000-0000AF030000}"/>
    <cellStyle name="40% - 강조색6 2 12 6" xfId="952" xr:uid="{00000000-0005-0000-0000-0000B0030000}"/>
    <cellStyle name="40% - 강조색6 2 13" xfId="953" xr:uid="{00000000-0005-0000-0000-0000B1030000}"/>
    <cellStyle name="40% - 강조색6 2 13 2" xfId="954" xr:uid="{00000000-0005-0000-0000-0000B2030000}"/>
    <cellStyle name="40% - 강조색6 2 13 3" xfId="955" xr:uid="{00000000-0005-0000-0000-0000B3030000}"/>
    <cellStyle name="40% - 강조색6 2 13 4" xfId="956" xr:uid="{00000000-0005-0000-0000-0000B4030000}"/>
    <cellStyle name="40% - 강조색6 2 13 5" xfId="957" xr:uid="{00000000-0005-0000-0000-0000B5030000}"/>
    <cellStyle name="40% - 강조색6 2 13 6" xfId="958" xr:uid="{00000000-0005-0000-0000-0000B6030000}"/>
    <cellStyle name="40% - 강조색6 2 14" xfId="959" xr:uid="{00000000-0005-0000-0000-0000B7030000}"/>
    <cellStyle name="40% - 강조색6 2 14 2" xfId="960" xr:uid="{00000000-0005-0000-0000-0000B8030000}"/>
    <cellStyle name="40% - 강조색6 2 14 3" xfId="961" xr:uid="{00000000-0005-0000-0000-0000B9030000}"/>
    <cellStyle name="40% - 강조색6 2 14 4" xfId="962" xr:uid="{00000000-0005-0000-0000-0000BA030000}"/>
    <cellStyle name="40% - 강조색6 2 14 5" xfId="963" xr:uid="{00000000-0005-0000-0000-0000BB030000}"/>
    <cellStyle name="40% - 강조색6 2 14 6" xfId="964" xr:uid="{00000000-0005-0000-0000-0000BC030000}"/>
    <cellStyle name="40% - 강조색6 2 15" xfId="965" xr:uid="{00000000-0005-0000-0000-0000BD030000}"/>
    <cellStyle name="40% - 강조색6 2 16" xfId="966" xr:uid="{00000000-0005-0000-0000-0000BE030000}"/>
    <cellStyle name="40% - 강조색6 2 17" xfId="967" xr:uid="{00000000-0005-0000-0000-0000BF030000}"/>
    <cellStyle name="40% - 강조색6 2 18" xfId="968" xr:uid="{00000000-0005-0000-0000-0000C0030000}"/>
    <cellStyle name="40% - 강조색6 2 19" xfId="969" xr:uid="{00000000-0005-0000-0000-0000C1030000}"/>
    <cellStyle name="40% - 강조색6 2 2" xfId="970" xr:uid="{00000000-0005-0000-0000-0000C2030000}"/>
    <cellStyle name="40% - 강조색6 2 2 2" xfId="971" xr:uid="{00000000-0005-0000-0000-0000C3030000}"/>
    <cellStyle name="40% - 강조색6 2 2 3" xfId="972" xr:uid="{00000000-0005-0000-0000-0000C4030000}"/>
    <cellStyle name="40% - 강조색6 2 2 4" xfId="973" xr:uid="{00000000-0005-0000-0000-0000C5030000}"/>
    <cellStyle name="40% - 강조색6 2 2 5" xfId="974" xr:uid="{00000000-0005-0000-0000-0000C6030000}"/>
    <cellStyle name="40% - 강조색6 2 2 6" xfId="975" xr:uid="{00000000-0005-0000-0000-0000C7030000}"/>
    <cellStyle name="40% - 강조색6 2 3" xfId="976" xr:uid="{00000000-0005-0000-0000-0000C8030000}"/>
    <cellStyle name="40% - 강조색6 2 3 2" xfId="977" xr:uid="{00000000-0005-0000-0000-0000C9030000}"/>
    <cellStyle name="40% - 강조색6 2 3 3" xfId="978" xr:uid="{00000000-0005-0000-0000-0000CA030000}"/>
    <cellStyle name="40% - 강조색6 2 3 4" xfId="979" xr:uid="{00000000-0005-0000-0000-0000CB030000}"/>
    <cellStyle name="40% - 강조색6 2 3 5" xfId="980" xr:uid="{00000000-0005-0000-0000-0000CC030000}"/>
    <cellStyle name="40% - 강조색6 2 3 6" xfId="981" xr:uid="{00000000-0005-0000-0000-0000CD030000}"/>
    <cellStyle name="40% - 강조색6 2 4" xfId="982" xr:uid="{00000000-0005-0000-0000-0000CE030000}"/>
    <cellStyle name="40% - 강조색6 2 4 2" xfId="983" xr:uid="{00000000-0005-0000-0000-0000CF030000}"/>
    <cellStyle name="40% - 강조색6 2 4 3" xfId="984" xr:uid="{00000000-0005-0000-0000-0000D0030000}"/>
    <cellStyle name="40% - 강조색6 2 4 4" xfId="985" xr:uid="{00000000-0005-0000-0000-0000D1030000}"/>
    <cellStyle name="40% - 강조색6 2 4 5" xfId="986" xr:uid="{00000000-0005-0000-0000-0000D2030000}"/>
    <cellStyle name="40% - 강조색6 2 4 6" xfId="987" xr:uid="{00000000-0005-0000-0000-0000D3030000}"/>
    <cellStyle name="40% - 강조색6 2 5" xfId="988" xr:uid="{00000000-0005-0000-0000-0000D4030000}"/>
    <cellStyle name="40% - 강조색6 2 5 2" xfId="989" xr:uid="{00000000-0005-0000-0000-0000D5030000}"/>
    <cellStyle name="40% - 강조색6 2 5 3" xfId="990" xr:uid="{00000000-0005-0000-0000-0000D6030000}"/>
    <cellStyle name="40% - 강조색6 2 5 4" xfId="991" xr:uid="{00000000-0005-0000-0000-0000D7030000}"/>
    <cellStyle name="40% - 강조색6 2 5 5" xfId="992" xr:uid="{00000000-0005-0000-0000-0000D8030000}"/>
    <cellStyle name="40% - 강조색6 2 5 6" xfId="993" xr:uid="{00000000-0005-0000-0000-0000D9030000}"/>
    <cellStyle name="40% - 강조색6 2 6" xfId="994" xr:uid="{00000000-0005-0000-0000-0000DA030000}"/>
    <cellStyle name="40% - 강조색6 2 6 2" xfId="995" xr:uid="{00000000-0005-0000-0000-0000DB030000}"/>
    <cellStyle name="40% - 강조색6 2 6 3" xfId="996" xr:uid="{00000000-0005-0000-0000-0000DC030000}"/>
    <cellStyle name="40% - 강조색6 2 6 4" xfId="997" xr:uid="{00000000-0005-0000-0000-0000DD030000}"/>
    <cellStyle name="40% - 강조색6 2 6 5" xfId="998" xr:uid="{00000000-0005-0000-0000-0000DE030000}"/>
    <cellStyle name="40% - 강조색6 2 6 6" xfId="999" xr:uid="{00000000-0005-0000-0000-0000DF030000}"/>
    <cellStyle name="40% - 강조색6 2 7" xfId="1000" xr:uid="{00000000-0005-0000-0000-0000E0030000}"/>
    <cellStyle name="40% - 강조색6 2 7 2" xfId="1001" xr:uid="{00000000-0005-0000-0000-0000E1030000}"/>
    <cellStyle name="40% - 강조색6 2 7 3" xfId="1002" xr:uid="{00000000-0005-0000-0000-0000E2030000}"/>
    <cellStyle name="40% - 강조색6 2 7 4" xfId="1003" xr:uid="{00000000-0005-0000-0000-0000E3030000}"/>
    <cellStyle name="40% - 강조색6 2 7 5" xfId="1004" xr:uid="{00000000-0005-0000-0000-0000E4030000}"/>
    <cellStyle name="40% - 강조색6 2 7 6" xfId="1005" xr:uid="{00000000-0005-0000-0000-0000E5030000}"/>
    <cellStyle name="40% - 강조색6 2 8" xfId="1006" xr:uid="{00000000-0005-0000-0000-0000E6030000}"/>
    <cellStyle name="40% - 강조색6 2 8 2" xfId="1007" xr:uid="{00000000-0005-0000-0000-0000E7030000}"/>
    <cellStyle name="40% - 강조색6 2 8 3" xfId="1008" xr:uid="{00000000-0005-0000-0000-0000E8030000}"/>
    <cellStyle name="40% - 강조색6 2 8 4" xfId="1009" xr:uid="{00000000-0005-0000-0000-0000E9030000}"/>
    <cellStyle name="40% - 강조색6 2 8 5" xfId="1010" xr:uid="{00000000-0005-0000-0000-0000EA030000}"/>
    <cellStyle name="40% - 강조색6 2 8 6" xfId="1011" xr:uid="{00000000-0005-0000-0000-0000EB030000}"/>
    <cellStyle name="40% - 강조색6 2 9" xfId="1012" xr:uid="{00000000-0005-0000-0000-0000EC030000}"/>
    <cellStyle name="40% - 강조색6 2 9 2" xfId="1013" xr:uid="{00000000-0005-0000-0000-0000ED030000}"/>
    <cellStyle name="40% - 강조색6 2 9 3" xfId="1014" xr:uid="{00000000-0005-0000-0000-0000EE030000}"/>
    <cellStyle name="40% - 강조색6 2 9 4" xfId="1015" xr:uid="{00000000-0005-0000-0000-0000EF030000}"/>
    <cellStyle name="40% - 강조색6 2 9 5" xfId="1016" xr:uid="{00000000-0005-0000-0000-0000F0030000}"/>
    <cellStyle name="40% - 강조색6 2 9 6" xfId="1017" xr:uid="{00000000-0005-0000-0000-0000F1030000}"/>
    <cellStyle name="60% - 강조색1 2" xfId="1018" xr:uid="{00000000-0005-0000-0000-0000F2030000}"/>
    <cellStyle name="60% - 강조색2 2" xfId="1019" xr:uid="{00000000-0005-0000-0000-0000F3030000}"/>
    <cellStyle name="60% - 강조색3 2" xfId="1020" xr:uid="{00000000-0005-0000-0000-0000F4030000}"/>
    <cellStyle name="60% - 강조색4 2" xfId="1021" xr:uid="{00000000-0005-0000-0000-0000F5030000}"/>
    <cellStyle name="60% - 강조색5 2" xfId="1022" xr:uid="{00000000-0005-0000-0000-0000F6030000}"/>
    <cellStyle name="60% - 강조색6 2" xfId="1023" xr:uid="{00000000-0005-0000-0000-0000F7030000}"/>
    <cellStyle name="aryInformation" xfId="3130" xr:uid="{00000000-0005-0000-0000-0000F8030000}"/>
    <cellStyle name="category" xfId="1024" xr:uid="{00000000-0005-0000-0000-0000F9030000}"/>
    <cellStyle name="Comma" xfId="1025" xr:uid="{00000000-0005-0000-0000-0000FA030000}"/>
    <cellStyle name="Comma [0]_판매계획 (2)" xfId="3131" xr:uid="{00000000-0005-0000-0000-0000FB030000}"/>
    <cellStyle name="Comma [0]Ctls" xfId="3132" xr:uid="{00000000-0005-0000-0000-0000FC030000}"/>
    <cellStyle name="Comma_판매계획 (2)" xfId="3133" xr:uid="{00000000-0005-0000-0000-0000FD030000}"/>
    <cellStyle name="CRevision Log" xfId="3134" xr:uid="{00000000-0005-0000-0000-0000FE030000}"/>
    <cellStyle name="Currency" xfId="1026" xr:uid="{00000000-0005-0000-0000-0000FF030000}"/>
    <cellStyle name="Currency [0]_판매계획 (2)" xfId="3135" xr:uid="{00000000-0005-0000-0000-000000040000}"/>
    <cellStyle name="Currency_판매계획 (2)" xfId="3136" xr:uid="{00000000-0005-0000-0000-000001040000}"/>
    <cellStyle name="Date" xfId="1027" xr:uid="{00000000-0005-0000-0000-000002040000}"/>
    <cellStyle name="Fixed" xfId="1028" xr:uid="{00000000-0005-0000-0000-000003040000}"/>
    <cellStyle name="Grey" xfId="1029" xr:uid="{00000000-0005-0000-0000-000004040000}"/>
    <cellStyle name="HEADER" xfId="1030" xr:uid="{00000000-0005-0000-0000-000005040000}"/>
    <cellStyle name="Header1" xfId="1031" xr:uid="{00000000-0005-0000-0000-000006040000}"/>
    <cellStyle name="Header2" xfId="1032" xr:uid="{00000000-0005-0000-0000-000007040000}"/>
    <cellStyle name="Heading1" xfId="1033" xr:uid="{00000000-0005-0000-0000-000008040000}"/>
    <cellStyle name="Heading2" xfId="1034" xr:uid="{00000000-0005-0000-0000-000009040000}"/>
    <cellStyle name="Input [yellow]" xfId="1035" xr:uid="{00000000-0005-0000-0000-00000A040000}"/>
    <cellStyle name="kbook" xfId="3137" xr:uid="{00000000-0005-0000-0000-00000B040000}"/>
    <cellStyle name="Model" xfId="1036" xr:uid="{00000000-0005-0000-0000-00000C040000}"/>
    <cellStyle name="Normal - Style1" xfId="1037" xr:uid="{00000000-0005-0000-0000-00000D040000}"/>
    <cellStyle name="Normal_Certs Q2" xfId="3138" xr:uid="{00000000-0005-0000-0000-00000E040000}"/>
    <cellStyle name="OJECT_CUR" xfId="3139" xr:uid="{00000000-0005-0000-0000-00000F040000}"/>
    <cellStyle name="on" xfId="3140" xr:uid="{00000000-0005-0000-0000-000010040000}"/>
    <cellStyle name="Percent" xfId="1038" xr:uid="{00000000-0005-0000-0000-000011040000}"/>
    <cellStyle name="Percent [2]" xfId="1039" xr:uid="{00000000-0005-0000-0000-000012040000}"/>
    <cellStyle name="subhead" xfId="1040" xr:uid="{00000000-0005-0000-0000-000013040000}"/>
    <cellStyle name="Total" xfId="1041" xr:uid="{00000000-0005-0000-0000-000014040000}"/>
    <cellStyle name="yInformation" xfId="3141" xr:uid="{00000000-0005-0000-0000-000015040000}"/>
    <cellStyle name="ㄱ" xfId="3142" xr:uid="{00000000-0005-0000-0000-000016040000}"/>
    <cellStyle name="강조색1 2" xfId="1042" xr:uid="{00000000-0005-0000-0000-000017040000}"/>
    <cellStyle name="강조색2 2" xfId="1043" xr:uid="{00000000-0005-0000-0000-000018040000}"/>
    <cellStyle name="강조색3 2" xfId="1044" xr:uid="{00000000-0005-0000-0000-000019040000}"/>
    <cellStyle name="강조색4 2" xfId="1045" xr:uid="{00000000-0005-0000-0000-00001A040000}"/>
    <cellStyle name="강조색5 2" xfId="1046" xr:uid="{00000000-0005-0000-0000-00001B040000}"/>
    <cellStyle name="강조색6 2" xfId="1047" xr:uid="{00000000-0005-0000-0000-00001C040000}"/>
    <cellStyle name="경고문 2" xfId="1048" xr:uid="{00000000-0005-0000-0000-00001D040000}"/>
    <cellStyle name="계산 2" xfId="1049" xr:uid="{00000000-0005-0000-0000-00001E040000}"/>
    <cellStyle name="나쁨 2" xfId="1050" xr:uid="{00000000-0005-0000-0000-00001F040000}"/>
    <cellStyle name="메모 2" xfId="1051" xr:uid="{00000000-0005-0000-0000-000020040000}"/>
    <cellStyle name="백분율" xfId="8" builtinId="5"/>
    <cellStyle name="백분율 10" xfId="3297" xr:uid="{00000000-0005-0000-0000-000022040000}"/>
    <cellStyle name="백분율 11" xfId="3518" xr:uid="{00000000-0005-0000-0000-000023040000}"/>
    <cellStyle name="백분율 12" xfId="1052" xr:uid="{00000000-0005-0000-0000-000024040000}"/>
    <cellStyle name="백분율 2" xfId="3" xr:uid="{00000000-0005-0000-0000-000025040000}"/>
    <cellStyle name="백분율 2 10" xfId="1054" xr:uid="{00000000-0005-0000-0000-000026040000}"/>
    <cellStyle name="백분율 2 10 2" xfId="1055" xr:uid="{00000000-0005-0000-0000-000027040000}"/>
    <cellStyle name="백분율 2 10 3" xfId="1056" xr:uid="{00000000-0005-0000-0000-000028040000}"/>
    <cellStyle name="백분율 2 11" xfId="1057" xr:uid="{00000000-0005-0000-0000-000029040000}"/>
    <cellStyle name="백분율 2 11 2" xfId="1058" xr:uid="{00000000-0005-0000-0000-00002A040000}"/>
    <cellStyle name="백분율 2 11 3" xfId="1059" xr:uid="{00000000-0005-0000-0000-00002B040000}"/>
    <cellStyle name="백분율 2 12" xfId="1060" xr:uid="{00000000-0005-0000-0000-00002C040000}"/>
    <cellStyle name="백분율 2 12 2" xfId="1061" xr:uid="{00000000-0005-0000-0000-00002D040000}"/>
    <cellStyle name="백분율 2 12 3" xfId="1062" xr:uid="{00000000-0005-0000-0000-00002E040000}"/>
    <cellStyle name="백분율 2 13" xfId="1063" xr:uid="{00000000-0005-0000-0000-00002F040000}"/>
    <cellStyle name="백분율 2 14" xfId="1064" xr:uid="{00000000-0005-0000-0000-000030040000}"/>
    <cellStyle name="백분율 2 15" xfId="1065" xr:uid="{00000000-0005-0000-0000-000031040000}"/>
    <cellStyle name="백분율 2 16" xfId="1066" xr:uid="{00000000-0005-0000-0000-000032040000}"/>
    <cellStyle name="백분율 2 17" xfId="1067" xr:uid="{00000000-0005-0000-0000-000033040000}"/>
    <cellStyle name="백분율 2 18" xfId="1068" xr:uid="{00000000-0005-0000-0000-000034040000}"/>
    <cellStyle name="백분율 2 19" xfId="1069" xr:uid="{00000000-0005-0000-0000-000035040000}"/>
    <cellStyle name="백분율 2 2" xfId="1070" xr:uid="{00000000-0005-0000-0000-000036040000}"/>
    <cellStyle name="백분율 2 2 10" xfId="1071" xr:uid="{00000000-0005-0000-0000-000037040000}"/>
    <cellStyle name="백분율 2 2 2" xfId="1072" xr:uid="{00000000-0005-0000-0000-000038040000}"/>
    <cellStyle name="백분율 2 2 2 2" xfId="1073" xr:uid="{00000000-0005-0000-0000-000039040000}"/>
    <cellStyle name="백분율 2 2 2 2 2" xfId="1074" xr:uid="{00000000-0005-0000-0000-00003A040000}"/>
    <cellStyle name="백분율 2 2 2 2 3" xfId="1075" xr:uid="{00000000-0005-0000-0000-00003B040000}"/>
    <cellStyle name="백분율 2 2 3" xfId="1076" xr:uid="{00000000-0005-0000-0000-00003C040000}"/>
    <cellStyle name="백분율 2 2 4" xfId="1077" xr:uid="{00000000-0005-0000-0000-00003D040000}"/>
    <cellStyle name="백분율 2 2 5" xfId="1078" xr:uid="{00000000-0005-0000-0000-00003E040000}"/>
    <cellStyle name="백분율 2 2 5 2" xfId="1079" xr:uid="{00000000-0005-0000-0000-00003F040000}"/>
    <cellStyle name="백분율 2 2 5 3" xfId="1080" xr:uid="{00000000-0005-0000-0000-000040040000}"/>
    <cellStyle name="백분율 2 2 5 3 2" xfId="1081" xr:uid="{00000000-0005-0000-0000-000041040000}"/>
    <cellStyle name="백분율 2 2 5 4" xfId="1082" xr:uid="{00000000-0005-0000-0000-000042040000}"/>
    <cellStyle name="백분율 2 2 6" xfId="1083" xr:uid="{00000000-0005-0000-0000-000043040000}"/>
    <cellStyle name="백분율 2 2 6 2" xfId="1084" xr:uid="{00000000-0005-0000-0000-000044040000}"/>
    <cellStyle name="백분율 2 2 6 2 2" xfId="1085" xr:uid="{00000000-0005-0000-0000-000045040000}"/>
    <cellStyle name="백분율 2 2 7" xfId="1086" xr:uid="{00000000-0005-0000-0000-000046040000}"/>
    <cellStyle name="백분율 2 2 8" xfId="1087" xr:uid="{00000000-0005-0000-0000-000047040000}"/>
    <cellStyle name="백분율 2 2 9" xfId="1088" xr:uid="{00000000-0005-0000-0000-000048040000}"/>
    <cellStyle name="백분율 2 20" xfId="1089" xr:uid="{00000000-0005-0000-0000-000049040000}"/>
    <cellStyle name="백분율 2 21" xfId="1090" xr:uid="{00000000-0005-0000-0000-00004A040000}"/>
    <cellStyle name="백분율 2 22" xfId="1091" xr:uid="{00000000-0005-0000-0000-00004B040000}"/>
    <cellStyle name="백분율 2 23" xfId="1092" xr:uid="{00000000-0005-0000-0000-00004C040000}"/>
    <cellStyle name="백분율 2 24" xfId="1093" xr:uid="{00000000-0005-0000-0000-00004D040000}"/>
    <cellStyle name="백분율 2 25" xfId="1094" xr:uid="{00000000-0005-0000-0000-00004E040000}"/>
    <cellStyle name="백분율 2 25 2" xfId="1095" xr:uid="{00000000-0005-0000-0000-00004F040000}"/>
    <cellStyle name="백분율 2 26" xfId="3144" xr:uid="{00000000-0005-0000-0000-000050040000}"/>
    <cellStyle name="백분율 2 27" xfId="1053" xr:uid="{00000000-0005-0000-0000-000051040000}"/>
    <cellStyle name="백분율 2 3" xfId="1096" xr:uid="{00000000-0005-0000-0000-000052040000}"/>
    <cellStyle name="백분율 2 3 2" xfId="1097" xr:uid="{00000000-0005-0000-0000-000053040000}"/>
    <cellStyle name="백분율 2 3 2 2" xfId="1098" xr:uid="{00000000-0005-0000-0000-000054040000}"/>
    <cellStyle name="백분율 2 3 2 2 2" xfId="1099" xr:uid="{00000000-0005-0000-0000-000055040000}"/>
    <cellStyle name="백분율 2 3 2 3" xfId="1100" xr:uid="{00000000-0005-0000-0000-000056040000}"/>
    <cellStyle name="백분율 2 3 3" xfId="1101" xr:uid="{00000000-0005-0000-0000-000057040000}"/>
    <cellStyle name="백분율 2 3 4" xfId="1102" xr:uid="{00000000-0005-0000-0000-000058040000}"/>
    <cellStyle name="백분율 2 3 5" xfId="1103" xr:uid="{00000000-0005-0000-0000-000059040000}"/>
    <cellStyle name="백분율 2 3 6" xfId="1104" xr:uid="{00000000-0005-0000-0000-00005A040000}"/>
    <cellStyle name="백분율 2 3 7" xfId="1105" xr:uid="{00000000-0005-0000-0000-00005B040000}"/>
    <cellStyle name="백분율 2 4" xfId="1106" xr:uid="{00000000-0005-0000-0000-00005C040000}"/>
    <cellStyle name="백분율 2 4 2" xfId="1107" xr:uid="{00000000-0005-0000-0000-00005D040000}"/>
    <cellStyle name="백분율 2 4 2 2" xfId="1108" xr:uid="{00000000-0005-0000-0000-00005E040000}"/>
    <cellStyle name="백분율 2 4 3" xfId="1109" xr:uid="{00000000-0005-0000-0000-00005F040000}"/>
    <cellStyle name="백분율 2 5" xfId="1110" xr:uid="{00000000-0005-0000-0000-000060040000}"/>
    <cellStyle name="백분율 2 5 2" xfId="1111" xr:uid="{00000000-0005-0000-0000-000061040000}"/>
    <cellStyle name="백분율 2 5 3" xfId="1112" xr:uid="{00000000-0005-0000-0000-000062040000}"/>
    <cellStyle name="백분율 2 6" xfId="1113" xr:uid="{00000000-0005-0000-0000-000063040000}"/>
    <cellStyle name="백분율 2 6 2" xfId="1114" xr:uid="{00000000-0005-0000-0000-000064040000}"/>
    <cellStyle name="백분율 2 6 3" xfId="1115" xr:uid="{00000000-0005-0000-0000-000065040000}"/>
    <cellStyle name="백분율 2 7" xfId="1116" xr:uid="{00000000-0005-0000-0000-000066040000}"/>
    <cellStyle name="백분율 2 7 2" xfId="1117" xr:uid="{00000000-0005-0000-0000-000067040000}"/>
    <cellStyle name="백분율 2 7 3" xfId="1118" xr:uid="{00000000-0005-0000-0000-000068040000}"/>
    <cellStyle name="백분율 2 8" xfId="1119" xr:uid="{00000000-0005-0000-0000-000069040000}"/>
    <cellStyle name="백분율 2 8 2" xfId="1120" xr:uid="{00000000-0005-0000-0000-00006A040000}"/>
    <cellStyle name="백분율 2 8 3" xfId="1121" xr:uid="{00000000-0005-0000-0000-00006B040000}"/>
    <cellStyle name="백분율 2 9" xfId="1122" xr:uid="{00000000-0005-0000-0000-00006C040000}"/>
    <cellStyle name="백분율 2 9 2" xfId="1123" xr:uid="{00000000-0005-0000-0000-00006D040000}"/>
    <cellStyle name="백분율 2 9 3" xfId="1124" xr:uid="{00000000-0005-0000-0000-00006E040000}"/>
    <cellStyle name="백분율 24" xfId="1125" xr:uid="{00000000-0005-0000-0000-00006F040000}"/>
    <cellStyle name="백분율 24 2" xfId="1126" xr:uid="{00000000-0005-0000-0000-000070040000}"/>
    <cellStyle name="백분율 3" xfId="3114" xr:uid="{00000000-0005-0000-0000-000071040000}"/>
    <cellStyle name="백분율 3 2" xfId="1127" xr:uid="{00000000-0005-0000-0000-000072040000}"/>
    <cellStyle name="백분율 3 3" xfId="1128" xr:uid="{00000000-0005-0000-0000-000073040000}"/>
    <cellStyle name="백분율 4" xfId="3124" xr:uid="{00000000-0005-0000-0000-000074040000}"/>
    <cellStyle name="백분율 5" xfId="3143" xr:uid="{00000000-0005-0000-0000-000075040000}"/>
    <cellStyle name="백분율 6" xfId="3174" xr:uid="{00000000-0005-0000-0000-000076040000}"/>
    <cellStyle name="백분율 7" xfId="3183" xr:uid="{00000000-0005-0000-0000-000077040000}"/>
    <cellStyle name="백분율 8" xfId="3196" xr:uid="{00000000-0005-0000-0000-000078040000}"/>
    <cellStyle name="백분율 9" xfId="3239" xr:uid="{00000000-0005-0000-0000-000079040000}"/>
    <cellStyle name="보통 2" xfId="1129" xr:uid="{00000000-0005-0000-0000-00007A040000}"/>
    <cellStyle name="설명 텍스트 2" xfId="1130" xr:uid="{00000000-0005-0000-0000-00007B040000}"/>
    <cellStyle name="셀 확인 2" xfId="1131" xr:uid="{00000000-0005-0000-0000-00007C040000}"/>
    <cellStyle name="쉼표 [0]" xfId="1" builtinId="6"/>
    <cellStyle name="쉼표 [0] 10" xfId="1133" xr:uid="{00000000-0005-0000-0000-00007E040000}"/>
    <cellStyle name="쉼표 [0] 10 10" xfId="1134" xr:uid="{00000000-0005-0000-0000-00007F040000}"/>
    <cellStyle name="쉼표 [0] 10 11" xfId="1135" xr:uid="{00000000-0005-0000-0000-000080040000}"/>
    <cellStyle name="쉼표 [0] 10 12" xfId="1136" xr:uid="{00000000-0005-0000-0000-000081040000}"/>
    <cellStyle name="쉼표 [0] 10 2" xfId="1137" xr:uid="{00000000-0005-0000-0000-000082040000}"/>
    <cellStyle name="쉼표 [0] 10 3" xfId="1138" xr:uid="{00000000-0005-0000-0000-000083040000}"/>
    <cellStyle name="쉼표 [0] 10 4" xfId="1139" xr:uid="{00000000-0005-0000-0000-000084040000}"/>
    <cellStyle name="쉼표 [0] 10 5" xfId="1140" xr:uid="{00000000-0005-0000-0000-000085040000}"/>
    <cellStyle name="쉼표 [0] 10 6" xfId="1141" xr:uid="{00000000-0005-0000-0000-000086040000}"/>
    <cellStyle name="쉼표 [0] 10 7" xfId="1142" xr:uid="{00000000-0005-0000-0000-000087040000}"/>
    <cellStyle name="쉼표 [0] 10 8" xfId="1143" xr:uid="{00000000-0005-0000-0000-000088040000}"/>
    <cellStyle name="쉼표 [0] 10 9" xfId="1144" xr:uid="{00000000-0005-0000-0000-000089040000}"/>
    <cellStyle name="쉼표 [0] 11" xfId="1145" xr:uid="{00000000-0005-0000-0000-00008A040000}"/>
    <cellStyle name="쉼표 [0] 11 10" xfId="1146" xr:uid="{00000000-0005-0000-0000-00008B040000}"/>
    <cellStyle name="쉼표 [0] 11 11" xfId="1147" xr:uid="{00000000-0005-0000-0000-00008C040000}"/>
    <cellStyle name="쉼표 [0] 11 12" xfId="1148" xr:uid="{00000000-0005-0000-0000-00008D040000}"/>
    <cellStyle name="쉼표 [0] 11 2" xfId="1149" xr:uid="{00000000-0005-0000-0000-00008E040000}"/>
    <cellStyle name="쉼표 [0] 11 3" xfId="1150" xr:uid="{00000000-0005-0000-0000-00008F040000}"/>
    <cellStyle name="쉼표 [0] 11 4" xfId="1151" xr:uid="{00000000-0005-0000-0000-000090040000}"/>
    <cellStyle name="쉼표 [0] 11 5" xfId="1152" xr:uid="{00000000-0005-0000-0000-000091040000}"/>
    <cellStyle name="쉼표 [0] 11 6" xfId="1153" xr:uid="{00000000-0005-0000-0000-000092040000}"/>
    <cellStyle name="쉼표 [0] 11 7" xfId="1154" xr:uid="{00000000-0005-0000-0000-000093040000}"/>
    <cellStyle name="쉼표 [0] 11 8" xfId="1155" xr:uid="{00000000-0005-0000-0000-000094040000}"/>
    <cellStyle name="쉼표 [0] 11 9" xfId="1156" xr:uid="{00000000-0005-0000-0000-000095040000}"/>
    <cellStyle name="쉼표 [0] 12" xfId="1157" xr:uid="{00000000-0005-0000-0000-000096040000}"/>
    <cellStyle name="쉼표 [0] 12 2" xfId="1158" xr:uid="{00000000-0005-0000-0000-000097040000}"/>
    <cellStyle name="쉼표 [0] 12 2 2" xfId="1159" xr:uid="{00000000-0005-0000-0000-000098040000}"/>
    <cellStyle name="쉼표 [0] 12 2 2 2" xfId="1160" xr:uid="{00000000-0005-0000-0000-000099040000}"/>
    <cellStyle name="쉼표 [0] 12 2 2 2 2" xfId="1161" xr:uid="{00000000-0005-0000-0000-00009A040000}"/>
    <cellStyle name="쉼표 [0] 12 2 3" xfId="1162" xr:uid="{00000000-0005-0000-0000-00009B040000}"/>
    <cellStyle name="쉼표 [0] 12 2 4" xfId="1163" xr:uid="{00000000-0005-0000-0000-00009C040000}"/>
    <cellStyle name="쉼표 [0] 12 2 5" xfId="1164" xr:uid="{00000000-0005-0000-0000-00009D040000}"/>
    <cellStyle name="쉼표 [0] 12 2 6" xfId="1165" xr:uid="{00000000-0005-0000-0000-00009E040000}"/>
    <cellStyle name="쉼표 [0] 12 3" xfId="1166" xr:uid="{00000000-0005-0000-0000-00009F040000}"/>
    <cellStyle name="쉼표 [0] 12 3 2" xfId="1167" xr:uid="{00000000-0005-0000-0000-0000A0040000}"/>
    <cellStyle name="쉼표 [0] 12 3 2 2" xfId="1168" xr:uid="{00000000-0005-0000-0000-0000A1040000}"/>
    <cellStyle name="쉼표 [0] 12 3 2 2 2" xfId="1169" xr:uid="{00000000-0005-0000-0000-0000A2040000}"/>
    <cellStyle name="쉼표 [0] 12 3 3" xfId="1170" xr:uid="{00000000-0005-0000-0000-0000A3040000}"/>
    <cellStyle name="쉼표 [0] 12 3 4" xfId="1171" xr:uid="{00000000-0005-0000-0000-0000A4040000}"/>
    <cellStyle name="쉼표 [0] 12 3 5" xfId="1172" xr:uid="{00000000-0005-0000-0000-0000A5040000}"/>
    <cellStyle name="쉼표 [0] 12 3 6" xfId="1173" xr:uid="{00000000-0005-0000-0000-0000A6040000}"/>
    <cellStyle name="쉼표 [0] 12 4" xfId="1174" xr:uid="{00000000-0005-0000-0000-0000A7040000}"/>
    <cellStyle name="쉼표 [0] 12 4 2" xfId="1175" xr:uid="{00000000-0005-0000-0000-0000A8040000}"/>
    <cellStyle name="쉼표 [0] 12 4 2 2" xfId="1176" xr:uid="{00000000-0005-0000-0000-0000A9040000}"/>
    <cellStyle name="쉼표 [0] 12 4 2 2 2" xfId="1177" xr:uid="{00000000-0005-0000-0000-0000AA040000}"/>
    <cellStyle name="쉼표 [0] 12 4 3" xfId="1178" xr:uid="{00000000-0005-0000-0000-0000AB040000}"/>
    <cellStyle name="쉼표 [0] 12 4 4" xfId="1179" xr:uid="{00000000-0005-0000-0000-0000AC040000}"/>
    <cellStyle name="쉼표 [0] 12 4 5" xfId="1180" xr:uid="{00000000-0005-0000-0000-0000AD040000}"/>
    <cellStyle name="쉼표 [0] 12 4 6" xfId="1181" xr:uid="{00000000-0005-0000-0000-0000AE040000}"/>
    <cellStyle name="쉼표 [0] 12 5" xfId="1182" xr:uid="{00000000-0005-0000-0000-0000AF040000}"/>
    <cellStyle name="쉼표 [0] 12 5 2" xfId="1183" xr:uid="{00000000-0005-0000-0000-0000B0040000}"/>
    <cellStyle name="쉼표 [0] 12 5 2 2" xfId="1184" xr:uid="{00000000-0005-0000-0000-0000B1040000}"/>
    <cellStyle name="쉼표 [0] 12 6" xfId="1185" xr:uid="{00000000-0005-0000-0000-0000B2040000}"/>
    <cellStyle name="쉼표 [0] 12 7" xfId="1186" xr:uid="{00000000-0005-0000-0000-0000B3040000}"/>
    <cellStyle name="쉼표 [0] 12 8" xfId="1187" xr:uid="{00000000-0005-0000-0000-0000B4040000}"/>
    <cellStyle name="쉼표 [0] 12 9" xfId="1188" xr:uid="{00000000-0005-0000-0000-0000B5040000}"/>
    <cellStyle name="쉼표 [0] 13" xfId="1189" xr:uid="{00000000-0005-0000-0000-0000B6040000}"/>
    <cellStyle name="쉼표 [0] 13 10" xfId="1190" xr:uid="{00000000-0005-0000-0000-0000B7040000}"/>
    <cellStyle name="쉼표 [0] 13 11" xfId="1191" xr:uid="{00000000-0005-0000-0000-0000B8040000}"/>
    <cellStyle name="쉼표 [0] 13 12" xfId="1192" xr:uid="{00000000-0005-0000-0000-0000B9040000}"/>
    <cellStyle name="쉼표 [0] 13 2" xfId="1193" xr:uid="{00000000-0005-0000-0000-0000BA040000}"/>
    <cellStyle name="쉼표 [0] 13 2 2" xfId="1194" xr:uid="{00000000-0005-0000-0000-0000BB040000}"/>
    <cellStyle name="쉼표 [0] 13 2 2 2" xfId="1195" xr:uid="{00000000-0005-0000-0000-0000BC040000}"/>
    <cellStyle name="쉼표 [0] 13 2 2 2 2" xfId="1196" xr:uid="{00000000-0005-0000-0000-0000BD040000}"/>
    <cellStyle name="쉼표 [0] 13 2 3" xfId="1197" xr:uid="{00000000-0005-0000-0000-0000BE040000}"/>
    <cellStyle name="쉼표 [0] 13 2 4" xfId="1198" xr:uid="{00000000-0005-0000-0000-0000BF040000}"/>
    <cellStyle name="쉼표 [0] 13 2 5" xfId="1199" xr:uid="{00000000-0005-0000-0000-0000C0040000}"/>
    <cellStyle name="쉼표 [0] 13 2 6" xfId="1200" xr:uid="{00000000-0005-0000-0000-0000C1040000}"/>
    <cellStyle name="쉼표 [0] 13 3" xfId="1201" xr:uid="{00000000-0005-0000-0000-0000C2040000}"/>
    <cellStyle name="쉼표 [0] 13 3 2" xfId="1202" xr:uid="{00000000-0005-0000-0000-0000C3040000}"/>
    <cellStyle name="쉼표 [0] 13 3 2 2" xfId="1203" xr:uid="{00000000-0005-0000-0000-0000C4040000}"/>
    <cellStyle name="쉼표 [0] 13 3 2 2 2" xfId="1204" xr:uid="{00000000-0005-0000-0000-0000C5040000}"/>
    <cellStyle name="쉼표 [0] 13 3 3" xfId="1205" xr:uid="{00000000-0005-0000-0000-0000C6040000}"/>
    <cellStyle name="쉼표 [0] 13 3 4" xfId="1206" xr:uid="{00000000-0005-0000-0000-0000C7040000}"/>
    <cellStyle name="쉼표 [0] 13 3 5" xfId="1207" xr:uid="{00000000-0005-0000-0000-0000C8040000}"/>
    <cellStyle name="쉼표 [0] 13 3 6" xfId="1208" xr:uid="{00000000-0005-0000-0000-0000C9040000}"/>
    <cellStyle name="쉼표 [0] 13 4" xfId="1209" xr:uid="{00000000-0005-0000-0000-0000CA040000}"/>
    <cellStyle name="쉼표 [0] 13 4 2" xfId="1210" xr:uid="{00000000-0005-0000-0000-0000CB040000}"/>
    <cellStyle name="쉼표 [0] 13 4 2 2" xfId="1211" xr:uid="{00000000-0005-0000-0000-0000CC040000}"/>
    <cellStyle name="쉼표 [0] 13 4 2 2 2" xfId="1212" xr:uid="{00000000-0005-0000-0000-0000CD040000}"/>
    <cellStyle name="쉼표 [0] 13 4 3" xfId="1213" xr:uid="{00000000-0005-0000-0000-0000CE040000}"/>
    <cellStyle name="쉼표 [0] 13 4 4" xfId="1214" xr:uid="{00000000-0005-0000-0000-0000CF040000}"/>
    <cellStyle name="쉼표 [0] 13 4 5" xfId="1215" xr:uid="{00000000-0005-0000-0000-0000D0040000}"/>
    <cellStyle name="쉼표 [0] 13 4 6" xfId="1216" xr:uid="{00000000-0005-0000-0000-0000D1040000}"/>
    <cellStyle name="쉼표 [0] 13 5" xfId="1217" xr:uid="{00000000-0005-0000-0000-0000D2040000}"/>
    <cellStyle name="쉼표 [0] 13 5 2" xfId="1218" xr:uid="{00000000-0005-0000-0000-0000D3040000}"/>
    <cellStyle name="쉼표 [0] 13 5 2 2" xfId="1219" xr:uid="{00000000-0005-0000-0000-0000D4040000}"/>
    <cellStyle name="쉼표 [0] 13 5 2 2 2" xfId="1220" xr:uid="{00000000-0005-0000-0000-0000D5040000}"/>
    <cellStyle name="쉼표 [0] 13 5 3" xfId="1221" xr:uid="{00000000-0005-0000-0000-0000D6040000}"/>
    <cellStyle name="쉼표 [0] 13 5 4" xfId="1222" xr:uid="{00000000-0005-0000-0000-0000D7040000}"/>
    <cellStyle name="쉼표 [0] 13 5 5" xfId="1223" xr:uid="{00000000-0005-0000-0000-0000D8040000}"/>
    <cellStyle name="쉼표 [0] 13 5 6" xfId="1224" xr:uid="{00000000-0005-0000-0000-0000D9040000}"/>
    <cellStyle name="쉼표 [0] 13 6" xfId="1225" xr:uid="{00000000-0005-0000-0000-0000DA040000}"/>
    <cellStyle name="쉼표 [0] 13 6 2" xfId="1226" xr:uid="{00000000-0005-0000-0000-0000DB040000}"/>
    <cellStyle name="쉼표 [0] 13 6 2 2" xfId="1227" xr:uid="{00000000-0005-0000-0000-0000DC040000}"/>
    <cellStyle name="쉼표 [0] 13 6 2 2 2" xfId="1228" xr:uid="{00000000-0005-0000-0000-0000DD040000}"/>
    <cellStyle name="쉼표 [0] 13 6 3" xfId="1229" xr:uid="{00000000-0005-0000-0000-0000DE040000}"/>
    <cellStyle name="쉼표 [0] 13 6 4" xfId="1230" xr:uid="{00000000-0005-0000-0000-0000DF040000}"/>
    <cellStyle name="쉼표 [0] 13 6 5" xfId="1231" xr:uid="{00000000-0005-0000-0000-0000E0040000}"/>
    <cellStyle name="쉼표 [0] 13 6 6" xfId="1232" xr:uid="{00000000-0005-0000-0000-0000E1040000}"/>
    <cellStyle name="쉼표 [0] 13 7" xfId="1233" xr:uid="{00000000-0005-0000-0000-0000E2040000}"/>
    <cellStyle name="쉼표 [0] 13 7 2" xfId="1234" xr:uid="{00000000-0005-0000-0000-0000E3040000}"/>
    <cellStyle name="쉼표 [0] 13 7 2 2" xfId="1235" xr:uid="{00000000-0005-0000-0000-0000E4040000}"/>
    <cellStyle name="쉼표 [0] 13 7 2 2 2" xfId="1236" xr:uid="{00000000-0005-0000-0000-0000E5040000}"/>
    <cellStyle name="쉼표 [0] 13 7 3" xfId="1237" xr:uid="{00000000-0005-0000-0000-0000E6040000}"/>
    <cellStyle name="쉼표 [0] 13 7 4" xfId="1238" xr:uid="{00000000-0005-0000-0000-0000E7040000}"/>
    <cellStyle name="쉼표 [0] 13 7 5" xfId="1239" xr:uid="{00000000-0005-0000-0000-0000E8040000}"/>
    <cellStyle name="쉼표 [0] 13 7 6" xfId="1240" xr:uid="{00000000-0005-0000-0000-0000E9040000}"/>
    <cellStyle name="쉼표 [0] 13 8" xfId="1241" xr:uid="{00000000-0005-0000-0000-0000EA040000}"/>
    <cellStyle name="쉼표 [0] 13 8 2" xfId="1242" xr:uid="{00000000-0005-0000-0000-0000EB040000}"/>
    <cellStyle name="쉼표 [0] 13 8 2 2" xfId="1243" xr:uid="{00000000-0005-0000-0000-0000EC040000}"/>
    <cellStyle name="쉼표 [0] 13 9" xfId="1244" xr:uid="{00000000-0005-0000-0000-0000ED040000}"/>
    <cellStyle name="쉼표 [0] 14" xfId="3115" xr:uid="{00000000-0005-0000-0000-0000EE040000}"/>
    <cellStyle name="쉼표 [0] 14 2" xfId="1245" xr:uid="{00000000-0005-0000-0000-0000EF040000}"/>
    <cellStyle name="쉼표 [0] 14 3" xfId="1246" xr:uid="{00000000-0005-0000-0000-0000F0040000}"/>
    <cellStyle name="쉼표 [0] 15" xfId="1247" xr:uid="{00000000-0005-0000-0000-0000F1040000}"/>
    <cellStyle name="쉼표 [0] 16" xfId="1248" xr:uid="{00000000-0005-0000-0000-0000F2040000}"/>
    <cellStyle name="쉼표 [0] 17" xfId="1249" xr:uid="{00000000-0005-0000-0000-0000F3040000}"/>
    <cellStyle name="쉼표 [0] 18" xfId="1250" xr:uid="{00000000-0005-0000-0000-0000F4040000}"/>
    <cellStyle name="쉼표 [0] 19" xfId="1251" xr:uid="{00000000-0005-0000-0000-0000F5040000}"/>
    <cellStyle name="쉼표 [0] 2" xfId="4" xr:uid="{00000000-0005-0000-0000-0000F6040000}"/>
    <cellStyle name="쉼표 [0] 2 10" xfId="1253" xr:uid="{00000000-0005-0000-0000-0000F7040000}"/>
    <cellStyle name="쉼표 [0] 2 10 2" xfId="1254" xr:uid="{00000000-0005-0000-0000-0000F8040000}"/>
    <cellStyle name="쉼표 [0] 2 10 2 2" xfId="1255" xr:uid="{00000000-0005-0000-0000-0000F9040000}"/>
    <cellStyle name="쉼표 [0] 2 10 2 2 2" xfId="1256" xr:uid="{00000000-0005-0000-0000-0000FA040000}"/>
    <cellStyle name="쉼표 [0] 2 10 2 3" xfId="1257" xr:uid="{00000000-0005-0000-0000-0000FB040000}"/>
    <cellStyle name="쉼표 [0] 2 10 3" xfId="1258" xr:uid="{00000000-0005-0000-0000-0000FC040000}"/>
    <cellStyle name="쉼표 [0] 2 10 4" xfId="1259" xr:uid="{00000000-0005-0000-0000-0000FD040000}"/>
    <cellStyle name="쉼표 [0] 2 10 5" xfId="1260" xr:uid="{00000000-0005-0000-0000-0000FE040000}"/>
    <cellStyle name="쉼표 [0] 2 10 6" xfId="1261" xr:uid="{00000000-0005-0000-0000-0000FF040000}"/>
    <cellStyle name="쉼표 [0] 2 10 7" xfId="1262" xr:uid="{00000000-0005-0000-0000-000000050000}"/>
    <cellStyle name="쉼표 [0] 2 11" xfId="1263" xr:uid="{00000000-0005-0000-0000-000001050000}"/>
    <cellStyle name="쉼표 [0] 2 11 2" xfId="1264" xr:uid="{00000000-0005-0000-0000-000002050000}"/>
    <cellStyle name="쉼표 [0] 2 11 2 2" xfId="1265" xr:uid="{00000000-0005-0000-0000-000003050000}"/>
    <cellStyle name="쉼표 [0] 2 11 2 2 2" xfId="1266" xr:uid="{00000000-0005-0000-0000-000004050000}"/>
    <cellStyle name="쉼표 [0] 2 11 2 3" xfId="1267" xr:uid="{00000000-0005-0000-0000-000005050000}"/>
    <cellStyle name="쉼표 [0] 2 11 3" xfId="1268" xr:uid="{00000000-0005-0000-0000-000006050000}"/>
    <cellStyle name="쉼표 [0] 2 11 4" xfId="1269" xr:uid="{00000000-0005-0000-0000-000007050000}"/>
    <cellStyle name="쉼표 [0] 2 11 5" xfId="1270" xr:uid="{00000000-0005-0000-0000-000008050000}"/>
    <cellStyle name="쉼표 [0] 2 11 6" xfId="1271" xr:uid="{00000000-0005-0000-0000-000009050000}"/>
    <cellStyle name="쉼표 [0] 2 11 7" xfId="1272" xr:uid="{00000000-0005-0000-0000-00000A050000}"/>
    <cellStyle name="쉼표 [0] 2 12" xfId="1273" xr:uid="{00000000-0005-0000-0000-00000B050000}"/>
    <cellStyle name="쉼표 [0] 2 12 2" xfId="1274" xr:uid="{00000000-0005-0000-0000-00000C050000}"/>
    <cellStyle name="쉼표 [0] 2 12 2 2" xfId="1275" xr:uid="{00000000-0005-0000-0000-00000D050000}"/>
    <cellStyle name="쉼표 [0] 2 12 2 2 2" xfId="1276" xr:uid="{00000000-0005-0000-0000-00000E050000}"/>
    <cellStyle name="쉼표 [0] 2 12 2 3" xfId="1277" xr:uid="{00000000-0005-0000-0000-00000F050000}"/>
    <cellStyle name="쉼표 [0] 2 12 3" xfId="1278" xr:uid="{00000000-0005-0000-0000-000010050000}"/>
    <cellStyle name="쉼표 [0] 2 12 4" xfId="1279" xr:uid="{00000000-0005-0000-0000-000011050000}"/>
    <cellStyle name="쉼표 [0] 2 12 5" xfId="1280" xr:uid="{00000000-0005-0000-0000-000012050000}"/>
    <cellStyle name="쉼표 [0] 2 12 6" xfId="1281" xr:uid="{00000000-0005-0000-0000-000013050000}"/>
    <cellStyle name="쉼표 [0] 2 12 7" xfId="1282" xr:uid="{00000000-0005-0000-0000-000014050000}"/>
    <cellStyle name="쉼표 [0] 2 13" xfId="1283" xr:uid="{00000000-0005-0000-0000-000015050000}"/>
    <cellStyle name="쉼표 [0] 2 13 2" xfId="1284" xr:uid="{00000000-0005-0000-0000-000016050000}"/>
    <cellStyle name="쉼표 [0] 2 13 2 2" xfId="1285" xr:uid="{00000000-0005-0000-0000-000017050000}"/>
    <cellStyle name="쉼표 [0] 2 13 2 2 2" xfId="1286" xr:uid="{00000000-0005-0000-0000-000018050000}"/>
    <cellStyle name="쉼표 [0] 2 13 2 3" xfId="1287" xr:uid="{00000000-0005-0000-0000-000019050000}"/>
    <cellStyle name="쉼표 [0] 2 13 3" xfId="1288" xr:uid="{00000000-0005-0000-0000-00001A050000}"/>
    <cellStyle name="쉼표 [0] 2 13 4" xfId="1289" xr:uid="{00000000-0005-0000-0000-00001B050000}"/>
    <cellStyle name="쉼표 [0] 2 13 5" xfId="1290" xr:uid="{00000000-0005-0000-0000-00001C050000}"/>
    <cellStyle name="쉼표 [0] 2 13 6" xfId="1291" xr:uid="{00000000-0005-0000-0000-00001D050000}"/>
    <cellStyle name="쉼표 [0] 2 13 7" xfId="1292" xr:uid="{00000000-0005-0000-0000-00001E050000}"/>
    <cellStyle name="쉼표 [0] 2 14" xfId="1293" xr:uid="{00000000-0005-0000-0000-00001F050000}"/>
    <cellStyle name="쉼표 [0] 2 14 2" xfId="1294" xr:uid="{00000000-0005-0000-0000-000020050000}"/>
    <cellStyle name="쉼표 [0] 2 14 2 2" xfId="1295" xr:uid="{00000000-0005-0000-0000-000021050000}"/>
    <cellStyle name="쉼표 [0] 2 14 2 2 2" xfId="1296" xr:uid="{00000000-0005-0000-0000-000022050000}"/>
    <cellStyle name="쉼표 [0] 2 14 2 3" xfId="1297" xr:uid="{00000000-0005-0000-0000-000023050000}"/>
    <cellStyle name="쉼표 [0] 2 14 3" xfId="1298" xr:uid="{00000000-0005-0000-0000-000024050000}"/>
    <cellStyle name="쉼표 [0] 2 14 4" xfId="1299" xr:uid="{00000000-0005-0000-0000-000025050000}"/>
    <cellStyle name="쉼표 [0] 2 14 5" xfId="1300" xr:uid="{00000000-0005-0000-0000-000026050000}"/>
    <cellStyle name="쉼표 [0] 2 14 6" xfId="1301" xr:uid="{00000000-0005-0000-0000-000027050000}"/>
    <cellStyle name="쉼표 [0] 2 14 7" xfId="1302" xr:uid="{00000000-0005-0000-0000-000028050000}"/>
    <cellStyle name="쉼표 [0] 2 15" xfId="1303" xr:uid="{00000000-0005-0000-0000-000029050000}"/>
    <cellStyle name="쉼표 [0] 2 15 2" xfId="1304" xr:uid="{00000000-0005-0000-0000-00002A050000}"/>
    <cellStyle name="쉼표 [0] 2 15 2 2" xfId="1305" xr:uid="{00000000-0005-0000-0000-00002B050000}"/>
    <cellStyle name="쉼표 [0] 2 15 2 2 2" xfId="1306" xr:uid="{00000000-0005-0000-0000-00002C050000}"/>
    <cellStyle name="쉼표 [0] 2 15 2 3" xfId="1307" xr:uid="{00000000-0005-0000-0000-00002D050000}"/>
    <cellStyle name="쉼표 [0] 2 15 3" xfId="1308" xr:uid="{00000000-0005-0000-0000-00002E050000}"/>
    <cellStyle name="쉼표 [0] 2 15 4" xfId="1309" xr:uid="{00000000-0005-0000-0000-00002F050000}"/>
    <cellStyle name="쉼표 [0] 2 15 5" xfId="1310" xr:uid="{00000000-0005-0000-0000-000030050000}"/>
    <cellStyle name="쉼표 [0] 2 15 6" xfId="1311" xr:uid="{00000000-0005-0000-0000-000031050000}"/>
    <cellStyle name="쉼표 [0] 2 15 7" xfId="1312" xr:uid="{00000000-0005-0000-0000-000032050000}"/>
    <cellStyle name="쉼표 [0] 2 16" xfId="1313" xr:uid="{00000000-0005-0000-0000-000033050000}"/>
    <cellStyle name="쉼표 [0] 2 16 2" xfId="1314" xr:uid="{00000000-0005-0000-0000-000034050000}"/>
    <cellStyle name="쉼표 [0] 2 16 2 2" xfId="1315" xr:uid="{00000000-0005-0000-0000-000035050000}"/>
    <cellStyle name="쉼표 [0] 2 16 2 2 2" xfId="1316" xr:uid="{00000000-0005-0000-0000-000036050000}"/>
    <cellStyle name="쉼표 [0] 2 16 2 3" xfId="1317" xr:uid="{00000000-0005-0000-0000-000037050000}"/>
    <cellStyle name="쉼표 [0] 2 16 3" xfId="1318" xr:uid="{00000000-0005-0000-0000-000038050000}"/>
    <cellStyle name="쉼표 [0] 2 16 4" xfId="1319" xr:uid="{00000000-0005-0000-0000-000039050000}"/>
    <cellStyle name="쉼표 [0] 2 16 5" xfId="1320" xr:uid="{00000000-0005-0000-0000-00003A050000}"/>
    <cellStyle name="쉼표 [0] 2 16 6" xfId="1321" xr:uid="{00000000-0005-0000-0000-00003B050000}"/>
    <cellStyle name="쉼표 [0] 2 16 7" xfId="1322" xr:uid="{00000000-0005-0000-0000-00003C050000}"/>
    <cellStyle name="쉼표 [0] 2 17" xfId="1323" xr:uid="{00000000-0005-0000-0000-00003D050000}"/>
    <cellStyle name="쉼표 [0] 2 17 2" xfId="1324" xr:uid="{00000000-0005-0000-0000-00003E050000}"/>
    <cellStyle name="쉼표 [0] 2 17 2 2" xfId="1325" xr:uid="{00000000-0005-0000-0000-00003F050000}"/>
    <cellStyle name="쉼표 [0] 2 17 2 2 2" xfId="1326" xr:uid="{00000000-0005-0000-0000-000040050000}"/>
    <cellStyle name="쉼표 [0] 2 17 2 3" xfId="1327" xr:uid="{00000000-0005-0000-0000-000041050000}"/>
    <cellStyle name="쉼표 [0] 2 17 3" xfId="1328" xr:uid="{00000000-0005-0000-0000-000042050000}"/>
    <cellStyle name="쉼표 [0] 2 17 4" xfId="1329" xr:uid="{00000000-0005-0000-0000-000043050000}"/>
    <cellStyle name="쉼표 [0] 2 17 5" xfId="1330" xr:uid="{00000000-0005-0000-0000-000044050000}"/>
    <cellStyle name="쉼표 [0] 2 17 6" xfId="1331" xr:uid="{00000000-0005-0000-0000-000045050000}"/>
    <cellStyle name="쉼표 [0] 2 17 7" xfId="1332" xr:uid="{00000000-0005-0000-0000-000046050000}"/>
    <cellStyle name="쉼표 [0] 2 18" xfId="1333" xr:uid="{00000000-0005-0000-0000-000047050000}"/>
    <cellStyle name="쉼표 [0] 2 18 2" xfId="1334" xr:uid="{00000000-0005-0000-0000-000048050000}"/>
    <cellStyle name="쉼표 [0] 2 18 2 2" xfId="1335" xr:uid="{00000000-0005-0000-0000-000049050000}"/>
    <cellStyle name="쉼표 [0] 2 18 2 2 2" xfId="1336" xr:uid="{00000000-0005-0000-0000-00004A050000}"/>
    <cellStyle name="쉼표 [0] 2 18 2 3" xfId="1337" xr:uid="{00000000-0005-0000-0000-00004B050000}"/>
    <cellStyle name="쉼표 [0] 2 18 3" xfId="1338" xr:uid="{00000000-0005-0000-0000-00004C050000}"/>
    <cellStyle name="쉼표 [0] 2 18 4" xfId="1339" xr:uid="{00000000-0005-0000-0000-00004D050000}"/>
    <cellStyle name="쉼표 [0] 2 18 5" xfId="1340" xr:uid="{00000000-0005-0000-0000-00004E050000}"/>
    <cellStyle name="쉼표 [0] 2 18 6" xfId="1341" xr:uid="{00000000-0005-0000-0000-00004F050000}"/>
    <cellStyle name="쉼표 [0] 2 18 7" xfId="1342" xr:uid="{00000000-0005-0000-0000-000050050000}"/>
    <cellStyle name="쉼표 [0] 2 19" xfId="1343" xr:uid="{00000000-0005-0000-0000-000051050000}"/>
    <cellStyle name="쉼표 [0] 2 19 10" xfId="1344" xr:uid="{00000000-0005-0000-0000-000052050000}"/>
    <cellStyle name="쉼표 [0] 2 19 11" xfId="1345" xr:uid="{00000000-0005-0000-0000-000053050000}"/>
    <cellStyle name="쉼표 [0] 2 19 12" xfId="1346" xr:uid="{00000000-0005-0000-0000-000054050000}"/>
    <cellStyle name="쉼표 [0] 2 19 2" xfId="1347" xr:uid="{00000000-0005-0000-0000-000055050000}"/>
    <cellStyle name="쉼표 [0] 2 19 2 10" xfId="1348" xr:uid="{00000000-0005-0000-0000-000056050000}"/>
    <cellStyle name="쉼표 [0] 2 19 2 10 2" xfId="1349" xr:uid="{00000000-0005-0000-0000-000057050000}"/>
    <cellStyle name="쉼표 [0] 2 19 2 11" xfId="1350" xr:uid="{00000000-0005-0000-0000-000058050000}"/>
    <cellStyle name="쉼표 [0] 2 19 2 11 2" xfId="1351" xr:uid="{00000000-0005-0000-0000-000059050000}"/>
    <cellStyle name="쉼표 [0] 2 19 2 12" xfId="1352" xr:uid="{00000000-0005-0000-0000-00005A050000}"/>
    <cellStyle name="쉼표 [0] 2 19 2 12 2" xfId="1353" xr:uid="{00000000-0005-0000-0000-00005B050000}"/>
    <cellStyle name="쉼표 [0] 2 19 2 13" xfId="1354" xr:uid="{00000000-0005-0000-0000-00005C050000}"/>
    <cellStyle name="쉼표 [0] 2 19 2 14" xfId="1355" xr:uid="{00000000-0005-0000-0000-00005D050000}"/>
    <cellStyle name="쉼표 [0] 2 19 2 15" xfId="1356" xr:uid="{00000000-0005-0000-0000-00005E050000}"/>
    <cellStyle name="쉼표 [0] 2 19 2 16" xfId="1357" xr:uid="{00000000-0005-0000-0000-00005F050000}"/>
    <cellStyle name="쉼표 [0] 2 19 2 17" xfId="1358" xr:uid="{00000000-0005-0000-0000-000060050000}"/>
    <cellStyle name="쉼표 [0] 2 19 2 2" xfId="1359" xr:uid="{00000000-0005-0000-0000-000061050000}"/>
    <cellStyle name="쉼표 [0] 2 19 2 2 2" xfId="1360" xr:uid="{00000000-0005-0000-0000-000062050000}"/>
    <cellStyle name="쉼표 [0] 2 19 2 2 2 2" xfId="1361" xr:uid="{00000000-0005-0000-0000-000063050000}"/>
    <cellStyle name="쉼표 [0] 2 19 2 2 3" xfId="1362" xr:uid="{00000000-0005-0000-0000-000064050000}"/>
    <cellStyle name="쉼표 [0] 2 19 2 2 3 2" xfId="1363" xr:uid="{00000000-0005-0000-0000-000065050000}"/>
    <cellStyle name="쉼표 [0] 2 19 2 3" xfId="1364" xr:uid="{00000000-0005-0000-0000-000066050000}"/>
    <cellStyle name="쉼표 [0] 2 19 2 3 2" xfId="1365" xr:uid="{00000000-0005-0000-0000-000067050000}"/>
    <cellStyle name="쉼표 [0] 2 19 2 4" xfId="1366" xr:uid="{00000000-0005-0000-0000-000068050000}"/>
    <cellStyle name="쉼표 [0] 2 19 2 4 2" xfId="1367" xr:uid="{00000000-0005-0000-0000-000069050000}"/>
    <cellStyle name="쉼표 [0] 2 19 2 5" xfId="1368" xr:uid="{00000000-0005-0000-0000-00006A050000}"/>
    <cellStyle name="쉼표 [0] 2 19 2 5 2" xfId="1369" xr:uid="{00000000-0005-0000-0000-00006B050000}"/>
    <cellStyle name="쉼표 [0] 2 19 2 6" xfId="1370" xr:uid="{00000000-0005-0000-0000-00006C050000}"/>
    <cellStyle name="쉼표 [0] 2 19 2 6 2" xfId="1371" xr:uid="{00000000-0005-0000-0000-00006D050000}"/>
    <cellStyle name="쉼표 [0] 2 19 2 7" xfId="1372" xr:uid="{00000000-0005-0000-0000-00006E050000}"/>
    <cellStyle name="쉼표 [0] 2 19 2 7 2" xfId="1373" xr:uid="{00000000-0005-0000-0000-00006F050000}"/>
    <cellStyle name="쉼표 [0] 2 19 2 8" xfId="1374" xr:uid="{00000000-0005-0000-0000-000070050000}"/>
    <cellStyle name="쉼표 [0] 2 19 2 8 2" xfId="1375" xr:uid="{00000000-0005-0000-0000-000071050000}"/>
    <cellStyle name="쉼표 [0] 2 19 2 9" xfId="1376" xr:uid="{00000000-0005-0000-0000-000072050000}"/>
    <cellStyle name="쉼표 [0] 2 19 2 9 2" xfId="1377" xr:uid="{00000000-0005-0000-0000-000073050000}"/>
    <cellStyle name="쉼표 [0] 2 19 3" xfId="1378" xr:uid="{00000000-0005-0000-0000-000074050000}"/>
    <cellStyle name="쉼표 [0] 2 19 3 2" xfId="1379" xr:uid="{00000000-0005-0000-0000-000075050000}"/>
    <cellStyle name="쉼표 [0] 2 19 3 3" xfId="1380" xr:uid="{00000000-0005-0000-0000-000076050000}"/>
    <cellStyle name="쉼표 [0] 2 19 4" xfId="1381" xr:uid="{00000000-0005-0000-0000-000077050000}"/>
    <cellStyle name="쉼표 [0] 2 19 5" xfId="1382" xr:uid="{00000000-0005-0000-0000-000078050000}"/>
    <cellStyle name="쉼표 [0] 2 19 6" xfId="1383" xr:uid="{00000000-0005-0000-0000-000079050000}"/>
    <cellStyle name="쉼표 [0] 2 19 7" xfId="1384" xr:uid="{00000000-0005-0000-0000-00007A050000}"/>
    <cellStyle name="쉼표 [0] 2 19 8" xfId="1385" xr:uid="{00000000-0005-0000-0000-00007B050000}"/>
    <cellStyle name="쉼표 [0] 2 19 9" xfId="1386" xr:uid="{00000000-0005-0000-0000-00007C050000}"/>
    <cellStyle name="쉼표 [0] 2 2" xfId="1387" xr:uid="{00000000-0005-0000-0000-00007D050000}"/>
    <cellStyle name="쉼표 [0] 2 2 2" xfId="1388" xr:uid="{00000000-0005-0000-0000-00007E050000}"/>
    <cellStyle name="쉼표 [0] 2 2 2 2" xfId="1389" xr:uid="{00000000-0005-0000-0000-00007F050000}"/>
    <cellStyle name="쉼표 [0] 2 2 2 2 2" xfId="1390" xr:uid="{00000000-0005-0000-0000-000080050000}"/>
    <cellStyle name="쉼표 [0] 2 2 2 2 2 2" xfId="1391" xr:uid="{00000000-0005-0000-0000-000081050000}"/>
    <cellStyle name="쉼표 [0] 2 2 2 3" xfId="1392" xr:uid="{00000000-0005-0000-0000-000082050000}"/>
    <cellStyle name="쉼표 [0] 2 2 2 3 2" xfId="1393" xr:uid="{00000000-0005-0000-0000-000083050000}"/>
    <cellStyle name="쉼표 [0] 2 2 2 4" xfId="1394" xr:uid="{00000000-0005-0000-0000-000084050000}"/>
    <cellStyle name="쉼표 [0] 2 2 3" xfId="1395" xr:uid="{00000000-0005-0000-0000-000085050000}"/>
    <cellStyle name="쉼표 [0] 2 2 3 2" xfId="3218" xr:uid="{00000000-0005-0000-0000-000086050000}"/>
    <cellStyle name="쉼표 [0] 2 2 4" xfId="1396" xr:uid="{00000000-0005-0000-0000-000087050000}"/>
    <cellStyle name="쉼표 [0] 2 2 5" xfId="1397" xr:uid="{00000000-0005-0000-0000-000088050000}"/>
    <cellStyle name="쉼표 [0] 2 2 6" xfId="1398" xr:uid="{00000000-0005-0000-0000-000089050000}"/>
    <cellStyle name="쉼표 [0] 2 2 7" xfId="1399" xr:uid="{00000000-0005-0000-0000-00008A050000}"/>
    <cellStyle name="쉼표 [0] 2 20" xfId="1400" xr:uid="{00000000-0005-0000-0000-00008B050000}"/>
    <cellStyle name="쉼표 [0] 2 20 2" xfId="1401" xr:uid="{00000000-0005-0000-0000-00008C050000}"/>
    <cellStyle name="쉼표 [0] 2 20 2 2" xfId="1402" xr:uid="{00000000-0005-0000-0000-00008D050000}"/>
    <cellStyle name="쉼표 [0] 2 20 2 2 2" xfId="1403" xr:uid="{00000000-0005-0000-0000-00008E050000}"/>
    <cellStyle name="쉼표 [0] 2 20 2 3" xfId="1404" xr:uid="{00000000-0005-0000-0000-00008F050000}"/>
    <cellStyle name="쉼표 [0] 2 20 3" xfId="1405" xr:uid="{00000000-0005-0000-0000-000090050000}"/>
    <cellStyle name="쉼표 [0] 2 20 4" xfId="1406" xr:uid="{00000000-0005-0000-0000-000091050000}"/>
    <cellStyle name="쉼표 [0] 2 20 5" xfId="1407" xr:uid="{00000000-0005-0000-0000-000092050000}"/>
    <cellStyle name="쉼표 [0] 2 20 6" xfId="1408" xr:uid="{00000000-0005-0000-0000-000093050000}"/>
    <cellStyle name="쉼표 [0] 2 20 7" xfId="1409" xr:uid="{00000000-0005-0000-0000-000094050000}"/>
    <cellStyle name="쉼표 [0] 2 21" xfId="1410" xr:uid="{00000000-0005-0000-0000-000095050000}"/>
    <cellStyle name="쉼표 [0] 2 21 10" xfId="1411" xr:uid="{00000000-0005-0000-0000-000096050000}"/>
    <cellStyle name="쉼표 [0] 2 21 11" xfId="1412" xr:uid="{00000000-0005-0000-0000-000097050000}"/>
    <cellStyle name="쉼표 [0] 2 21 12" xfId="1413" xr:uid="{00000000-0005-0000-0000-000098050000}"/>
    <cellStyle name="쉼표 [0] 2 21 2" xfId="1414" xr:uid="{00000000-0005-0000-0000-000099050000}"/>
    <cellStyle name="쉼표 [0] 2 21 2 2" xfId="1415" xr:uid="{00000000-0005-0000-0000-00009A050000}"/>
    <cellStyle name="쉼표 [0] 2 21 2 3" xfId="1416" xr:uid="{00000000-0005-0000-0000-00009B050000}"/>
    <cellStyle name="쉼표 [0] 2 21 3" xfId="1417" xr:uid="{00000000-0005-0000-0000-00009C050000}"/>
    <cellStyle name="쉼표 [0] 2 21 4" xfId="1418" xr:uid="{00000000-0005-0000-0000-00009D050000}"/>
    <cellStyle name="쉼표 [0] 2 21 5" xfId="1419" xr:uid="{00000000-0005-0000-0000-00009E050000}"/>
    <cellStyle name="쉼표 [0] 2 21 6" xfId="1420" xr:uid="{00000000-0005-0000-0000-00009F050000}"/>
    <cellStyle name="쉼표 [0] 2 21 7" xfId="1421" xr:uid="{00000000-0005-0000-0000-0000A0050000}"/>
    <cellStyle name="쉼표 [0] 2 21 8" xfId="1422" xr:uid="{00000000-0005-0000-0000-0000A1050000}"/>
    <cellStyle name="쉼표 [0] 2 21 9" xfId="1423" xr:uid="{00000000-0005-0000-0000-0000A2050000}"/>
    <cellStyle name="쉼표 [0] 2 22" xfId="1424" xr:uid="{00000000-0005-0000-0000-0000A3050000}"/>
    <cellStyle name="쉼표 [0] 2 22 2" xfId="1425" xr:uid="{00000000-0005-0000-0000-0000A4050000}"/>
    <cellStyle name="쉼표 [0] 2 22 2 2" xfId="1426" xr:uid="{00000000-0005-0000-0000-0000A5050000}"/>
    <cellStyle name="쉼표 [0] 2 22 2 2 2" xfId="1427" xr:uid="{00000000-0005-0000-0000-0000A6050000}"/>
    <cellStyle name="쉼표 [0] 2 22 2 3" xfId="1428" xr:uid="{00000000-0005-0000-0000-0000A7050000}"/>
    <cellStyle name="쉼표 [0] 2 22 3" xfId="1429" xr:uid="{00000000-0005-0000-0000-0000A8050000}"/>
    <cellStyle name="쉼표 [0] 2 22 4" xfId="1430" xr:uid="{00000000-0005-0000-0000-0000A9050000}"/>
    <cellStyle name="쉼표 [0] 2 22 5" xfId="1431" xr:uid="{00000000-0005-0000-0000-0000AA050000}"/>
    <cellStyle name="쉼표 [0] 2 22 6" xfId="1432" xr:uid="{00000000-0005-0000-0000-0000AB050000}"/>
    <cellStyle name="쉼표 [0] 2 22 7" xfId="1433" xr:uid="{00000000-0005-0000-0000-0000AC050000}"/>
    <cellStyle name="쉼표 [0] 2 23" xfId="1434" xr:uid="{00000000-0005-0000-0000-0000AD050000}"/>
    <cellStyle name="쉼표 [0] 2 23 2" xfId="1435" xr:uid="{00000000-0005-0000-0000-0000AE050000}"/>
    <cellStyle name="쉼표 [0] 2 23 2 2" xfId="1436" xr:uid="{00000000-0005-0000-0000-0000AF050000}"/>
    <cellStyle name="쉼표 [0] 2 23 2 2 2" xfId="1437" xr:uid="{00000000-0005-0000-0000-0000B0050000}"/>
    <cellStyle name="쉼표 [0] 2 23 2 3" xfId="1438" xr:uid="{00000000-0005-0000-0000-0000B1050000}"/>
    <cellStyle name="쉼표 [0] 2 23 3" xfId="1439" xr:uid="{00000000-0005-0000-0000-0000B2050000}"/>
    <cellStyle name="쉼표 [0] 2 23 4" xfId="1440" xr:uid="{00000000-0005-0000-0000-0000B3050000}"/>
    <cellStyle name="쉼표 [0] 2 23 5" xfId="1441" xr:uid="{00000000-0005-0000-0000-0000B4050000}"/>
    <cellStyle name="쉼표 [0] 2 23 6" xfId="1442" xr:uid="{00000000-0005-0000-0000-0000B5050000}"/>
    <cellStyle name="쉼표 [0] 2 23 7" xfId="1443" xr:uid="{00000000-0005-0000-0000-0000B6050000}"/>
    <cellStyle name="쉼표 [0] 2 24" xfId="1444" xr:uid="{00000000-0005-0000-0000-0000B7050000}"/>
    <cellStyle name="쉼표 [0] 2 24 2" xfId="1445" xr:uid="{00000000-0005-0000-0000-0000B8050000}"/>
    <cellStyle name="쉼표 [0] 2 24 2 2" xfId="1446" xr:uid="{00000000-0005-0000-0000-0000B9050000}"/>
    <cellStyle name="쉼표 [0] 2 24 2 2 2" xfId="1447" xr:uid="{00000000-0005-0000-0000-0000BA050000}"/>
    <cellStyle name="쉼표 [0] 2 24 2 3" xfId="1448" xr:uid="{00000000-0005-0000-0000-0000BB050000}"/>
    <cellStyle name="쉼표 [0] 2 24 3" xfId="1449" xr:uid="{00000000-0005-0000-0000-0000BC050000}"/>
    <cellStyle name="쉼표 [0] 2 24 4" xfId="1450" xr:uid="{00000000-0005-0000-0000-0000BD050000}"/>
    <cellStyle name="쉼표 [0] 2 24 5" xfId="1451" xr:uid="{00000000-0005-0000-0000-0000BE050000}"/>
    <cellStyle name="쉼표 [0] 2 24 6" xfId="1452" xr:uid="{00000000-0005-0000-0000-0000BF050000}"/>
    <cellStyle name="쉼표 [0] 2 24 7" xfId="1453" xr:uid="{00000000-0005-0000-0000-0000C0050000}"/>
    <cellStyle name="쉼표 [0] 2 25" xfId="1454" xr:uid="{00000000-0005-0000-0000-0000C1050000}"/>
    <cellStyle name="쉼표 [0] 2 25 2" xfId="1455" xr:uid="{00000000-0005-0000-0000-0000C2050000}"/>
    <cellStyle name="쉼표 [0] 2 25 2 2" xfId="1456" xr:uid="{00000000-0005-0000-0000-0000C3050000}"/>
    <cellStyle name="쉼표 [0] 2 25 2 2 2" xfId="1457" xr:uid="{00000000-0005-0000-0000-0000C4050000}"/>
    <cellStyle name="쉼표 [0] 2 25 2 3" xfId="1458" xr:uid="{00000000-0005-0000-0000-0000C5050000}"/>
    <cellStyle name="쉼표 [0] 2 25 3" xfId="1459" xr:uid="{00000000-0005-0000-0000-0000C6050000}"/>
    <cellStyle name="쉼표 [0] 2 25 4" xfId="1460" xr:uid="{00000000-0005-0000-0000-0000C7050000}"/>
    <cellStyle name="쉼표 [0] 2 25 5" xfId="1461" xr:uid="{00000000-0005-0000-0000-0000C8050000}"/>
    <cellStyle name="쉼표 [0] 2 25 6" xfId="1462" xr:uid="{00000000-0005-0000-0000-0000C9050000}"/>
    <cellStyle name="쉼표 [0] 2 25 7" xfId="1463" xr:uid="{00000000-0005-0000-0000-0000CA050000}"/>
    <cellStyle name="쉼표 [0] 2 26" xfId="1464" xr:uid="{00000000-0005-0000-0000-0000CB050000}"/>
    <cellStyle name="쉼표 [0] 2 26 2" xfId="1465" xr:uid="{00000000-0005-0000-0000-0000CC050000}"/>
    <cellStyle name="쉼표 [0] 2 26 2 2" xfId="1466" xr:uid="{00000000-0005-0000-0000-0000CD050000}"/>
    <cellStyle name="쉼표 [0] 2 26 2 2 2" xfId="1467" xr:uid="{00000000-0005-0000-0000-0000CE050000}"/>
    <cellStyle name="쉼표 [0] 2 26 2 3" xfId="1468" xr:uid="{00000000-0005-0000-0000-0000CF050000}"/>
    <cellStyle name="쉼표 [0] 2 26 3" xfId="1469" xr:uid="{00000000-0005-0000-0000-0000D0050000}"/>
    <cellStyle name="쉼표 [0] 2 26 4" xfId="1470" xr:uid="{00000000-0005-0000-0000-0000D1050000}"/>
    <cellStyle name="쉼표 [0] 2 26 5" xfId="1471" xr:uid="{00000000-0005-0000-0000-0000D2050000}"/>
    <cellStyle name="쉼표 [0] 2 26 6" xfId="1472" xr:uid="{00000000-0005-0000-0000-0000D3050000}"/>
    <cellStyle name="쉼표 [0] 2 26 7" xfId="1473" xr:uid="{00000000-0005-0000-0000-0000D4050000}"/>
    <cellStyle name="쉼표 [0] 2 27" xfId="1474" xr:uid="{00000000-0005-0000-0000-0000D5050000}"/>
    <cellStyle name="쉼표 [0] 2 27 2" xfId="1475" xr:uid="{00000000-0005-0000-0000-0000D6050000}"/>
    <cellStyle name="쉼표 [0] 2 27 2 2" xfId="1476" xr:uid="{00000000-0005-0000-0000-0000D7050000}"/>
    <cellStyle name="쉼표 [0] 2 27 2 2 2" xfId="1477" xr:uid="{00000000-0005-0000-0000-0000D8050000}"/>
    <cellStyle name="쉼표 [0] 2 27 2 3" xfId="1478" xr:uid="{00000000-0005-0000-0000-0000D9050000}"/>
    <cellStyle name="쉼표 [0] 2 27 3" xfId="1479" xr:uid="{00000000-0005-0000-0000-0000DA050000}"/>
    <cellStyle name="쉼표 [0] 2 27 4" xfId="1480" xr:uid="{00000000-0005-0000-0000-0000DB050000}"/>
    <cellStyle name="쉼표 [0] 2 27 5" xfId="1481" xr:uid="{00000000-0005-0000-0000-0000DC050000}"/>
    <cellStyle name="쉼표 [0] 2 27 6" xfId="1482" xr:uid="{00000000-0005-0000-0000-0000DD050000}"/>
    <cellStyle name="쉼표 [0] 2 27 7" xfId="1483" xr:uid="{00000000-0005-0000-0000-0000DE050000}"/>
    <cellStyle name="쉼표 [0] 2 28" xfId="1484" xr:uid="{00000000-0005-0000-0000-0000DF050000}"/>
    <cellStyle name="쉼표 [0] 2 28 2" xfId="1485" xr:uid="{00000000-0005-0000-0000-0000E0050000}"/>
    <cellStyle name="쉼표 [0] 2 28 2 2" xfId="1486" xr:uid="{00000000-0005-0000-0000-0000E1050000}"/>
    <cellStyle name="쉼표 [0] 2 28 2 2 2" xfId="1487" xr:uid="{00000000-0005-0000-0000-0000E2050000}"/>
    <cellStyle name="쉼표 [0] 2 28 2 3" xfId="1488" xr:uid="{00000000-0005-0000-0000-0000E3050000}"/>
    <cellStyle name="쉼표 [0] 2 28 3" xfId="1489" xr:uid="{00000000-0005-0000-0000-0000E4050000}"/>
    <cellStyle name="쉼표 [0] 2 28 4" xfId="1490" xr:uid="{00000000-0005-0000-0000-0000E5050000}"/>
    <cellStyle name="쉼표 [0] 2 28 5" xfId="1491" xr:uid="{00000000-0005-0000-0000-0000E6050000}"/>
    <cellStyle name="쉼표 [0] 2 28 6" xfId="1492" xr:uid="{00000000-0005-0000-0000-0000E7050000}"/>
    <cellStyle name="쉼표 [0] 2 28 7" xfId="1493" xr:uid="{00000000-0005-0000-0000-0000E8050000}"/>
    <cellStyle name="쉼표 [0] 2 29" xfId="1494" xr:uid="{00000000-0005-0000-0000-0000E9050000}"/>
    <cellStyle name="쉼표 [0] 2 29 2" xfId="1495" xr:uid="{00000000-0005-0000-0000-0000EA050000}"/>
    <cellStyle name="쉼표 [0] 2 29 2 2" xfId="1496" xr:uid="{00000000-0005-0000-0000-0000EB050000}"/>
    <cellStyle name="쉼표 [0] 2 29 2 2 2" xfId="1497" xr:uid="{00000000-0005-0000-0000-0000EC050000}"/>
    <cellStyle name="쉼표 [0] 2 29 2 3" xfId="1498" xr:uid="{00000000-0005-0000-0000-0000ED050000}"/>
    <cellStyle name="쉼표 [0] 2 29 3" xfId="1499" xr:uid="{00000000-0005-0000-0000-0000EE050000}"/>
    <cellStyle name="쉼표 [0] 2 29 4" xfId="1500" xr:uid="{00000000-0005-0000-0000-0000EF050000}"/>
    <cellStyle name="쉼표 [0] 2 29 5" xfId="1501" xr:uid="{00000000-0005-0000-0000-0000F0050000}"/>
    <cellStyle name="쉼표 [0] 2 29 6" xfId="1502" xr:uid="{00000000-0005-0000-0000-0000F1050000}"/>
    <cellStyle name="쉼표 [0] 2 29 7" xfId="1503" xr:uid="{00000000-0005-0000-0000-0000F2050000}"/>
    <cellStyle name="쉼표 [0] 2 3" xfId="1504" xr:uid="{00000000-0005-0000-0000-0000F3050000}"/>
    <cellStyle name="쉼표 [0] 2 3 2" xfId="1505" xr:uid="{00000000-0005-0000-0000-0000F4050000}"/>
    <cellStyle name="쉼표 [0] 2 3 2 2" xfId="1506" xr:uid="{00000000-0005-0000-0000-0000F5050000}"/>
    <cellStyle name="쉼표 [0] 2 3 2 2 2" xfId="1507" xr:uid="{00000000-0005-0000-0000-0000F6050000}"/>
    <cellStyle name="쉼표 [0] 2 3 2 3" xfId="1508" xr:uid="{00000000-0005-0000-0000-0000F7050000}"/>
    <cellStyle name="쉼표 [0] 2 3 3" xfId="1509" xr:uid="{00000000-0005-0000-0000-0000F8050000}"/>
    <cellStyle name="쉼표 [0] 2 3 4" xfId="1510" xr:uid="{00000000-0005-0000-0000-0000F9050000}"/>
    <cellStyle name="쉼표 [0] 2 3 5" xfId="1511" xr:uid="{00000000-0005-0000-0000-0000FA050000}"/>
    <cellStyle name="쉼표 [0] 2 3 6" xfId="1512" xr:uid="{00000000-0005-0000-0000-0000FB050000}"/>
    <cellStyle name="쉼표 [0] 2 3 7" xfId="1513" xr:uid="{00000000-0005-0000-0000-0000FC050000}"/>
    <cellStyle name="쉼표 [0] 2 30" xfId="1514" xr:uid="{00000000-0005-0000-0000-0000FD050000}"/>
    <cellStyle name="쉼표 [0] 2 30 2" xfId="1515" xr:uid="{00000000-0005-0000-0000-0000FE050000}"/>
    <cellStyle name="쉼표 [0] 2 30 2 2" xfId="1516" xr:uid="{00000000-0005-0000-0000-0000FF050000}"/>
    <cellStyle name="쉼표 [0] 2 30 3" xfId="1517" xr:uid="{00000000-0005-0000-0000-000000060000}"/>
    <cellStyle name="쉼표 [0] 2 30 3 2" xfId="1518" xr:uid="{00000000-0005-0000-0000-000001060000}"/>
    <cellStyle name="쉼표 [0] 2 31" xfId="1519" xr:uid="{00000000-0005-0000-0000-000002060000}"/>
    <cellStyle name="쉼표 [0] 2 31 2" xfId="1520" xr:uid="{00000000-0005-0000-0000-000003060000}"/>
    <cellStyle name="쉼표 [0] 2 32" xfId="1521" xr:uid="{00000000-0005-0000-0000-000004060000}"/>
    <cellStyle name="쉼표 [0] 2 32 2" xfId="1522" xr:uid="{00000000-0005-0000-0000-000005060000}"/>
    <cellStyle name="쉼표 [0] 2 33" xfId="1523" xr:uid="{00000000-0005-0000-0000-000006060000}"/>
    <cellStyle name="쉼표 [0] 2 33 2" xfId="1524" xr:uid="{00000000-0005-0000-0000-000007060000}"/>
    <cellStyle name="쉼표 [0] 2 34" xfId="1525" xr:uid="{00000000-0005-0000-0000-000008060000}"/>
    <cellStyle name="쉼표 [0] 2 34 2" xfId="1526" xr:uid="{00000000-0005-0000-0000-000009060000}"/>
    <cellStyle name="쉼표 [0] 2 35" xfId="1527" xr:uid="{00000000-0005-0000-0000-00000A060000}"/>
    <cellStyle name="쉼표 [0] 2 35 2" xfId="1528" xr:uid="{00000000-0005-0000-0000-00000B060000}"/>
    <cellStyle name="쉼표 [0] 2 36" xfId="1529" xr:uid="{00000000-0005-0000-0000-00000C060000}"/>
    <cellStyle name="쉼표 [0] 2 36 2" xfId="1530" xr:uid="{00000000-0005-0000-0000-00000D060000}"/>
    <cellStyle name="쉼표 [0] 2 37" xfId="1531" xr:uid="{00000000-0005-0000-0000-00000E060000}"/>
    <cellStyle name="쉼표 [0] 2 37 2" xfId="1532" xr:uid="{00000000-0005-0000-0000-00000F060000}"/>
    <cellStyle name="쉼표 [0] 2 38" xfId="1533" xr:uid="{00000000-0005-0000-0000-000010060000}"/>
    <cellStyle name="쉼표 [0] 2 38 2" xfId="1534" xr:uid="{00000000-0005-0000-0000-000011060000}"/>
    <cellStyle name="쉼표 [0] 2 39" xfId="1535" xr:uid="{00000000-0005-0000-0000-000012060000}"/>
    <cellStyle name="쉼표 [0] 2 39 2" xfId="1536" xr:uid="{00000000-0005-0000-0000-000013060000}"/>
    <cellStyle name="쉼표 [0] 2 4" xfId="1537" xr:uid="{00000000-0005-0000-0000-000014060000}"/>
    <cellStyle name="쉼표 [0] 2 4 2" xfId="1538" xr:uid="{00000000-0005-0000-0000-000015060000}"/>
    <cellStyle name="쉼표 [0] 2 4 2 2" xfId="1539" xr:uid="{00000000-0005-0000-0000-000016060000}"/>
    <cellStyle name="쉼표 [0] 2 4 2 2 2" xfId="1540" xr:uid="{00000000-0005-0000-0000-000017060000}"/>
    <cellStyle name="쉼표 [0] 2 4 2 3" xfId="1541" xr:uid="{00000000-0005-0000-0000-000018060000}"/>
    <cellStyle name="쉼표 [0] 2 4 3" xfId="1542" xr:uid="{00000000-0005-0000-0000-000019060000}"/>
    <cellStyle name="쉼표 [0] 2 4 4" xfId="1543" xr:uid="{00000000-0005-0000-0000-00001A060000}"/>
    <cellStyle name="쉼표 [0] 2 4 5" xfId="1544" xr:uid="{00000000-0005-0000-0000-00001B060000}"/>
    <cellStyle name="쉼표 [0] 2 4 6" xfId="1545" xr:uid="{00000000-0005-0000-0000-00001C060000}"/>
    <cellStyle name="쉼표 [0] 2 4 7" xfId="1546" xr:uid="{00000000-0005-0000-0000-00001D060000}"/>
    <cellStyle name="쉼표 [0] 2 40" xfId="1547" xr:uid="{00000000-0005-0000-0000-00001E060000}"/>
    <cellStyle name="쉼표 [0] 2 40 2" xfId="1548" xr:uid="{00000000-0005-0000-0000-00001F060000}"/>
    <cellStyle name="쉼표 [0] 2 41" xfId="1549" xr:uid="{00000000-0005-0000-0000-000020060000}"/>
    <cellStyle name="쉼표 [0] 2 41 2" xfId="1550" xr:uid="{00000000-0005-0000-0000-000021060000}"/>
    <cellStyle name="쉼표 [0] 2 42" xfId="1551" xr:uid="{00000000-0005-0000-0000-000022060000}"/>
    <cellStyle name="쉼표 [0] 2 42 2" xfId="1552" xr:uid="{00000000-0005-0000-0000-000023060000}"/>
    <cellStyle name="쉼표 [0] 2 43" xfId="1553" xr:uid="{00000000-0005-0000-0000-000024060000}"/>
    <cellStyle name="쉼표 [0] 2 43 2" xfId="1554" xr:uid="{00000000-0005-0000-0000-000025060000}"/>
    <cellStyle name="쉼표 [0] 2 44" xfId="1555" xr:uid="{00000000-0005-0000-0000-000026060000}"/>
    <cellStyle name="쉼표 [0] 2 44 2" xfId="1556" xr:uid="{00000000-0005-0000-0000-000027060000}"/>
    <cellStyle name="쉼표 [0] 2 45" xfId="1557" xr:uid="{00000000-0005-0000-0000-000028060000}"/>
    <cellStyle name="쉼표 [0] 2 45 2" xfId="1558" xr:uid="{00000000-0005-0000-0000-000029060000}"/>
    <cellStyle name="쉼표 [0] 2 46" xfId="1559" xr:uid="{00000000-0005-0000-0000-00002A060000}"/>
    <cellStyle name="쉼표 [0] 2 46 2" xfId="1560" xr:uid="{00000000-0005-0000-0000-00002B060000}"/>
    <cellStyle name="쉼표 [0] 2 47" xfId="1561" xr:uid="{00000000-0005-0000-0000-00002C060000}"/>
    <cellStyle name="쉼표 [0] 2 47 2" xfId="1562" xr:uid="{00000000-0005-0000-0000-00002D060000}"/>
    <cellStyle name="쉼표 [0] 2 48" xfId="1563" xr:uid="{00000000-0005-0000-0000-00002E060000}"/>
    <cellStyle name="쉼표 [0] 2 48 2" xfId="1564" xr:uid="{00000000-0005-0000-0000-00002F060000}"/>
    <cellStyle name="쉼표 [0] 2 49" xfId="1565" xr:uid="{00000000-0005-0000-0000-000030060000}"/>
    <cellStyle name="쉼표 [0] 2 49 2" xfId="1566" xr:uid="{00000000-0005-0000-0000-000031060000}"/>
    <cellStyle name="쉼표 [0] 2 5" xfId="1567" xr:uid="{00000000-0005-0000-0000-000032060000}"/>
    <cellStyle name="쉼표 [0] 2 5 2" xfId="1568" xr:uid="{00000000-0005-0000-0000-000033060000}"/>
    <cellStyle name="쉼표 [0] 2 5 2 2" xfId="1569" xr:uid="{00000000-0005-0000-0000-000034060000}"/>
    <cellStyle name="쉼표 [0] 2 5 2 2 2" xfId="1570" xr:uid="{00000000-0005-0000-0000-000035060000}"/>
    <cellStyle name="쉼표 [0] 2 5 2 3" xfId="1571" xr:uid="{00000000-0005-0000-0000-000036060000}"/>
    <cellStyle name="쉼표 [0] 2 5 3" xfId="1572" xr:uid="{00000000-0005-0000-0000-000037060000}"/>
    <cellStyle name="쉼표 [0] 2 5 4" xfId="1573" xr:uid="{00000000-0005-0000-0000-000038060000}"/>
    <cellStyle name="쉼표 [0] 2 5 5" xfId="1574" xr:uid="{00000000-0005-0000-0000-000039060000}"/>
    <cellStyle name="쉼표 [0] 2 5 6" xfId="1575" xr:uid="{00000000-0005-0000-0000-00003A060000}"/>
    <cellStyle name="쉼표 [0] 2 5 7" xfId="1576" xr:uid="{00000000-0005-0000-0000-00003B060000}"/>
    <cellStyle name="쉼표 [0] 2 50" xfId="1577" xr:uid="{00000000-0005-0000-0000-00003C060000}"/>
    <cellStyle name="쉼표 [0] 2 51" xfId="1578" xr:uid="{00000000-0005-0000-0000-00003D060000}"/>
    <cellStyle name="쉼표 [0] 2 52" xfId="3146" xr:uid="{00000000-0005-0000-0000-00003E060000}"/>
    <cellStyle name="쉼표 [0] 2 53" xfId="1252" xr:uid="{00000000-0005-0000-0000-00003F060000}"/>
    <cellStyle name="쉼표 [0] 2 6" xfId="1579" xr:uid="{00000000-0005-0000-0000-000040060000}"/>
    <cellStyle name="쉼표 [0] 2 6 2" xfId="1580" xr:uid="{00000000-0005-0000-0000-000041060000}"/>
    <cellStyle name="쉼표 [0] 2 6 2 2" xfId="1581" xr:uid="{00000000-0005-0000-0000-000042060000}"/>
    <cellStyle name="쉼표 [0] 2 6 2 2 2" xfId="1582" xr:uid="{00000000-0005-0000-0000-000043060000}"/>
    <cellStyle name="쉼표 [0] 2 6 2 3" xfId="1583" xr:uid="{00000000-0005-0000-0000-000044060000}"/>
    <cellStyle name="쉼표 [0] 2 6 3" xfId="1584" xr:uid="{00000000-0005-0000-0000-000045060000}"/>
    <cellStyle name="쉼표 [0] 2 6 4" xfId="1585" xr:uid="{00000000-0005-0000-0000-000046060000}"/>
    <cellStyle name="쉼표 [0] 2 6 5" xfId="1586" xr:uid="{00000000-0005-0000-0000-000047060000}"/>
    <cellStyle name="쉼표 [0] 2 6 6" xfId="1587" xr:uid="{00000000-0005-0000-0000-000048060000}"/>
    <cellStyle name="쉼표 [0] 2 6 7" xfId="1588" xr:uid="{00000000-0005-0000-0000-000049060000}"/>
    <cellStyle name="쉼표 [0] 2 7" xfId="1589" xr:uid="{00000000-0005-0000-0000-00004A060000}"/>
    <cellStyle name="쉼표 [0] 2 7 2" xfId="1590" xr:uid="{00000000-0005-0000-0000-00004B060000}"/>
    <cellStyle name="쉼표 [0] 2 7 2 2" xfId="1591" xr:uid="{00000000-0005-0000-0000-00004C060000}"/>
    <cellStyle name="쉼표 [0] 2 7 2 2 2" xfId="1592" xr:uid="{00000000-0005-0000-0000-00004D060000}"/>
    <cellStyle name="쉼표 [0] 2 7 2 3" xfId="1593" xr:uid="{00000000-0005-0000-0000-00004E060000}"/>
    <cellStyle name="쉼표 [0] 2 7 3" xfId="1594" xr:uid="{00000000-0005-0000-0000-00004F060000}"/>
    <cellStyle name="쉼표 [0] 2 7 4" xfId="1595" xr:uid="{00000000-0005-0000-0000-000050060000}"/>
    <cellStyle name="쉼표 [0] 2 7 5" xfId="1596" xr:uid="{00000000-0005-0000-0000-000051060000}"/>
    <cellStyle name="쉼표 [0] 2 7 6" xfId="1597" xr:uid="{00000000-0005-0000-0000-000052060000}"/>
    <cellStyle name="쉼표 [0] 2 7 7" xfId="1598" xr:uid="{00000000-0005-0000-0000-000053060000}"/>
    <cellStyle name="쉼표 [0] 2 8" xfId="1599" xr:uid="{00000000-0005-0000-0000-000054060000}"/>
    <cellStyle name="쉼표 [0] 2 8 2" xfId="1600" xr:uid="{00000000-0005-0000-0000-000055060000}"/>
    <cellStyle name="쉼표 [0] 2 8 2 2" xfId="1601" xr:uid="{00000000-0005-0000-0000-000056060000}"/>
    <cellStyle name="쉼표 [0] 2 8 2 2 2" xfId="1602" xr:uid="{00000000-0005-0000-0000-000057060000}"/>
    <cellStyle name="쉼표 [0] 2 8 2 3" xfId="1603" xr:uid="{00000000-0005-0000-0000-000058060000}"/>
    <cellStyle name="쉼표 [0] 2 8 3" xfId="1604" xr:uid="{00000000-0005-0000-0000-000059060000}"/>
    <cellStyle name="쉼표 [0] 2 8 4" xfId="1605" xr:uid="{00000000-0005-0000-0000-00005A060000}"/>
    <cellStyle name="쉼표 [0] 2 8 5" xfId="1606" xr:uid="{00000000-0005-0000-0000-00005B060000}"/>
    <cellStyle name="쉼표 [0] 2 8 6" xfId="1607" xr:uid="{00000000-0005-0000-0000-00005C060000}"/>
    <cellStyle name="쉼표 [0] 2 8 7" xfId="1608" xr:uid="{00000000-0005-0000-0000-00005D060000}"/>
    <cellStyle name="쉼표 [0] 2 9" xfId="1609" xr:uid="{00000000-0005-0000-0000-00005E060000}"/>
    <cellStyle name="쉼표 [0] 2 9 2" xfId="1610" xr:uid="{00000000-0005-0000-0000-00005F060000}"/>
    <cellStyle name="쉼표 [0] 2 9 2 2" xfId="1611" xr:uid="{00000000-0005-0000-0000-000060060000}"/>
    <cellStyle name="쉼표 [0] 2 9 2 2 2" xfId="1612" xr:uid="{00000000-0005-0000-0000-000061060000}"/>
    <cellStyle name="쉼표 [0] 2 9 2 3" xfId="1613" xr:uid="{00000000-0005-0000-0000-000062060000}"/>
    <cellStyle name="쉼표 [0] 2 9 3" xfId="1614" xr:uid="{00000000-0005-0000-0000-000063060000}"/>
    <cellStyle name="쉼표 [0] 2 9 4" xfId="1615" xr:uid="{00000000-0005-0000-0000-000064060000}"/>
    <cellStyle name="쉼표 [0] 2 9 5" xfId="1616" xr:uid="{00000000-0005-0000-0000-000065060000}"/>
    <cellStyle name="쉼표 [0] 2 9 6" xfId="1617" xr:uid="{00000000-0005-0000-0000-000066060000}"/>
    <cellStyle name="쉼표 [0] 2 9 7" xfId="1618" xr:uid="{00000000-0005-0000-0000-000067060000}"/>
    <cellStyle name="쉼표 [0] 20" xfId="1619" xr:uid="{00000000-0005-0000-0000-000068060000}"/>
    <cellStyle name="쉼표 [0] 21" xfId="1620" xr:uid="{00000000-0005-0000-0000-000069060000}"/>
    <cellStyle name="쉼표 [0] 21 2" xfId="1621" xr:uid="{00000000-0005-0000-0000-00006A060000}"/>
    <cellStyle name="쉼표 [0] 21 2 2" xfId="1622" xr:uid="{00000000-0005-0000-0000-00006B060000}"/>
    <cellStyle name="쉼표 [0] 21 2 3" xfId="1623" xr:uid="{00000000-0005-0000-0000-00006C060000}"/>
    <cellStyle name="쉼표 [0] 21 2 4" xfId="1624" xr:uid="{00000000-0005-0000-0000-00006D060000}"/>
    <cellStyle name="쉼표 [0] 21 2 5" xfId="1625" xr:uid="{00000000-0005-0000-0000-00006E060000}"/>
    <cellStyle name="쉼표 [0] 21 2 5 2" xfId="1626" xr:uid="{00000000-0005-0000-0000-00006F060000}"/>
    <cellStyle name="쉼표 [0] 21 2 6" xfId="1627" xr:uid="{00000000-0005-0000-0000-000070060000}"/>
    <cellStyle name="쉼표 [0] 21 3" xfId="1628" xr:uid="{00000000-0005-0000-0000-000071060000}"/>
    <cellStyle name="쉼표 [0] 21 3 2" xfId="1629" xr:uid="{00000000-0005-0000-0000-000072060000}"/>
    <cellStyle name="쉼표 [0] 21 3 3" xfId="1630" xr:uid="{00000000-0005-0000-0000-000073060000}"/>
    <cellStyle name="쉼표 [0] 21 3 4" xfId="1631" xr:uid="{00000000-0005-0000-0000-000074060000}"/>
    <cellStyle name="쉼표 [0] 21 3 5" xfId="1632" xr:uid="{00000000-0005-0000-0000-000075060000}"/>
    <cellStyle name="쉼표 [0] 21 4" xfId="1633" xr:uid="{00000000-0005-0000-0000-000076060000}"/>
    <cellStyle name="쉼표 [0] 21 4 2" xfId="1634" xr:uid="{00000000-0005-0000-0000-000077060000}"/>
    <cellStyle name="쉼표 [0] 21 4 3" xfId="1635" xr:uid="{00000000-0005-0000-0000-000078060000}"/>
    <cellStyle name="쉼표 [0] 21 4 4" xfId="1636" xr:uid="{00000000-0005-0000-0000-000079060000}"/>
    <cellStyle name="쉼표 [0] 21 4 5" xfId="1637" xr:uid="{00000000-0005-0000-0000-00007A060000}"/>
    <cellStyle name="쉼표 [0] 22" xfId="1638" xr:uid="{00000000-0005-0000-0000-00007B060000}"/>
    <cellStyle name="쉼표 [0] 23" xfId="1639" xr:uid="{00000000-0005-0000-0000-00007C060000}"/>
    <cellStyle name="쉼표 [0] 24" xfId="1640" xr:uid="{00000000-0005-0000-0000-00007D060000}"/>
    <cellStyle name="쉼표 [0] 25" xfId="1641" xr:uid="{00000000-0005-0000-0000-00007E060000}"/>
    <cellStyle name="쉼표 [0] 26" xfId="1642" xr:uid="{00000000-0005-0000-0000-00007F060000}"/>
    <cellStyle name="쉼표 [0] 27" xfId="1643" xr:uid="{00000000-0005-0000-0000-000080060000}"/>
    <cellStyle name="쉼표 [0] 27 2" xfId="1644" xr:uid="{00000000-0005-0000-0000-000081060000}"/>
    <cellStyle name="쉼표 [0] 28" xfId="1645" xr:uid="{00000000-0005-0000-0000-000082060000}"/>
    <cellStyle name="쉼표 [0] 29" xfId="1646" xr:uid="{00000000-0005-0000-0000-000083060000}"/>
    <cellStyle name="쉼표 [0] 3" xfId="1647" xr:uid="{00000000-0005-0000-0000-000084060000}"/>
    <cellStyle name="쉼표 [0] 3 10" xfId="1648" xr:uid="{00000000-0005-0000-0000-000085060000}"/>
    <cellStyle name="쉼표 [0] 3 10 2" xfId="1649" xr:uid="{00000000-0005-0000-0000-000086060000}"/>
    <cellStyle name="쉼표 [0] 3 10 2 2" xfId="1650" xr:uid="{00000000-0005-0000-0000-000087060000}"/>
    <cellStyle name="쉼표 [0] 3 11" xfId="1651" xr:uid="{00000000-0005-0000-0000-000088060000}"/>
    <cellStyle name="쉼표 [0] 3 12" xfId="1652" xr:uid="{00000000-0005-0000-0000-000089060000}"/>
    <cellStyle name="쉼표 [0] 3 13" xfId="1653" xr:uid="{00000000-0005-0000-0000-00008A060000}"/>
    <cellStyle name="쉼표 [0] 3 14" xfId="1654" xr:uid="{00000000-0005-0000-0000-00008B060000}"/>
    <cellStyle name="쉼표 [0] 3 15" xfId="1655" xr:uid="{00000000-0005-0000-0000-00008C060000}"/>
    <cellStyle name="쉼표 [0] 3 16" xfId="1656" xr:uid="{00000000-0005-0000-0000-00008D060000}"/>
    <cellStyle name="쉼표 [0] 3 17" xfId="1657" xr:uid="{00000000-0005-0000-0000-00008E060000}"/>
    <cellStyle name="쉼표 [0] 3 18" xfId="1658" xr:uid="{00000000-0005-0000-0000-00008F060000}"/>
    <cellStyle name="쉼표 [0] 3 19" xfId="1659" xr:uid="{00000000-0005-0000-0000-000090060000}"/>
    <cellStyle name="쉼표 [0] 3 2" xfId="1660" xr:uid="{00000000-0005-0000-0000-000091060000}"/>
    <cellStyle name="쉼표 [0] 3 2 10" xfId="1661" xr:uid="{00000000-0005-0000-0000-000092060000}"/>
    <cellStyle name="쉼표 [0] 3 2 10 2" xfId="1662" xr:uid="{00000000-0005-0000-0000-000093060000}"/>
    <cellStyle name="쉼표 [0] 3 2 10 2 2" xfId="1663" xr:uid="{00000000-0005-0000-0000-000094060000}"/>
    <cellStyle name="쉼표 [0] 3 2 10 2 2 2" xfId="1664" xr:uid="{00000000-0005-0000-0000-000095060000}"/>
    <cellStyle name="쉼표 [0] 3 2 10 3" xfId="1665" xr:uid="{00000000-0005-0000-0000-000096060000}"/>
    <cellStyle name="쉼표 [0] 3 2 10 4" xfId="1666" xr:uid="{00000000-0005-0000-0000-000097060000}"/>
    <cellStyle name="쉼표 [0] 3 2 10 5" xfId="1667" xr:uid="{00000000-0005-0000-0000-000098060000}"/>
    <cellStyle name="쉼표 [0] 3 2 10 6" xfId="1668" xr:uid="{00000000-0005-0000-0000-000099060000}"/>
    <cellStyle name="쉼표 [0] 3 2 11" xfId="1669" xr:uid="{00000000-0005-0000-0000-00009A060000}"/>
    <cellStyle name="쉼표 [0] 3 2 11 2" xfId="1670" xr:uid="{00000000-0005-0000-0000-00009B060000}"/>
    <cellStyle name="쉼표 [0] 3 2 11 2 2" xfId="1671" xr:uid="{00000000-0005-0000-0000-00009C060000}"/>
    <cellStyle name="쉼표 [0] 3 2 11 2 2 2" xfId="1672" xr:uid="{00000000-0005-0000-0000-00009D060000}"/>
    <cellStyle name="쉼표 [0] 3 2 11 3" xfId="1673" xr:uid="{00000000-0005-0000-0000-00009E060000}"/>
    <cellStyle name="쉼표 [0] 3 2 11 4" xfId="1674" xr:uid="{00000000-0005-0000-0000-00009F060000}"/>
    <cellStyle name="쉼표 [0] 3 2 11 5" xfId="1675" xr:uid="{00000000-0005-0000-0000-0000A0060000}"/>
    <cellStyle name="쉼표 [0] 3 2 11 6" xfId="1676" xr:uid="{00000000-0005-0000-0000-0000A1060000}"/>
    <cellStyle name="쉼표 [0] 3 2 12" xfId="1677" xr:uid="{00000000-0005-0000-0000-0000A2060000}"/>
    <cellStyle name="쉼표 [0] 3 2 12 2" xfId="1678" xr:uid="{00000000-0005-0000-0000-0000A3060000}"/>
    <cellStyle name="쉼표 [0] 3 2 12 2 2" xfId="1679" xr:uid="{00000000-0005-0000-0000-0000A4060000}"/>
    <cellStyle name="쉼표 [0] 3 2 12 2 2 2" xfId="1680" xr:uid="{00000000-0005-0000-0000-0000A5060000}"/>
    <cellStyle name="쉼표 [0] 3 2 12 3" xfId="1681" xr:uid="{00000000-0005-0000-0000-0000A6060000}"/>
    <cellStyle name="쉼표 [0] 3 2 12 4" xfId="1682" xr:uid="{00000000-0005-0000-0000-0000A7060000}"/>
    <cellStyle name="쉼표 [0] 3 2 12 5" xfId="1683" xr:uid="{00000000-0005-0000-0000-0000A8060000}"/>
    <cellStyle name="쉼표 [0] 3 2 12 6" xfId="1684" xr:uid="{00000000-0005-0000-0000-0000A9060000}"/>
    <cellStyle name="쉼표 [0] 3 2 13" xfId="1685" xr:uid="{00000000-0005-0000-0000-0000AA060000}"/>
    <cellStyle name="쉼표 [0] 3 2 13 2" xfId="1686" xr:uid="{00000000-0005-0000-0000-0000AB060000}"/>
    <cellStyle name="쉼표 [0] 3 2 13 2 2" xfId="1687" xr:uid="{00000000-0005-0000-0000-0000AC060000}"/>
    <cellStyle name="쉼표 [0] 3 2 13 2 2 2" xfId="1688" xr:uid="{00000000-0005-0000-0000-0000AD060000}"/>
    <cellStyle name="쉼표 [0] 3 2 13 3" xfId="1689" xr:uid="{00000000-0005-0000-0000-0000AE060000}"/>
    <cellStyle name="쉼표 [0] 3 2 13 4" xfId="1690" xr:uid="{00000000-0005-0000-0000-0000AF060000}"/>
    <cellStyle name="쉼표 [0] 3 2 13 5" xfId="1691" xr:uid="{00000000-0005-0000-0000-0000B0060000}"/>
    <cellStyle name="쉼표 [0] 3 2 13 6" xfId="1692" xr:uid="{00000000-0005-0000-0000-0000B1060000}"/>
    <cellStyle name="쉼표 [0] 3 2 14" xfId="1693" xr:uid="{00000000-0005-0000-0000-0000B2060000}"/>
    <cellStyle name="쉼표 [0] 3 2 14 2" xfId="1694" xr:uid="{00000000-0005-0000-0000-0000B3060000}"/>
    <cellStyle name="쉼표 [0] 3 2 14 2 2" xfId="1695" xr:uid="{00000000-0005-0000-0000-0000B4060000}"/>
    <cellStyle name="쉼표 [0] 3 2 14 2 2 2" xfId="1696" xr:uid="{00000000-0005-0000-0000-0000B5060000}"/>
    <cellStyle name="쉼표 [0] 3 2 14 3" xfId="1697" xr:uid="{00000000-0005-0000-0000-0000B6060000}"/>
    <cellStyle name="쉼표 [0] 3 2 14 4" xfId="1698" xr:uid="{00000000-0005-0000-0000-0000B7060000}"/>
    <cellStyle name="쉼표 [0] 3 2 14 5" xfId="1699" xr:uid="{00000000-0005-0000-0000-0000B8060000}"/>
    <cellStyle name="쉼표 [0] 3 2 14 6" xfId="1700" xr:uid="{00000000-0005-0000-0000-0000B9060000}"/>
    <cellStyle name="쉼표 [0] 3 2 15" xfId="1701" xr:uid="{00000000-0005-0000-0000-0000BA060000}"/>
    <cellStyle name="쉼표 [0] 3 2 15 2" xfId="1702" xr:uid="{00000000-0005-0000-0000-0000BB060000}"/>
    <cellStyle name="쉼표 [0] 3 2 15 2 2" xfId="1703" xr:uid="{00000000-0005-0000-0000-0000BC060000}"/>
    <cellStyle name="쉼표 [0] 3 2 15 2 2 2" xfId="1704" xr:uid="{00000000-0005-0000-0000-0000BD060000}"/>
    <cellStyle name="쉼표 [0] 3 2 15 3" xfId="1705" xr:uid="{00000000-0005-0000-0000-0000BE060000}"/>
    <cellStyle name="쉼표 [0] 3 2 15 4" xfId="1706" xr:uid="{00000000-0005-0000-0000-0000BF060000}"/>
    <cellStyle name="쉼표 [0] 3 2 15 5" xfId="1707" xr:uid="{00000000-0005-0000-0000-0000C0060000}"/>
    <cellStyle name="쉼표 [0] 3 2 15 6" xfId="1708" xr:uid="{00000000-0005-0000-0000-0000C1060000}"/>
    <cellStyle name="쉼표 [0] 3 2 16" xfId="1709" xr:uid="{00000000-0005-0000-0000-0000C2060000}"/>
    <cellStyle name="쉼표 [0] 3 2 16 2" xfId="1710" xr:uid="{00000000-0005-0000-0000-0000C3060000}"/>
    <cellStyle name="쉼표 [0] 3 2 16 2 2" xfId="1711" xr:uid="{00000000-0005-0000-0000-0000C4060000}"/>
    <cellStyle name="쉼표 [0] 3 2 16 2 2 2" xfId="1712" xr:uid="{00000000-0005-0000-0000-0000C5060000}"/>
    <cellStyle name="쉼표 [0] 3 2 16 3" xfId="1713" xr:uid="{00000000-0005-0000-0000-0000C6060000}"/>
    <cellStyle name="쉼표 [0] 3 2 16 4" xfId="1714" xr:uid="{00000000-0005-0000-0000-0000C7060000}"/>
    <cellStyle name="쉼표 [0] 3 2 16 5" xfId="1715" xr:uid="{00000000-0005-0000-0000-0000C8060000}"/>
    <cellStyle name="쉼표 [0] 3 2 16 6" xfId="1716" xr:uid="{00000000-0005-0000-0000-0000C9060000}"/>
    <cellStyle name="쉼표 [0] 3 2 17" xfId="1717" xr:uid="{00000000-0005-0000-0000-0000CA060000}"/>
    <cellStyle name="쉼표 [0] 3 2 17 2" xfId="1718" xr:uid="{00000000-0005-0000-0000-0000CB060000}"/>
    <cellStyle name="쉼표 [0] 3 2 17 2 2" xfId="1719" xr:uid="{00000000-0005-0000-0000-0000CC060000}"/>
    <cellStyle name="쉼표 [0] 3 2 17 2 2 2" xfId="1720" xr:uid="{00000000-0005-0000-0000-0000CD060000}"/>
    <cellStyle name="쉼표 [0] 3 2 17 3" xfId="1721" xr:uid="{00000000-0005-0000-0000-0000CE060000}"/>
    <cellStyle name="쉼표 [0] 3 2 17 4" xfId="1722" xr:uid="{00000000-0005-0000-0000-0000CF060000}"/>
    <cellStyle name="쉼표 [0] 3 2 17 5" xfId="1723" xr:uid="{00000000-0005-0000-0000-0000D0060000}"/>
    <cellStyle name="쉼표 [0] 3 2 17 6" xfId="1724" xr:uid="{00000000-0005-0000-0000-0000D1060000}"/>
    <cellStyle name="쉼표 [0] 3 2 18" xfId="1725" xr:uid="{00000000-0005-0000-0000-0000D2060000}"/>
    <cellStyle name="쉼표 [0] 3 2 18 2" xfId="1726" xr:uid="{00000000-0005-0000-0000-0000D3060000}"/>
    <cellStyle name="쉼표 [0] 3 2 18 2 2" xfId="1727" xr:uid="{00000000-0005-0000-0000-0000D4060000}"/>
    <cellStyle name="쉼표 [0] 3 2 18 2 2 2" xfId="1728" xr:uid="{00000000-0005-0000-0000-0000D5060000}"/>
    <cellStyle name="쉼표 [0] 3 2 18 3" xfId="1729" xr:uid="{00000000-0005-0000-0000-0000D6060000}"/>
    <cellStyle name="쉼표 [0] 3 2 18 4" xfId="1730" xr:uid="{00000000-0005-0000-0000-0000D7060000}"/>
    <cellStyle name="쉼표 [0] 3 2 18 5" xfId="1731" xr:uid="{00000000-0005-0000-0000-0000D8060000}"/>
    <cellStyle name="쉼표 [0] 3 2 18 6" xfId="1732" xr:uid="{00000000-0005-0000-0000-0000D9060000}"/>
    <cellStyle name="쉼표 [0] 3 2 19" xfId="1733" xr:uid="{00000000-0005-0000-0000-0000DA060000}"/>
    <cellStyle name="쉼표 [0] 3 2 19 2" xfId="1734" xr:uid="{00000000-0005-0000-0000-0000DB060000}"/>
    <cellStyle name="쉼표 [0] 3 2 19 2 2" xfId="1735" xr:uid="{00000000-0005-0000-0000-0000DC060000}"/>
    <cellStyle name="쉼표 [0] 3 2 19 2 2 2" xfId="1736" xr:uid="{00000000-0005-0000-0000-0000DD060000}"/>
    <cellStyle name="쉼표 [0] 3 2 19 3" xfId="1737" xr:uid="{00000000-0005-0000-0000-0000DE060000}"/>
    <cellStyle name="쉼표 [0] 3 2 19 4" xfId="1738" xr:uid="{00000000-0005-0000-0000-0000DF060000}"/>
    <cellStyle name="쉼표 [0] 3 2 19 5" xfId="1739" xr:uid="{00000000-0005-0000-0000-0000E0060000}"/>
    <cellStyle name="쉼표 [0] 3 2 19 6" xfId="1740" xr:uid="{00000000-0005-0000-0000-0000E1060000}"/>
    <cellStyle name="쉼표 [0] 3 2 2" xfId="1741" xr:uid="{00000000-0005-0000-0000-0000E2060000}"/>
    <cellStyle name="쉼표 [0] 3 2 2 2" xfId="1742" xr:uid="{00000000-0005-0000-0000-0000E3060000}"/>
    <cellStyle name="쉼표 [0] 3 2 2 2 2" xfId="1743" xr:uid="{00000000-0005-0000-0000-0000E4060000}"/>
    <cellStyle name="쉼표 [0] 3 2 2 2 2 2" xfId="1744" xr:uid="{00000000-0005-0000-0000-0000E5060000}"/>
    <cellStyle name="쉼표 [0] 3 2 2 2 2 3" xfId="1745" xr:uid="{00000000-0005-0000-0000-0000E6060000}"/>
    <cellStyle name="쉼표 [0] 3 2 2 2 2 4" xfId="1746" xr:uid="{00000000-0005-0000-0000-0000E7060000}"/>
    <cellStyle name="쉼표 [0] 3 2 2 2 2 5" xfId="1747" xr:uid="{00000000-0005-0000-0000-0000E8060000}"/>
    <cellStyle name="쉼표 [0] 3 2 2 2 2 5 2" xfId="1748" xr:uid="{00000000-0005-0000-0000-0000E9060000}"/>
    <cellStyle name="쉼표 [0] 3 2 2 2 2 6" xfId="1749" xr:uid="{00000000-0005-0000-0000-0000EA060000}"/>
    <cellStyle name="쉼표 [0] 3 2 2 2 3" xfId="1750" xr:uid="{00000000-0005-0000-0000-0000EB060000}"/>
    <cellStyle name="쉼표 [0] 3 2 2 2 3 2" xfId="1751" xr:uid="{00000000-0005-0000-0000-0000EC060000}"/>
    <cellStyle name="쉼표 [0] 3 2 2 2 3 3" xfId="1752" xr:uid="{00000000-0005-0000-0000-0000ED060000}"/>
    <cellStyle name="쉼표 [0] 3 2 2 2 3 4" xfId="1753" xr:uid="{00000000-0005-0000-0000-0000EE060000}"/>
    <cellStyle name="쉼표 [0] 3 2 2 2 3 5" xfId="1754" xr:uid="{00000000-0005-0000-0000-0000EF060000}"/>
    <cellStyle name="쉼표 [0] 3 2 2 2 4" xfId="1755" xr:uid="{00000000-0005-0000-0000-0000F0060000}"/>
    <cellStyle name="쉼표 [0] 3 2 2 2 4 2" xfId="1756" xr:uid="{00000000-0005-0000-0000-0000F1060000}"/>
    <cellStyle name="쉼표 [0] 3 2 2 2 4 3" xfId="1757" xr:uid="{00000000-0005-0000-0000-0000F2060000}"/>
    <cellStyle name="쉼표 [0] 3 2 2 2 4 4" xfId="1758" xr:uid="{00000000-0005-0000-0000-0000F3060000}"/>
    <cellStyle name="쉼표 [0] 3 2 2 2 4 5" xfId="1759" xr:uid="{00000000-0005-0000-0000-0000F4060000}"/>
    <cellStyle name="쉼표 [0] 3 2 2 2 5" xfId="1760" xr:uid="{00000000-0005-0000-0000-0000F5060000}"/>
    <cellStyle name="쉼표 [0] 3 2 2 3" xfId="1761" xr:uid="{00000000-0005-0000-0000-0000F6060000}"/>
    <cellStyle name="쉼표 [0] 3 2 2 4" xfId="1762" xr:uid="{00000000-0005-0000-0000-0000F7060000}"/>
    <cellStyle name="쉼표 [0] 3 2 2 5" xfId="1763" xr:uid="{00000000-0005-0000-0000-0000F8060000}"/>
    <cellStyle name="쉼표 [0] 3 2 2 6" xfId="1764" xr:uid="{00000000-0005-0000-0000-0000F9060000}"/>
    <cellStyle name="쉼표 [0] 3 2 2 7" xfId="1765" xr:uid="{00000000-0005-0000-0000-0000FA060000}"/>
    <cellStyle name="쉼표 [0] 3 2 2 8" xfId="1766" xr:uid="{00000000-0005-0000-0000-0000FB060000}"/>
    <cellStyle name="쉼표 [0] 3 2 2 9" xfId="1767" xr:uid="{00000000-0005-0000-0000-0000FC060000}"/>
    <cellStyle name="쉼표 [0] 3 2 20" xfId="1768" xr:uid="{00000000-0005-0000-0000-0000FD060000}"/>
    <cellStyle name="쉼표 [0] 3 2 20 2" xfId="1769" xr:uid="{00000000-0005-0000-0000-0000FE060000}"/>
    <cellStyle name="쉼표 [0] 3 2 20 2 2" xfId="1770" xr:uid="{00000000-0005-0000-0000-0000FF060000}"/>
    <cellStyle name="쉼표 [0] 3 2 20 2 2 2" xfId="1771" xr:uid="{00000000-0005-0000-0000-000000070000}"/>
    <cellStyle name="쉼표 [0] 3 2 20 3" xfId="1772" xr:uid="{00000000-0005-0000-0000-000001070000}"/>
    <cellStyle name="쉼표 [0] 3 2 20 4" xfId="1773" xr:uid="{00000000-0005-0000-0000-000002070000}"/>
    <cellStyle name="쉼표 [0] 3 2 20 5" xfId="1774" xr:uid="{00000000-0005-0000-0000-000003070000}"/>
    <cellStyle name="쉼표 [0] 3 2 20 6" xfId="1775" xr:uid="{00000000-0005-0000-0000-000004070000}"/>
    <cellStyle name="쉼표 [0] 3 2 21" xfId="1776" xr:uid="{00000000-0005-0000-0000-000005070000}"/>
    <cellStyle name="쉼표 [0] 3 2 21 2" xfId="1777" xr:uid="{00000000-0005-0000-0000-000006070000}"/>
    <cellStyle name="쉼표 [0] 3 2 21 2 2" xfId="1778" xr:uid="{00000000-0005-0000-0000-000007070000}"/>
    <cellStyle name="쉼표 [0] 3 2 21 2 2 2" xfId="1779" xr:uid="{00000000-0005-0000-0000-000008070000}"/>
    <cellStyle name="쉼표 [0] 3 2 21 3" xfId="1780" xr:uid="{00000000-0005-0000-0000-000009070000}"/>
    <cellStyle name="쉼표 [0] 3 2 21 4" xfId="1781" xr:uid="{00000000-0005-0000-0000-00000A070000}"/>
    <cellStyle name="쉼표 [0] 3 2 21 5" xfId="1782" xr:uid="{00000000-0005-0000-0000-00000B070000}"/>
    <cellStyle name="쉼표 [0] 3 2 21 6" xfId="1783" xr:uid="{00000000-0005-0000-0000-00000C070000}"/>
    <cellStyle name="쉼표 [0] 3 2 22" xfId="1784" xr:uid="{00000000-0005-0000-0000-00000D070000}"/>
    <cellStyle name="쉼표 [0] 3 2 22 2" xfId="1785" xr:uid="{00000000-0005-0000-0000-00000E070000}"/>
    <cellStyle name="쉼표 [0] 3 2 22 2 2" xfId="1786" xr:uid="{00000000-0005-0000-0000-00000F070000}"/>
    <cellStyle name="쉼표 [0] 3 2 22 2 2 2" xfId="1787" xr:uid="{00000000-0005-0000-0000-000010070000}"/>
    <cellStyle name="쉼표 [0] 3 2 22 3" xfId="1788" xr:uid="{00000000-0005-0000-0000-000011070000}"/>
    <cellStyle name="쉼표 [0] 3 2 22 4" xfId="1789" xr:uid="{00000000-0005-0000-0000-000012070000}"/>
    <cellStyle name="쉼표 [0] 3 2 22 5" xfId="1790" xr:uid="{00000000-0005-0000-0000-000013070000}"/>
    <cellStyle name="쉼표 [0] 3 2 22 6" xfId="1791" xr:uid="{00000000-0005-0000-0000-000014070000}"/>
    <cellStyle name="쉼표 [0] 3 2 23" xfId="1792" xr:uid="{00000000-0005-0000-0000-000015070000}"/>
    <cellStyle name="쉼표 [0] 3 2 23 2" xfId="1793" xr:uid="{00000000-0005-0000-0000-000016070000}"/>
    <cellStyle name="쉼표 [0] 3 2 23 2 2" xfId="1794" xr:uid="{00000000-0005-0000-0000-000017070000}"/>
    <cellStyle name="쉼표 [0] 3 2 23 2 2 2" xfId="1795" xr:uid="{00000000-0005-0000-0000-000018070000}"/>
    <cellStyle name="쉼표 [0] 3 2 23 3" xfId="1796" xr:uid="{00000000-0005-0000-0000-000019070000}"/>
    <cellStyle name="쉼표 [0] 3 2 23 4" xfId="1797" xr:uid="{00000000-0005-0000-0000-00001A070000}"/>
    <cellStyle name="쉼표 [0] 3 2 23 5" xfId="1798" xr:uid="{00000000-0005-0000-0000-00001B070000}"/>
    <cellStyle name="쉼표 [0] 3 2 23 6" xfId="1799" xr:uid="{00000000-0005-0000-0000-00001C070000}"/>
    <cellStyle name="쉼표 [0] 3 2 24" xfId="1800" xr:uid="{00000000-0005-0000-0000-00001D070000}"/>
    <cellStyle name="쉼표 [0] 3 2 24 2" xfId="1801" xr:uid="{00000000-0005-0000-0000-00001E070000}"/>
    <cellStyle name="쉼표 [0] 3 2 24 2 2" xfId="1802" xr:uid="{00000000-0005-0000-0000-00001F070000}"/>
    <cellStyle name="쉼표 [0] 3 2 24 2 2 2" xfId="1803" xr:uid="{00000000-0005-0000-0000-000020070000}"/>
    <cellStyle name="쉼표 [0] 3 2 24 3" xfId="1804" xr:uid="{00000000-0005-0000-0000-000021070000}"/>
    <cellStyle name="쉼표 [0] 3 2 24 4" xfId="1805" xr:uid="{00000000-0005-0000-0000-000022070000}"/>
    <cellStyle name="쉼표 [0] 3 2 24 5" xfId="1806" xr:uid="{00000000-0005-0000-0000-000023070000}"/>
    <cellStyle name="쉼표 [0] 3 2 24 6" xfId="1807" xr:uid="{00000000-0005-0000-0000-000024070000}"/>
    <cellStyle name="쉼표 [0] 3 2 25" xfId="1808" xr:uid="{00000000-0005-0000-0000-000025070000}"/>
    <cellStyle name="쉼표 [0] 3 2 25 2" xfId="1809" xr:uid="{00000000-0005-0000-0000-000026070000}"/>
    <cellStyle name="쉼표 [0] 3 2 25 2 2" xfId="1810" xr:uid="{00000000-0005-0000-0000-000027070000}"/>
    <cellStyle name="쉼표 [0] 3 2 25 2 2 2" xfId="1811" xr:uid="{00000000-0005-0000-0000-000028070000}"/>
    <cellStyle name="쉼표 [0] 3 2 25 3" xfId="1812" xr:uid="{00000000-0005-0000-0000-000029070000}"/>
    <cellStyle name="쉼표 [0] 3 2 25 4" xfId="1813" xr:uid="{00000000-0005-0000-0000-00002A070000}"/>
    <cellStyle name="쉼표 [0] 3 2 25 5" xfId="1814" xr:uid="{00000000-0005-0000-0000-00002B070000}"/>
    <cellStyle name="쉼표 [0] 3 2 25 6" xfId="1815" xr:uid="{00000000-0005-0000-0000-00002C070000}"/>
    <cellStyle name="쉼표 [0] 3 2 26" xfId="1816" xr:uid="{00000000-0005-0000-0000-00002D070000}"/>
    <cellStyle name="쉼표 [0] 3 2 26 2" xfId="1817" xr:uid="{00000000-0005-0000-0000-00002E070000}"/>
    <cellStyle name="쉼표 [0] 3 2 26 2 2" xfId="1818" xr:uid="{00000000-0005-0000-0000-00002F070000}"/>
    <cellStyle name="쉼표 [0] 3 2 26 2 2 2" xfId="1819" xr:uid="{00000000-0005-0000-0000-000030070000}"/>
    <cellStyle name="쉼표 [0] 3 2 26 3" xfId="1820" xr:uid="{00000000-0005-0000-0000-000031070000}"/>
    <cellStyle name="쉼표 [0] 3 2 26 4" xfId="1821" xr:uid="{00000000-0005-0000-0000-000032070000}"/>
    <cellStyle name="쉼표 [0] 3 2 26 5" xfId="1822" xr:uid="{00000000-0005-0000-0000-000033070000}"/>
    <cellStyle name="쉼표 [0] 3 2 26 6" xfId="1823" xr:uid="{00000000-0005-0000-0000-000034070000}"/>
    <cellStyle name="쉼표 [0] 3 2 27" xfId="1824" xr:uid="{00000000-0005-0000-0000-000035070000}"/>
    <cellStyle name="쉼표 [0] 3 2 27 2" xfId="1825" xr:uid="{00000000-0005-0000-0000-000036070000}"/>
    <cellStyle name="쉼표 [0] 3 2 27 2 2" xfId="1826" xr:uid="{00000000-0005-0000-0000-000037070000}"/>
    <cellStyle name="쉼표 [0] 3 2 27 2 2 2" xfId="1827" xr:uid="{00000000-0005-0000-0000-000038070000}"/>
    <cellStyle name="쉼표 [0] 3 2 27 3" xfId="1828" xr:uid="{00000000-0005-0000-0000-000039070000}"/>
    <cellStyle name="쉼표 [0] 3 2 27 4" xfId="1829" xr:uid="{00000000-0005-0000-0000-00003A070000}"/>
    <cellStyle name="쉼표 [0] 3 2 27 5" xfId="1830" xr:uid="{00000000-0005-0000-0000-00003B070000}"/>
    <cellStyle name="쉼표 [0] 3 2 27 6" xfId="1831" xr:uid="{00000000-0005-0000-0000-00003C070000}"/>
    <cellStyle name="쉼표 [0] 3 2 28" xfId="1832" xr:uid="{00000000-0005-0000-0000-00003D070000}"/>
    <cellStyle name="쉼표 [0] 3 2 28 2" xfId="1833" xr:uid="{00000000-0005-0000-0000-00003E070000}"/>
    <cellStyle name="쉼표 [0] 3 2 28 2 2" xfId="1834" xr:uid="{00000000-0005-0000-0000-00003F070000}"/>
    <cellStyle name="쉼표 [0] 3 2 28 2 2 2" xfId="1835" xr:uid="{00000000-0005-0000-0000-000040070000}"/>
    <cellStyle name="쉼표 [0] 3 2 28 3" xfId="1836" xr:uid="{00000000-0005-0000-0000-000041070000}"/>
    <cellStyle name="쉼표 [0] 3 2 28 4" xfId="1837" xr:uid="{00000000-0005-0000-0000-000042070000}"/>
    <cellStyle name="쉼표 [0] 3 2 28 5" xfId="1838" xr:uid="{00000000-0005-0000-0000-000043070000}"/>
    <cellStyle name="쉼표 [0] 3 2 28 6" xfId="1839" xr:uid="{00000000-0005-0000-0000-000044070000}"/>
    <cellStyle name="쉼표 [0] 3 2 29" xfId="1840" xr:uid="{00000000-0005-0000-0000-000045070000}"/>
    <cellStyle name="쉼표 [0] 3 2 29 2" xfId="1841" xr:uid="{00000000-0005-0000-0000-000046070000}"/>
    <cellStyle name="쉼표 [0] 3 2 29 2 2" xfId="1842" xr:uid="{00000000-0005-0000-0000-000047070000}"/>
    <cellStyle name="쉼표 [0] 3 2 29 2 2 2" xfId="1843" xr:uid="{00000000-0005-0000-0000-000048070000}"/>
    <cellStyle name="쉼표 [0] 3 2 29 3" xfId="1844" xr:uid="{00000000-0005-0000-0000-000049070000}"/>
    <cellStyle name="쉼표 [0] 3 2 29 4" xfId="1845" xr:uid="{00000000-0005-0000-0000-00004A070000}"/>
    <cellStyle name="쉼표 [0] 3 2 29 5" xfId="1846" xr:uid="{00000000-0005-0000-0000-00004B070000}"/>
    <cellStyle name="쉼표 [0] 3 2 29 6" xfId="1847" xr:uid="{00000000-0005-0000-0000-00004C070000}"/>
    <cellStyle name="쉼표 [0] 3 2 3" xfId="1848" xr:uid="{00000000-0005-0000-0000-00004D070000}"/>
    <cellStyle name="쉼표 [0] 3 2 3 2" xfId="1849" xr:uid="{00000000-0005-0000-0000-00004E070000}"/>
    <cellStyle name="쉼표 [0] 3 2 3 2 2" xfId="1850" xr:uid="{00000000-0005-0000-0000-00004F070000}"/>
    <cellStyle name="쉼표 [0] 3 2 3 2 2 2" xfId="1851" xr:uid="{00000000-0005-0000-0000-000050070000}"/>
    <cellStyle name="쉼표 [0] 3 2 3 3" xfId="1852" xr:uid="{00000000-0005-0000-0000-000051070000}"/>
    <cellStyle name="쉼표 [0] 3 2 3 4" xfId="1853" xr:uid="{00000000-0005-0000-0000-000052070000}"/>
    <cellStyle name="쉼표 [0] 3 2 3 5" xfId="1854" xr:uid="{00000000-0005-0000-0000-000053070000}"/>
    <cellStyle name="쉼표 [0] 3 2 3 6" xfId="1855" xr:uid="{00000000-0005-0000-0000-000054070000}"/>
    <cellStyle name="쉼표 [0] 3 2 30" xfId="1856" xr:uid="{00000000-0005-0000-0000-000055070000}"/>
    <cellStyle name="쉼표 [0] 3 2 30 2" xfId="1857" xr:uid="{00000000-0005-0000-0000-000056070000}"/>
    <cellStyle name="쉼표 [0] 3 2 30 2 2" xfId="1858" xr:uid="{00000000-0005-0000-0000-000057070000}"/>
    <cellStyle name="쉼표 [0] 3 2 30 2 2 2" xfId="1859" xr:uid="{00000000-0005-0000-0000-000058070000}"/>
    <cellStyle name="쉼표 [0] 3 2 30 3" xfId="1860" xr:uid="{00000000-0005-0000-0000-000059070000}"/>
    <cellStyle name="쉼표 [0] 3 2 30 4" xfId="1861" xr:uid="{00000000-0005-0000-0000-00005A070000}"/>
    <cellStyle name="쉼표 [0] 3 2 30 5" xfId="1862" xr:uid="{00000000-0005-0000-0000-00005B070000}"/>
    <cellStyle name="쉼표 [0] 3 2 30 6" xfId="1863" xr:uid="{00000000-0005-0000-0000-00005C070000}"/>
    <cellStyle name="쉼표 [0] 3 2 31" xfId="1864" xr:uid="{00000000-0005-0000-0000-00005D070000}"/>
    <cellStyle name="쉼표 [0] 3 2 31 2" xfId="1865" xr:uid="{00000000-0005-0000-0000-00005E070000}"/>
    <cellStyle name="쉼표 [0] 3 2 31 2 2" xfId="1866" xr:uid="{00000000-0005-0000-0000-00005F070000}"/>
    <cellStyle name="쉼표 [0] 3 2 31 2 2 2" xfId="1867" xr:uid="{00000000-0005-0000-0000-000060070000}"/>
    <cellStyle name="쉼표 [0] 3 2 31 3" xfId="1868" xr:uid="{00000000-0005-0000-0000-000061070000}"/>
    <cellStyle name="쉼표 [0] 3 2 31 4" xfId="1869" xr:uid="{00000000-0005-0000-0000-000062070000}"/>
    <cellStyle name="쉼표 [0] 3 2 31 5" xfId="1870" xr:uid="{00000000-0005-0000-0000-000063070000}"/>
    <cellStyle name="쉼표 [0] 3 2 31 6" xfId="1871" xr:uid="{00000000-0005-0000-0000-000064070000}"/>
    <cellStyle name="쉼표 [0] 3 2 32" xfId="1872" xr:uid="{00000000-0005-0000-0000-000065070000}"/>
    <cellStyle name="쉼표 [0] 3 2 32 2" xfId="1873" xr:uid="{00000000-0005-0000-0000-000066070000}"/>
    <cellStyle name="쉼표 [0] 3 2 32 2 2" xfId="1874" xr:uid="{00000000-0005-0000-0000-000067070000}"/>
    <cellStyle name="쉼표 [0] 3 2 32 2 2 2" xfId="1875" xr:uid="{00000000-0005-0000-0000-000068070000}"/>
    <cellStyle name="쉼표 [0] 3 2 32 3" xfId="1876" xr:uid="{00000000-0005-0000-0000-000069070000}"/>
    <cellStyle name="쉼표 [0] 3 2 32 4" xfId="1877" xr:uid="{00000000-0005-0000-0000-00006A070000}"/>
    <cellStyle name="쉼표 [0] 3 2 32 5" xfId="1878" xr:uid="{00000000-0005-0000-0000-00006B070000}"/>
    <cellStyle name="쉼표 [0] 3 2 32 6" xfId="1879" xr:uid="{00000000-0005-0000-0000-00006C070000}"/>
    <cellStyle name="쉼표 [0] 3 2 33" xfId="1880" xr:uid="{00000000-0005-0000-0000-00006D070000}"/>
    <cellStyle name="쉼표 [0] 3 2 33 2" xfId="1881" xr:uid="{00000000-0005-0000-0000-00006E070000}"/>
    <cellStyle name="쉼표 [0] 3 2 33 2 2" xfId="1882" xr:uid="{00000000-0005-0000-0000-00006F070000}"/>
    <cellStyle name="쉼표 [0] 3 2 33 2 2 2" xfId="1883" xr:uid="{00000000-0005-0000-0000-000070070000}"/>
    <cellStyle name="쉼표 [0] 3 2 33 3" xfId="1884" xr:uid="{00000000-0005-0000-0000-000071070000}"/>
    <cellStyle name="쉼표 [0] 3 2 33 4" xfId="1885" xr:uid="{00000000-0005-0000-0000-000072070000}"/>
    <cellStyle name="쉼표 [0] 3 2 33 5" xfId="1886" xr:uid="{00000000-0005-0000-0000-000073070000}"/>
    <cellStyle name="쉼표 [0] 3 2 33 6" xfId="1887" xr:uid="{00000000-0005-0000-0000-000074070000}"/>
    <cellStyle name="쉼표 [0] 3 2 34" xfId="1888" xr:uid="{00000000-0005-0000-0000-000075070000}"/>
    <cellStyle name="쉼표 [0] 3 2 34 2" xfId="1889" xr:uid="{00000000-0005-0000-0000-000076070000}"/>
    <cellStyle name="쉼표 [0] 3 2 34 2 2" xfId="1890" xr:uid="{00000000-0005-0000-0000-000077070000}"/>
    <cellStyle name="쉼표 [0] 3 2 34 2 2 2" xfId="1891" xr:uid="{00000000-0005-0000-0000-000078070000}"/>
    <cellStyle name="쉼표 [0] 3 2 34 3" xfId="1892" xr:uid="{00000000-0005-0000-0000-000079070000}"/>
    <cellStyle name="쉼표 [0] 3 2 34 4" xfId="1893" xr:uid="{00000000-0005-0000-0000-00007A070000}"/>
    <cellStyle name="쉼표 [0] 3 2 34 5" xfId="1894" xr:uid="{00000000-0005-0000-0000-00007B070000}"/>
    <cellStyle name="쉼표 [0] 3 2 34 6" xfId="1895" xr:uid="{00000000-0005-0000-0000-00007C070000}"/>
    <cellStyle name="쉼표 [0] 3 2 35" xfId="1896" xr:uid="{00000000-0005-0000-0000-00007D070000}"/>
    <cellStyle name="쉼표 [0] 3 2 35 2" xfId="1897" xr:uid="{00000000-0005-0000-0000-00007E070000}"/>
    <cellStyle name="쉼표 [0] 3 2 35 2 2" xfId="1898" xr:uid="{00000000-0005-0000-0000-00007F070000}"/>
    <cellStyle name="쉼표 [0] 3 2 35 2 2 2" xfId="1899" xr:uid="{00000000-0005-0000-0000-000080070000}"/>
    <cellStyle name="쉼표 [0] 3 2 35 3" xfId="1900" xr:uid="{00000000-0005-0000-0000-000081070000}"/>
    <cellStyle name="쉼표 [0] 3 2 35 4" xfId="1901" xr:uid="{00000000-0005-0000-0000-000082070000}"/>
    <cellStyle name="쉼표 [0] 3 2 35 5" xfId="1902" xr:uid="{00000000-0005-0000-0000-000083070000}"/>
    <cellStyle name="쉼표 [0] 3 2 35 6" xfId="1903" xr:uid="{00000000-0005-0000-0000-000084070000}"/>
    <cellStyle name="쉼표 [0] 3 2 36" xfId="1904" xr:uid="{00000000-0005-0000-0000-000085070000}"/>
    <cellStyle name="쉼표 [0] 3 2 36 2" xfId="1905" xr:uid="{00000000-0005-0000-0000-000086070000}"/>
    <cellStyle name="쉼표 [0] 3 2 36 3" xfId="1906" xr:uid="{00000000-0005-0000-0000-000087070000}"/>
    <cellStyle name="쉼표 [0] 3 2 36 4" xfId="1907" xr:uid="{00000000-0005-0000-0000-000088070000}"/>
    <cellStyle name="쉼표 [0] 3 2 36 5" xfId="1908" xr:uid="{00000000-0005-0000-0000-000089070000}"/>
    <cellStyle name="쉼표 [0] 3 2 36 5 2" xfId="1909" xr:uid="{00000000-0005-0000-0000-00008A070000}"/>
    <cellStyle name="쉼표 [0] 3 2 36 6" xfId="1910" xr:uid="{00000000-0005-0000-0000-00008B070000}"/>
    <cellStyle name="쉼표 [0] 3 2 37" xfId="1911" xr:uid="{00000000-0005-0000-0000-00008C070000}"/>
    <cellStyle name="쉼표 [0] 3 2 37 2" xfId="1912" xr:uid="{00000000-0005-0000-0000-00008D070000}"/>
    <cellStyle name="쉼표 [0] 3 2 37 3" xfId="1913" xr:uid="{00000000-0005-0000-0000-00008E070000}"/>
    <cellStyle name="쉼표 [0] 3 2 37 4" xfId="1914" xr:uid="{00000000-0005-0000-0000-00008F070000}"/>
    <cellStyle name="쉼표 [0] 3 2 37 5" xfId="1915" xr:uid="{00000000-0005-0000-0000-000090070000}"/>
    <cellStyle name="쉼표 [0] 3 2 38" xfId="1916" xr:uid="{00000000-0005-0000-0000-000091070000}"/>
    <cellStyle name="쉼표 [0] 3 2 38 2" xfId="1917" xr:uid="{00000000-0005-0000-0000-000092070000}"/>
    <cellStyle name="쉼표 [0] 3 2 38 3" xfId="1918" xr:uid="{00000000-0005-0000-0000-000093070000}"/>
    <cellStyle name="쉼표 [0] 3 2 38 4" xfId="1919" xr:uid="{00000000-0005-0000-0000-000094070000}"/>
    <cellStyle name="쉼표 [0] 3 2 38 5" xfId="1920" xr:uid="{00000000-0005-0000-0000-000095070000}"/>
    <cellStyle name="쉼표 [0] 3 2 39" xfId="1921" xr:uid="{00000000-0005-0000-0000-000096070000}"/>
    <cellStyle name="쉼표 [0] 3 2 39 2" xfId="1922" xr:uid="{00000000-0005-0000-0000-000097070000}"/>
    <cellStyle name="쉼표 [0] 3 2 4" xfId="1923" xr:uid="{00000000-0005-0000-0000-000098070000}"/>
    <cellStyle name="쉼표 [0] 3 2 4 2" xfId="1924" xr:uid="{00000000-0005-0000-0000-000099070000}"/>
    <cellStyle name="쉼표 [0] 3 2 4 2 2" xfId="1925" xr:uid="{00000000-0005-0000-0000-00009A070000}"/>
    <cellStyle name="쉼표 [0] 3 2 4 2 2 2" xfId="1926" xr:uid="{00000000-0005-0000-0000-00009B070000}"/>
    <cellStyle name="쉼표 [0] 3 2 4 3" xfId="1927" xr:uid="{00000000-0005-0000-0000-00009C070000}"/>
    <cellStyle name="쉼표 [0] 3 2 4 4" xfId="1928" xr:uid="{00000000-0005-0000-0000-00009D070000}"/>
    <cellStyle name="쉼표 [0] 3 2 4 5" xfId="1929" xr:uid="{00000000-0005-0000-0000-00009E070000}"/>
    <cellStyle name="쉼표 [0] 3 2 4 6" xfId="1930" xr:uid="{00000000-0005-0000-0000-00009F070000}"/>
    <cellStyle name="쉼표 [0] 3 2 40" xfId="1931" xr:uid="{00000000-0005-0000-0000-0000A0070000}"/>
    <cellStyle name="쉼표 [0] 3 2 5" xfId="1932" xr:uid="{00000000-0005-0000-0000-0000A1070000}"/>
    <cellStyle name="쉼표 [0] 3 2 5 2" xfId="1933" xr:uid="{00000000-0005-0000-0000-0000A2070000}"/>
    <cellStyle name="쉼표 [0] 3 2 5 2 2" xfId="1934" xr:uid="{00000000-0005-0000-0000-0000A3070000}"/>
    <cellStyle name="쉼표 [0] 3 2 5 2 2 2" xfId="1935" xr:uid="{00000000-0005-0000-0000-0000A4070000}"/>
    <cellStyle name="쉼표 [0] 3 2 5 3" xfId="1936" xr:uid="{00000000-0005-0000-0000-0000A5070000}"/>
    <cellStyle name="쉼표 [0] 3 2 5 4" xfId="1937" xr:uid="{00000000-0005-0000-0000-0000A6070000}"/>
    <cellStyle name="쉼표 [0] 3 2 5 5" xfId="1938" xr:uid="{00000000-0005-0000-0000-0000A7070000}"/>
    <cellStyle name="쉼표 [0] 3 2 5 6" xfId="1939" xr:uid="{00000000-0005-0000-0000-0000A8070000}"/>
    <cellStyle name="쉼표 [0] 3 2 6" xfId="1940" xr:uid="{00000000-0005-0000-0000-0000A9070000}"/>
    <cellStyle name="쉼표 [0] 3 2 6 2" xfId="1941" xr:uid="{00000000-0005-0000-0000-0000AA070000}"/>
    <cellStyle name="쉼표 [0] 3 2 6 2 2" xfId="1942" xr:uid="{00000000-0005-0000-0000-0000AB070000}"/>
    <cellStyle name="쉼표 [0] 3 2 6 2 2 2" xfId="1943" xr:uid="{00000000-0005-0000-0000-0000AC070000}"/>
    <cellStyle name="쉼표 [0] 3 2 6 3" xfId="1944" xr:uid="{00000000-0005-0000-0000-0000AD070000}"/>
    <cellStyle name="쉼표 [0] 3 2 6 4" xfId="1945" xr:uid="{00000000-0005-0000-0000-0000AE070000}"/>
    <cellStyle name="쉼표 [0] 3 2 6 5" xfId="1946" xr:uid="{00000000-0005-0000-0000-0000AF070000}"/>
    <cellStyle name="쉼표 [0] 3 2 6 6" xfId="1947" xr:uid="{00000000-0005-0000-0000-0000B0070000}"/>
    <cellStyle name="쉼표 [0] 3 2 7" xfId="1948" xr:uid="{00000000-0005-0000-0000-0000B1070000}"/>
    <cellStyle name="쉼표 [0] 3 2 7 2" xfId="1949" xr:uid="{00000000-0005-0000-0000-0000B2070000}"/>
    <cellStyle name="쉼표 [0] 3 2 7 2 2" xfId="1950" xr:uid="{00000000-0005-0000-0000-0000B3070000}"/>
    <cellStyle name="쉼표 [0] 3 2 7 2 2 2" xfId="1951" xr:uid="{00000000-0005-0000-0000-0000B4070000}"/>
    <cellStyle name="쉼표 [0] 3 2 7 3" xfId="1952" xr:uid="{00000000-0005-0000-0000-0000B5070000}"/>
    <cellStyle name="쉼표 [0] 3 2 7 4" xfId="1953" xr:uid="{00000000-0005-0000-0000-0000B6070000}"/>
    <cellStyle name="쉼표 [0] 3 2 7 5" xfId="1954" xr:uid="{00000000-0005-0000-0000-0000B7070000}"/>
    <cellStyle name="쉼표 [0] 3 2 7 6" xfId="1955" xr:uid="{00000000-0005-0000-0000-0000B8070000}"/>
    <cellStyle name="쉼표 [0] 3 2 8" xfId="1956" xr:uid="{00000000-0005-0000-0000-0000B9070000}"/>
    <cellStyle name="쉼표 [0] 3 2 8 2" xfId="1957" xr:uid="{00000000-0005-0000-0000-0000BA070000}"/>
    <cellStyle name="쉼표 [0] 3 2 8 2 2" xfId="1958" xr:uid="{00000000-0005-0000-0000-0000BB070000}"/>
    <cellStyle name="쉼표 [0] 3 2 8 2 2 2" xfId="1959" xr:uid="{00000000-0005-0000-0000-0000BC070000}"/>
    <cellStyle name="쉼표 [0] 3 2 8 3" xfId="1960" xr:uid="{00000000-0005-0000-0000-0000BD070000}"/>
    <cellStyle name="쉼표 [0] 3 2 8 4" xfId="1961" xr:uid="{00000000-0005-0000-0000-0000BE070000}"/>
    <cellStyle name="쉼표 [0] 3 2 8 5" xfId="1962" xr:uid="{00000000-0005-0000-0000-0000BF070000}"/>
    <cellStyle name="쉼표 [0] 3 2 8 6" xfId="1963" xr:uid="{00000000-0005-0000-0000-0000C0070000}"/>
    <cellStyle name="쉼표 [0] 3 2 9" xfId="1964" xr:uid="{00000000-0005-0000-0000-0000C1070000}"/>
    <cellStyle name="쉼표 [0] 3 2 9 2" xfId="1965" xr:uid="{00000000-0005-0000-0000-0000C2070000}"/>
    <cellStyle name="쉼표 [0] 3 2 9 2 2" xfId="1966" xr:uid="{00000000-0005-0000-0000-0000C3070000}"/>
    <cellStyle name="쉼표 [0] 3 2 9 2 2 2" xfId="1967" xr:uid="{00000000-0005-0000-0000-0000C4070000}"/>
    <cellStyle name="쉼표 [0] 3 2 9 3" xfId="1968" xr:uid="{00000000-0005-0000-0000-0000C5070000}"/>
    <cellStyle name="쉼표 [0] 3 2 9 4" xfId="1969" xr:uid="{00000000-0005-0000-0000-0000C6070000}"/>
    <cellStyle name="쉼표 [0] 3 2 9 5" xfId="1970" xr:uid="{00000000-0005-0000-0000-0000C7070000}"/>
    <cellStyle name="쉼표 [0] 3 2 9 6" xfId="1971" xr:uid="{00000000-0005-0000-0000-0000C8070000}"/>
    <cellStyle name="쉼표 [0] 3 20" xfId="1972" xr:uid="{00000000-0005-0000-0000-0000C9070000}"/>
    <cellStyle name="쉼표 [0] 3 21" xfId="1973" xr:uid="{00000000-0005-0000-0000-0000CA070000}"/>
    <cellStyle name="쉼표 [0] 3 21 2" xfId="1974" xr:uid="{00000000-0005-0000-0000-0000CB070000}"/>
    <cellStyle name="쉼표 [0] 3 21 2 2" xfId="1975" xr:uid="{00000000-0005-0000-0000-0000CC070000}"/>
    <cellStyle name="쉼표 [0] 3 22" xfId="1976" xr:uid="{00000000-0005-0000-0000-0000CD070000}"/>
    <cellStyle name="쉼표 [0] 3 22 2" xfId="1977" xr:uid="{00000000-0005-0000-0000-0000CE070000}"/>
    <cellStyle name="쉼표 [0] 3 22 2 2" xfId="1978" xr:uid="{00000000-0005-0000-0000-0000CF070000}"/>
    <cellStyle name="쉼표 [0] 3 23" xfId="1979" xr:uid="{00000000-0005-0000-0000-0000D0070000}"/>
    <cellStyle name="쉼표 [0] 3 23 2" xfId="1980" xr:uid="{00000000-0005-0000-0000-0000D1070000}"/>
    <cellStyle name="쉼표 [0] 3 23 2 2" xfId="1981" xr:uid="{00000000-0005-0000-0000-0000D2070000}"/>
    <cellStyle name="쉼표 [0] 3 24" xfId="1982" xr:uid="{00000000-0005-0000-0000-0000D3070000}"/>
    <cellStyle name="쉼표 [0] 3 25" xfId="1983" xr:uid="{00000000-0005-0000-0000-0000D4070000}"/>
    <cellStyle name="쉼표 [0] 3 26" xfId="1984" xr:uid="{00000000-0005-0000-0000-0000D5070000}"/>
    <cellStyle name="쉼표 [0] 3 27" xfId="1985" xr:uid="{00000000-0005-0000-0000-0000D6070000}"/>
    <cellStyle name="쉼표 [0] 3 28" xfId="1986" xr:uid="{00000000-0005-0000-0000-0000D7070000}"/>
    <cellStyle name="쉼표 [0] 3 29" xfId="1987" xr:uid="{00000000-0005-0000-0000-0000D8070000}"/>
    <cellStyle name="쉼표 [0] 3 3" xfId="1988" xr:uid="{00000000-0005-0000-0000-0000D9070000}"/>
    <cellStyle name="쉼표 [0] 3 3 2" xfId="1989" xr:uid="{00000000-0005-0000-0000-0000DA070000}"/>
    <cellStyle name="쉼표 [0] 3 3 2 2" xfId="1990" xr:uid="{00000000-0005-0000-0000-0000DB070000}"/>
    <cellStyle name="쉼표 [0] 3 3 2 2 2" xfId="1991" xr:uid="{00000000-0005-0000-0000-0000DC070000}"/>
    <cellStyle name="쉼표 [0] 3 3 2 3" xfId="1992" xr:uid="{00000000-0005-0000-0000-0000DD070000}"/>
    <cellStyle name="쉼표 [0] 3 3 3" xfId="1993" xr:uid="{00000000-0005-0000-0000-0000DE070000}"/>
    <cellStyle name="쉼표 [0] 3 3 4" xfId="1994" xr:uid="{00000000-0005-0000-0000-0000DF070000}"/>
    <cellStyle name="쉼표 [0] 3 3 5" xfId="1995" xr:uid="{00000000-0005-0000-0000-0000E0070000}"/>
    <cellStyle name="쉼표 [0] 3 3 6" xfId="1996" xr:uid="{00000000-0005-0000-0000-0000E1070000}"/>
    <cellStyle name="쉼표 [0] 3 3 7" xfId="1997" xr:uid="{00000000-0005-0000-0000-0000E2070000}"/>
    <cellStyle name="쉼표 [0] 3 30" xfId="1998" xr:uid="{00000000-0005-0000-0000-0000E3070000}"/>
    <cellStyle name="쉼표 [0] 3 31" xfId="1999" xr:uid="{00000000-0005-0000-0000-0000E4070000}"/>
    <cellStyle name="쉼표 [0] 3 32" xfId="2000" xr:uid="{00000000-0005-0000-0000-0000E5070000}"/>
    <cellStyle name="쉼표 [0] 3 33" xfId="2001" xr:uid="{00000000-0005-0000-0000-0000E6070000}"/>
    <cellStyle name="쉼표 [0] 3 34" xfId="2002" xr:uid="{00000000-0005-0000-0000-0000E7070000}"/>
    <cellStyle name="쉼표 [0] 3 35" xfId="2003" xr:uid="{00000000-0005-0000-0000-0000E8070000}"/>
    <cellStyle name="쉼표 [0] 3 36" xfId="2004" xr:uid="{00000000-0005-0000-0000-0000E9070000}"/>
    <cellStyle name="쉼표 [0] 3 37" xfId="2005" xr:uid="{00000000-0005-0000-0000-0000EA070000}"/>
    <cellStyle name="쉼표 [0] 3 38" xfId="2006" xr:uid="{00000000-0005-0000-0000-0000EB070000}"/>
    <cellStyle name="쉼표 [0] 3 39" xfId="2007" xr:uid="{00000000-0005-0000-0000-0000EC070000}"/>
    <cellStyle name="쉼표 [0] 3 4" xfId="2008" xr:uid="{00000000-0005-0000-0000-0000ED070000}"/>
    <cellStyle name="쉼표 [0] 3 4 2" xfId="2009" xr:uid="{00000000-0005-0000-0000-0000EE070000}"/>
    <cellStyle name="쉼표 [0] 3 4 2 2" xfId="2010" xr:uid="{00000000-0005-0000-0000-0000EF070000}"/>
    <cellStyle name="쉼표 [0] 3 4 2 2 2" xfId="2011" xr:uid="{00000000-0005-0000-0000-0000F0070000}"/>
    <cellStyle name="쉼표 [0] 3 4 2 3" xfId="2012" xr:uid="{00000000-0005-0000-0000-0000F1070000}"/>
    <cellStyle name="쉼표 [0] 3 4 3" xfId="2013" xr:uid="{00000000-0005-0000-0000-0000F2070000}"/>
    <cellStyle name="쉼표 [0] 3 4 4" xfId="2014" xr:uid="{00000000-0005-0000-0000-0000F3070000}"/>
    <cellStyle name="쉼표 [0] 3 4 5" xfId="2015" xr:uid="{00000000-0005-0000-0000-0000F4070000}"/>
    <cellStyle name="쉼표 [0] 3 4 6" xfId="2016" xr:uid="{00000000-0005-0000-0000-0000F5070000}"/>
    <cellStyle name="쉼표 [0] 3 4 7" xfId="2017" xr:uid="{00000000-0005-0000-0000-0000F6070000}"/>
    <cellStyle name="쉼표 [0] 3 40" xfId="2018" xr:uid="{00000000-0005-0000-0000-0000F7070000}"/>
    <cellStyle name="쉼표 [0] 3 41" xfId="2019" xr:uid="{00000000-0005-0000-0000-0000F8070000}"/>
    <cellStyle name="쉼표 [0] 3 42" xfId="2020" xr:uid="{00000000-0005-0000-0000-0000F9070000}"/>
    <cellStyle name="쉼표 [0] 3 43" xfId="2021" xr:uid="{00000000-0005-0000-0000-0000FA070000}"/>
    <cellStyle name="쉼표 [0] 3 44" xfId="2022" xr:uid="{00000000-0005-0000-0000-0000FB070000}"/>
    <cellStyle name="쉼표 [0] 3 45" xfId="2023" xr:uid="{00000000-0005-0000-0000-0000FC070000}"/>
    <cellStyle name="쉼표 [0] 3 46" xfId="2024" xr:uid="{00000000-0005-0000-0000-0000FD070000}"/>
    <cellStyle name="쉼표 [0] 3 47" xfId="2025" xr:uid="{00000000-0005-0000-0000-0000FE070000}"/>
    <cellStyle name="쉼표 [0] 3 5" xfId="2026" xr:uid="{00000000-0005-0000-0000-0000FF070000}"/>
    <cellStyle name="쉼표 [0] 3 5 2" xfId="2027" xr:uid="{00000000-0005-0000-0000-000000080000}"/>
    <cellStyle name="쉼표 [0] 3 5 2 2" xfId="2028" xr:uid="{00000000-0005-0000-0000-000001080000}"/>
    <cellStyle name="쉼표 [0] 3 5 2 2 2" xfId="2029" xr:uid="{00000000-0005-0000-0000-000002080000}"/>
    <cellStyle name="쉼표 [0] 3 5 2 3" xfId="2030" xr:uid="{00000000-0005-0000-0000-000003080000}"/>
    <cellStyle name="쉼표 [0] 3 5 3" xfId="2031" xr:uid="{00000000-0005-0000-0000-000004080000}"/>
    <cellStyle name="쉼표 [0] 3 5 4" xfId="2032" xr:uid="{00000000-0005-0000-0000-000005080000}"/>
    <cellStyle name="쉼표 [0] 3 5 5" xfId="2033" xr:uid="{00000000-0005-0000-0000-000006080000}"/>
    <cellStyle name="쉼표 [0] 3 5 6" xfId="2034" xr:uid="{00000000-0005-0000-0000-000007080000}"/>
    <cellStyle name="쉼표 [0] 3 5 7" xfId="2035" xr:uid="{00000000-0005-0000-0000-000008080000}"/>
    <cellStyle name="쉼표 [0] 3 6" xfId="2036" xr:uid="{00000000-0005-0000-0000-000009080000}"/>
    <cellStyle name="쉼표 [0] 3 6 10" xfId="2037" xr:uid="{00000000-0005-0000-0000-00000A080000}"/>
    <cellStyle name="쉼표 [0] 3 6 11" xfId="2038" xr:uid="{00000000-0005-0000-0000-00000B080000}"/>
    <cellStyle name="쉼표 [0] 3 6 12" xfId="2039" xr:uid="{00000000-0005-0000-0000-00000C080000}"/>
    <cellStyle name="쉼표 [0] 3 6 2" xfId="2040" xr:uid="{00000000-0005-0000-0000-00000D080000}"/>
    <cellStyle name="쉼표 [0] 3 6 2 2" xfId="2041" xr:uid="{00000000-0005-0000-0000-00000E080000}"/>
    <cellStyle name="쉼표 [0] 3 6 2 3" xfId="2042" xr:uid="{00000000-0005-0000-0000-00000F080000}"/>
    <cellStyle name="쉼표 [0] 3 6 3" xfId="2043" xr:uid="{00000000-0005-0000-0000-000010080000}"/>
    <cellStyle name="쉼표 [0] 3 6 4" xfId="2044" xr:uid="{00000000-0005-0000-0000-000011080000}"/>
    <cellStyle name="쉼표 [0] 3 6 5" xfId="2045" xr:uid="{00000000-0005-0000-0000-000012080000}"/>
    <cellStyle name="쉼표 [0] 3 6 6" xfId="2046" xr:uid="{00000000-0005-0000-0000-000013080000}"/>
    <cellStyle name="쉼표 [0] 3 6 7" xfId="2047" xr:uid="{00000000-0005-0000-0000-000014080000}"/>
    <cellStyle name="쉼표 [0] 3 6 8" xfId="2048" xr:uid="{00000000-0005-0000-0000-000015080000}"/>
    <cellStyle name="쉼표 [0] 3 6 9" xfId="2049" xr:uid="{00000000-0005-0000-0000-000016080000}"/>
    <cellStyle name="쉼표 [0] 3 7" xfId="2050" xr:uid="{00000000-0005-0000-0000-000017080000}"/>
    <cellStyle name="쉼표 [0] 3 7 2" xfId="2051" xr:uid="{00000000-0005-0000-0000-000018080000}"/>
    <cellStyle name="쉼표 [0] 3 7 2 2" xfId="2052" xr:uid="{00000000-0005-0000-0000-000019080000}"/>
    <cellStyle name="쉼표 [0] 3 7 2 3" xfId="2053" xr:uid="{00000000-0005-0000-0000-00001A080000}"/>
    <cellStyle name="쉼표 [0] 3 7 2 4" xfId="2054" xr:uid="{00000000-0005-0000-0000-00001B080000}"/>
    <cellStyle name="쉼표 [0] 3 7 2 5" xfId="2055" xr:uid="{00000000-0005-0000-0000-00001C080000}"/>
    <cellStyle name="쉼표 [0] 3 7 2 6" xfId="2056" xr:uid="{00000000-0005-0000-0000-00001D080000}"/>
    <cellStyle name="쉼표 [0] 3 7 2 7" xfId="2057" xr:uid="{00000000-0005-0000-0000-00001E080000}"/>
    <cellStyle name="쉼표 [0] 3 7 2 8" xfId="2058" xr:uid="{00000000-0005-0000-0000-00001F080000}"/>
    <cellStyle name="쉼표 [0] 3 7 2 9" xfId="2059" xr:uid="{00000000-0005-0000-0000-000020080000}"/>
    <cellStyle name="쉼표 [0] 3 7 3" xfId="2060" xr:uid="{00000000-0005-0000-0000-000021080000}"/>
    <cellStyle name="쉼표 [0] 3 7 3 2" xfId="2061" xr:uid="{00000000-0005-0000-0000-000022080000}"/>
    <cellStyle name="쉼표 [0] 3 7 3 3" xfId="2062" xr:uid="{00000000-0005-0000-0000-000023080000}"/>
    <cellStyle name="쉼표 [0] 3 7 3 4" xfId="2063" xr:uid="{00000000-0005-0000-0000-000024080000}"/>
    <cellStyle name="쉼표 [0] 3 7 3 5" xfId="2064" xr:uid="{00000000-0005-0000-0000-000025080000}"/>
    <cellStyle name="쉼표 [0] 3 7 3 5 2" xfId="2065" xr:uid="{00000000-0005-0000-0000-000026080000}"/>
    <cellStyle name="쉼표 [0] 3 7 3 6" xfId="2066" xr:uid="{00000000-0005-0000-0000-000027080000}"/>
    <cellStyle name="쉼표 [0] 3 7 4" xfId="2067" xr:uid="{00000000-0005-0000-0000-000028080000}"/>
    <cellStyle name="쉼표 [0] 3 7 4 2" xfId="2068" xr:uid="{00000000-0005-0000-0000-000029080000}"/>
    <cellStyle name="쉼표 [0] 3 7 4 3" xfId="2069" xr:uid="{00000000-0005-0000-0000-00002A080000}"/>
    <cellStyle name="쉼표 [0] 3 7 4 4" xfId="2070" xr:uid="{00000000-0005-0000-0000-00002B080000}"/>
    <cellStyle name="쉼표 [0] 3 7 4 5" xfId="2071" xr:uid="{00000000-0005-0000-0000-00002C080000}"/>
    <cellStyle name="쉼표 [0] 3 7 5" xfId="2072" xr:uid="{00000000-0005-0000-0000-00002D080000}"/>
    <cellStyle name="쉼표 [0] 3 7 5 2" xfId="2073" xr:uid="{00000000-0005-0000-0000-00002E080000}"/>
    <cellStyle name="쉼표 [0] 3 7 6" xfId="2074" xr:uid="{00000000-0005-0000-0000-00002F080000}"/>
    <cellStyle name="쉼표 [0] 3 8" xfId="2075" xr:uid="{00000000-0005-0000-0000-000030080000}"/>
    <cellStyle name="쉼표 [0] 3 9" xfId="2076" xr:uid="{00000000-0005-0000-0000-000031080000}"/>
    <cellStyle name="쉼표 [0] 3 9 2" xfId="2077" xr:uid="{00000000-0005-0000-0000-000032080000}"/>
    <cellStyle name="쉼표 [0] 3 9 2 2" xfId="2078" xr:uid="{00000000-0005-0000-0000-000033080000}"/>
    <cellStyle name="쉼표 [0] 30" xfId="2079" xr:uid="{00000000-0005-0000-0000-000034080000}"/>
    <cellStyle name="쉼표 [0] 31" xfId="2080" xr:uid="{00000000-0005-0000-0000-000035080000}"/>
    <cellStyle name="쉼표 [0] 31 2" xfId="3219" xr:uid="{00000000-0005-0000-0000-000036080000}"/>
    <cellStyle name="쉼표 [0] 32" xfId="2081" xr:uid="{00000000-0005-0000-0000-000037080000}"/>
    <cellStyle name="쉼표 [0] 33" xfId="2082" xr:uid="{00000000-0005-0000-0000-000038080000}"/>
    <cellStyle name="쉼표 [0] 34" xfId="2083" xr:uid="{00000000-0005-0000-0000-000039080000}"/>
    <cellStyle name="쉼표 [0] 35" xfId="2084" xr:uid="{00000000-0005-0000-0000-00003A080000}"/>
    <cellStyle name="쉼표 [0] 36" xfId="2085" xr:uid="{00000000-0005-0000-0000-00003B080000}"/>
    <cellStyle name="쉼표 [0] 36 2" xfId="2086" xr:uid="{00000000-0005-0000-0000-00003C080000}"/>
    <cellStyle name="쉼표 [0] 37" xfId="2087" xr:uid="{00000000-0005-0000-0000-00003D080000}"/>
    <cellStyle name="쉼표 [0] 38" xfId="2088" xr:uid="{00000000-0005-0000-0000-00003E080000}"/>
    <cellStyle name="쉼표 [0] 38 2" xfId="3116" xr:uid="{00000000-0005-0000-0000-00003F080000}"/>
    <cellStyle name="쉼표 [0] 39" xfId="2089" xr:uid="{00000000-0005-0000-0000-000040080000}"/>
    <cellStyle name="쉼표 [0] 39 2" xfId="3117" xr:uid="{00000000-0005-0000-0000-000041080000}"/>
    <cellStyle name="쉼표 [0] 4" xfId="2090" xr:uid="{00000000-0005-0000-0000-000042080000}"/>
    <cellStyle name="쉼표 [0] 4 10" xfId="2091" xr:uid="{00000000-0005-0000-0000-000043080000}"/>
    <cellStyle name="쉼표 [0] 4 11" xfId="2092" xr:uid="{00000000-0005-0000-0000-000044080000}"/>
    <cellStyle name="쉼표 [0] 4 12" xfId="2093" xr:uid="{00000000-0005-0000-0000-000045080000}"/>
    <cellStyle name="쉼표 [0] 4 12 2" xfId="2094" xr:uid="{00000000-0005-0000-0000-000046080000}"/>
    <cellStyle name="쉼표 [0] 4 12 2 2" xfId="2095" xr:uid="{00000000-0005-0000-0000-000047080000}"/>
    <cellStyle name="쉼표 [0] 4 12 2 2 2" xfId="2096" xr:uid="{00000000-0005-0000-0000-000048080000}"/>
    <cellStyle name="쉼표 [0] 4 12 3" xfId="2097" xr:uid="{00000000-0005-0000-0000-000049080000}"/>
    <cellStyle name="쉼표 [0] 4 12 4" xfId="2098" xr:uid="{00000000-0005-0000-0000-00004A080000}"/>
    <cellStyle name="쉼표 [0] 4 12 5" xfId="2099" xr:uid="{00000000-0005-0000-0000-00004B080000}"/>
    <cellStyle name="쉼표 [0] 4 12 6" xfId="2100" xr:uid="{00000000-0005-0000-0000-00004C080000}"/>
    <cellStyle name="쉼표 [0] 4 12 7" xfId="2101" xr:uid="{00000000-0005-0000-0000-00004D080000}"/>
    <cellStyle name="쉼표 [0] 4 13" xfId="2102" xr:uid="{00000000-0005-0000-0000-00004E080000}"/>
    <cellStyle name="쉼표 [0] 4 13 2" xfId="2103" xr:uid="{00000000-0005-0000-0000-00004F080000}"/>
    <cellStyle name="쉼표 [0] 4 13 2 2" xfId="2104" xr:uid="{00000000-0005-0000-0000-000050080000}"/>
    <cellStyle name="쉼표 [0] 4 13 2 2 2" xfId="2105" xr:uid="{00000000-0005-0000-0000-000051080000}"/>
    <cellStyle name="쉼표 [0] 4 13 3" xfId="2106" xr:uid="{00000000-0005-0000-0000-000052080000}"/>
    <cellStyle name="쉼표 [0] 4 13 4" xfId="2107" xr:uid="{00000000-0005-0000-0000-000053080000}"/>
    <cellStyle name="쉼표 [0] 4 13 5" xfId="2108" xr:uid="{00000000-0005-0000-0000-000054080000}"/>
    <cellStyle name="쉼표 [0] 4 13 6" xfId="2109" xr:uid="{00000000-0005-0000-0000-000055080000}"/>
    <cellStyle name="쉼표 [0] 4 13 7" xfId="2110" xr:uid="{00000000-0005-0000-0000-000056080000}"/>
    <cellStyle name="쉼표 [0] 4 14" xfId="2111" xr:uid="{00000000-0005-0000-0000-000057080000}"/>
    <cellStyle name="쉼표 [0] 4 14 2" xfId="2112" xr:uid="{00000000-0005-0000-0000-000058080000}"/>
    <cellStyle name="쉼표 [0] 4 14 2 2" xfId="2113" xr:uid="{00000000-0005-0000-0000-000059080000}"/>
    <cellStyle name="쉼표 [0] 4 14 2 2 2" xfId="2114" xr:uid="{00000000-0005-0000-0000-00005A080000}"/>
    <cellStyle name="쉼표 [0] 4 14 3" xfId="2115" xr:uid="{00000000-0005-0000-0000-00005B080000}"/>
    <cellStyle name="쉼표 [0] 4 14 4" xfId="2116" xr:uid="{00000000-0005-0000-0000-00005C080000}"/>
    <cellStyle name="쉼표 [0] 4 14 5" xfId="2117" xr:uid="{00000000-0005-0000-0000-00005D080000}"/>
    <cellStyle name="쉼표 [0] 4 14 6" xfId="2118" xr:uid="{00000000-0005-0000-0000-00005E080000}"/>
    <cellStyle name="쉼표 [0] 4 14 7" xfId="2119" xr:uid="{00000000-0005-0000-0000-00005F080000}"/>
    <cellStyle name="쉼표 [0] 4 15" xfId="2120" xr:uid="{00000000-0005-0000-0000-000060080000}"/>
    <cellStyle name="쉼표 [0] 4 16" xfId="2121" xr:uid="{00000000-0005-0000-0000-000061080000}"/>
    <cellStyle name="쉼표 [0] 4 17" xfId="2122" xr:uid="{00000000-0005-0000-0000-000062080000}"/>
    <cellStyle name="쉼표 [0] 4 18" xfId="2123" xr:uid="{00000000-0005-0000-0000-000063080000}"/>
    <cellStyle name="쉼표 [0] 4 18 2" xfId="2124" xr:uid="{00000000-0005-0000-0000-000064080000}"/>
    <cellStyle name="쉼표 [0] 4 18 2 2" xfId="2125" xr:uid="{00000000-0005-0000-0000-000065080000}"/>
    <cellStyle name="쉼표 [0] 4 19" xfId="2126" xr:uid="{00000000-0005-0000-0000-000066080000}"/>
    <cellStyle name="쉼표 [0] 4 19 2" xfId="2127" xr:uid="{00000000-0005-0000-0000-000067080000}"/>
    <cellStyle name="쉼표 [0] 4 19 2 2" xfId="2128" xr:uid="{00000000-0005-0000-0000-000068080000}"/>
    <cellStyle name="쉼표 [0] 4 2" xfId="2129" xr:uid="{00000000-0005-0000-0000-000069080000}"/>
    <cellStyle name="쉼표 [0] 4 2 10" xfId="2130" xr:uid="{00000000-0005-0000-0000-00006A080000}"/>
    <cellStyle name="쉼표 [0] 4 2 10 2" xfId="2131" xr:uid="{00000000-0005-0000-0000-00006B080000}"/>
    <cellStyle name="쉼표 [0] 4 2 10 2 2" xfId="2132" xr:uid="{00000000-0005-0000-0000-00006C080000}"/>
    <cellStyle name="쉼표 [0] 4 2 10 2 2 2" xfId="2133" xr:uid="{00000000-0005-0000-0000-00006D080000}"/>
    <cellStyle name="쉼표 [0] 4 2 10 3" xfId="2134" xr:uid="{00000000-0005-0000-0000-00006E080000}"/>
    <cellStyle name="쉼표 [0] 4 2 10 4" xfId="2135" xr:uid="{00000000-0005-0000-0000-00006F080000}"/>
    <cellStyle name="쉼표 [0] 4 2 10 5" xfId="2136" xr:uid="{00000000-0005-0000-0000-000070080000}"/>
    <cellStyle name="쉼표 [0] 4 2 10 6" xfId="2137" xr:uid="{00000000-0005-0000-0000-000071080000}"/>
    <cellStyle name="쉼표 [0] 4 2 11" xfId="2138" xr:uid="{00000000-0005-0000-0000-000072080000}"/>
    <cellStyle name="쉼표 [0] 4 2 11 2" xfId="2139" xr:uid="{00000000-0005-0000-0000-000073080000}"/>
    <cellStyle name="쉼표 [0] 4 2 11 2 2" xfId="2140" xr:uid="{00000000-0005-0000-0000-000074080000}"/>
    <cellStyle name="쉼표 [0] 4 2 11 2 2 2" xfId="2141" xr:uid="{00000000-0005-0000-0000-000075080000}"/>
    <cellStyle name="쉼표 [0] 4 2 11 3" xfId="2142" xr:uid="{00000000-0005-0000-0000-000076080000}"/>
    <cellStyle name="쉼표 [0] 4 2 11 4" xfId="2143" xr:uid="{00000000-0005-0000-0000-000077080000}"/>
    <cellStyle name="쉼표 [0] 4 2 11 5" xfId="2144" xr:uid="{00000000-0005-0000-0000-000078080000}"/>
    <cellStyle name="쉼표 [0] 4 2 11 6" xfId="2145" xr:uid="{00000000-0005-0000-0000-000079080000}"/>
    <cellStyle name="쉼표 [0] 4 2 12" xfId="2146" xr:uid="{00000000-0005-0000-0000-00007A080000}"/>
    <cellStyle name="쉼표 [0] 4 2 12 2" xfId="2147" xr:uid="{00000000-0005-0000-0000-00007B080000}"/>
    <cellStyle name="쉼표 [0] 4 2 12 2 2" xfId="2148" xr:uid="{00000000-0005-0000-0000-00007C080000}"/>
    <cellStyle name="쉼표 [0] 4 2 12 2 2 2" xfId="2149" xr:uid="{00000000-0005-0000-0000-00007D080000}"/>
    <cellStyle name="쉼표 [0] 4 2 12 3" xfId="2150" xr:uid="{00000000-0005-0000-0000-00007E080000}"/>
    <cellStyle name="쉼표 [0] 4 2 12 4" xfId="2151" xr:uid="{00000000-0005-0000-0000-00007F080000}"/>
    <cellStyle name="쉼표 [0] 4 2 12 5" xfId="2152" xr:uid="{00000000-0005-0000-0000-000080080000}"/>
    <cellStyle name="쉼표 [0] 4 2 12 6" xfId="2153" xr:uid="{00000000-0005-0000-0000-000081080000}"/>
    <cellStyle name="쉼표 [0] 4 2 13" xfId="2154" xr:uid="{00000000-0005-0000-0000-000082080000}"/>
    <cellStyle name="쉼표 [0] 4 2 13 2" xfId="2155" xr:uid="{00000000-0005-0000-0000-000083080000}"/>
    <cellStyle name="쉼표 [0] 4 2 13 2 2" xfId="2156" xr:uid="{00000000-0005-0000-0000-000084080000}"/>
    <cellStyle name="쉼표 [0] 4 2 13 2 2 2" xfId="2157" xr:uid="{00000000-0005-0000-0000-000085080000}"/>
    <cellStyle name="쉼표 [0] 4 2 13 3" xfId="2158" xr:uid="{00000000-0005-0000-0000-000086080000}"/>
    <cellStyle name="쉼표 [0] 4 2 13 4" xfId="2159" xr:uid="{00000000-0005-0000-0000-000087080000}"/>
    <cellStyle name="쉼표 [0] 4 2 13 5" xfId="2160" xr:uid="{00000000-0005-0000-0000-000088080000}"/>
    <cellStyle name="쉼표 [0] 4 2 13 6" xfId="2161" xr:uid="{00000000-0005-0000-0000-000089080000}"/>
    <cellStyle name="쉼표 [0] 4 2 14" xfId="2162" xr:uid="{00000000-0005-0000-0000-00008A080000}"/>
    <cellStyle name="쉼표 [0] 4 2 14 2" xfId="2163" xr:uid="{00000000-0005-0000-0000-00008B080000}"/>
    <cellStyle name="쉼표 [0] 4 2 14 2 2" xfId="2164" xr:uid="{00000000-0005-0000-0000-00008C080000}"/>
    <cellStyle name="쉼표 [0] 4 2 14 2 2 2" xfId="2165" xr:uid="{00000000-0005-0000-0000-00008D080000}"/>
    <cellStyle name="쉼표 [0] 4 2 14 3" xfId="2166" xr:uid="{00000000-0005-0000-0000-00008E080000}"/>
    <cellStyle name="쉼표 [0] 4 2 14 4" xfId="2167" xr:uid="{00000000-0005-0000-0000-00008F080000}"/>
    <cellStyle name="쉼표 [0] 4 2 14 5" xfId="2168" xr:uid="{00000000-0005-0000-0000-000090080000}"/>
    <cellStyle name="쉼표 [0] 4 2 14 6" xfId="2169" xr:uid="{00000000-0005-0000-0000-000091080000}"/>
    <cellStyle name="쉼표 [0] 4 2 15" xfId="2170" xr:uid="{00000000-0005-0000-0000-000092080000}"/>
    <cellStyle name="쉼표 [0] 4 2 15 2" xfId="2171" xr:uid="{00000000-0005-0000-0000-000093080000}"/>
    <cellStyle name="쉼표 [0] 4 2 15 2 2" xfId="2172" xr:uid="{00000000-0005-0000-0000-000094080000}"/>
    <cellStyle name="쉼표 [0] 4 2 15 2 2 2" xfId="2173" xr:uid="{00000000-0005-0000-0000-000095080000}"/>
    <cellStyle name="쉼표 [0] 4 2 15 3" xfId="2174" xr:uid="{00000000-0005-0000-0000-000096080000}"/>
    <cellStyle name="쉼표 [0] 4 2 15 4" xfId="2175" xr:uid="{00000000-0005-0000-0000-000097080000}"/>
    <cellStyle name="쉼표 [0] 4 2 15 5" xfId="2176" xr:uid="{00000000-0005-0000-0000-000098080000}"/>
    <cellStyle name="쉼표 [0] 4 2 15 6" xfId="2177" xr:uid="{00000000-0005-0000-0000-000099080000}"/>
    <cellStyle name="쉼표 [0] 4 2 16" xfId="2178" xr:uid="{00000000-0005-0000-0000-00009A080000}"/>
    <cellStyle name="쉼표 [0] 4 2 16 2" xfId="2179" xr:uid="{00000000-0005-0000-0000-00009B080000}"/>
    <cellStyle name="쉼표 [0] 4 2 16 2 2" xfId="2180" xr:uid="{00000000-0005-0000-0000-00009C080000}"/>
    <cellStyle name="쉼표 [0] 4 2 16 2 2 2" xfId="2181" xr:uid="{00000000-0005-0000-0000-00009D080000}"/>
    <cellStyle name="쉼표 [0] 4 2 16 3" xfId="2182" xr:uid="{00000000-0005-0000-0000-00009E080000}"/>
    <cellStyle name="쉼표 [0] 4 2 16 4" xfId="2183" xr:uid="{00000000-0005-0000-0000-00009F080000}"/>
    <cellStyle name="쉼표 [0] 4 2 16 5" xfId="2184" xr:uid="{00000000-0005-0000-0000-0000A0080000}"/>
    <cellStyle name="쉼표 [0] 4 2 16 6" xfId="2185" xr:uid="{00000000-0005-0000-0000-0000A1080000}"/>
    <cellStyle name="쉼표 [0] 4 2 17" xfId="2186" xr:uid="{00000000-0005-0000-0000-0000A2080000}"/>
    <cellStyle name="쉼표 [0] 4 2 17 2" xfId="2187" xr:uid="{00000000-0005-0000-0000-0000A3080000}"/>
    <cellStyle name="쉼표 [0] 4 2 17 2 2" xfId="2188" xr:uid="{00000000-0005-0000-0000-0000A4080000}"/>
    <cellStyle name="쉼표 [0] 4 2 17 2 2 2" xfId="2189" xr:uid="{00000000-0005-0000-0000-0000A5080000}"/>
    <cellStyle name="쉼표 [0] 4 2 17 3" xfId="2190" xr:uid="{00000000-0005-0000-0000-0000A6080000}"/>
    <cellStyle name="쉼표 [0] 4 2 17 4" xfId="2191" xr:uid="{00000000-0005-0000-0000-0000A7080000}"/>
    <cellStyle name="쉼표 [0] 4 2 17 5" xfId="2192" xr:uid="{00000000-0005-0000-0000-0000A8080000}"/>
    <cellStyle name="쉼표 [0] 4 2 17 6" xfId="2193" xr:uid="{00000000-0005-0000-0000-0000A9080000}"/>
    <cellStyle name="쉼표 [0] 4 2 18" xfId="2194" xr:uid="{00000000-0005-0000-0000-0000AA080000}"/>
    <cellStyle name="쉼표 [0] 4 2 18 2" xfId="2195" xr:uid="{00000000-0005-0000-0000-0000AB080000}"/>
    <cellStyle name="쉼표 [0] 4 2 18 2 2" xfId="2196" xr:uid="{00000000-0005-0000-0000-0000AC080000}"/>
    <cellStyle name="쉼표 [0] 4 2 18 2 2 2" xfId="2197" xr:uid="{00000000-0005-0000-0000-0000AD080000}"/>
    <cellStyle name="쉼표 [0] 4 2 18 3" xfId="2198" xr:uid="{00000000-0005-0000-0000-0000AE080000}"/>
    <cellStyle name="쉼표 [0] 4 2 18 4" xfId="2199" xr:uid="{00000000-0005-0000-0000-0000AF080000}"/>
    <cellStyle name="쉼표 [0] 4 2 18 5" xfId="2200" xr:uid="{00000000-0005-0000-0000-0000B0080000}"/>
    <cellStyle name="쉼표 [0] 4 2 18 6" xfId="2201" xr:uid="{00000000-0005-0000-0000-0000B1080000}"/>
    <cellStyle name="쉼표 [0] 4 2 19" xfId="2202" xr:uid="{00000000-0005-0000-0000-0000B2080000}"/>
    <cellStyle name="쉼표 [0] 4 2 19 2" xfId="2203" xr:uid="{00000000-0005-0000-0000-0000B3080000}"/>
    <cellStyle name="쉼표 [0] 4 2 19 2 2" xfId="2204" xr:uid="{00000000-0005-0000-0000-0000B4080000}"/>
    <cellStyle name="쉼표 [0] 4 2 19 2 2 2" xfId="2205" xr:uid="{00000000-0005-0000-0000-0000B5080000}"/>
    <cellStyle name="쉼표 [0] 4 2 19 3" xfId="2206" xr:uid="{00000000-0005-0000-0000-0000B6080000}"/>
    <cellStyle name="쉼표 [0] 4 2 19 4" xfId="2207" xr:uid="{00000000-0005-0000-0000-0000B7080000}"/>
    <cellStyle name="쉼표 [0] 4 2 19 5" xfId="2208" xr:uid="{00000000-0005-0000-0000-0000B8080000}"/>
    <cellStyle name="쉼표 [0] 4 2 19 6" xfId="2209" xr:uid="{00000000-0005-0000-0000-0000B9080000}"/>
    <cellStyle name="쉼표 [0] 4 2 2" xfId="2210" xr:uid="{00000000-0005-0000-0000-0000BA080000}"/>
    <cellStyle name="쉼표 [0] 4 2 2 2" xfId="2211" xr:uid="{00000000-0005-0000-0000-0000BB080000}"/>
    <cellStyle name="쉼표 [0] 4 2 2 2 2" xfId="2212" xr:uid="{00000000-0005-0000-0000-0000BC080000}"/>
    <cellStyle name="쉼표 [0] 4 2 2 2 2 2" xfId="2213" xr:uid="{00000000-0005-0000-0000-0000BD080000}"/>
    <cellStyle name="쉼표 [0] 4 2 2 2 2 3" xfId="2214" xr:uid="{00000000-0005-0000-0000-0000BE080000}"/>
    <cellStyle name="쉼표 [0] 4 2 2 2 2 4" xfId="2215" xr:uid="{00000000-0005-0000-0000-0000BF080000}"/>
    <cellStyle name="쉼표 [0] 4 2 2 2 2 5" xfId="2216" xr:uid="{00000000-0005-0000-0000-0000C0080000}"/>
    <cellStyle name="쉼표 [0] 4 2 2 2 2 5 2" xfId="2217" xr:uid="{00000000-0005-0000-0000-0000C1080000}"/>
    <cellStyle name="쉼표 [0] 4 2 2 2 2 6" xfId="2218" xr:uid="{00000000-0005-0000-0000-0000C2080000}"/>
    <cellStyle name="쉼표 [0] 4 2 2 2 3" xfId="2219" xr:uid="{00000000-0005-0000-0000-0000C3080000}"/>
    <cellStyle name="쉼표 [0] 4 2 2 2 3 2" xfId="2220" xr:uid="{00000000-0005-0000-0000-0000C4080000}"/>
    <cellStyle name="쉼표 [0] 4 2 2 2 3 3" xfId="2221" xr:uid="{00000000-0005-0000-0000-0000C5080000}"/>
    <cellStyle name="쉼표 [0] 4 2 2 2 3 4" xfId="2222" xr:uid="{00000000-0005-0000-0000-0000C6080000}"/>
    <cellStyle name="쉼표 [0] 4 2 2 2 3 5" xfId="2223" xr:uid="{00000000-0005-0000-0000-0000C7080000}"/>
    <cellStyle name="쉼표 [0] 4 2 2 2 4" xfId="2224" xr:uid="{00000000-0005-0000-0000-0000C8080000}"/>
    <cellStyle name="쉼표 [0] 4 2 2 2 4 2" xfId="2225" xr:uid="{00000000-0005-0000-0000-0000C9080000}"/>
    <cellStyle name="쉼표 [0] 4 2 2 2 4 3" xfId="2226" xr:uid="{00000000-0005-0000-0000-0000CA080000}"/>
    <cellStyle name="쉼표 [0] 4 2 2 2 4 4" xfId="2227" xr:uid="{00000000-0005-0000-0000-0000CB080000}"/>
    <cellStyle name="쉼표 [0] 4 2 2 2 4 5" xfId="2228" xr:uid="{00000000-0005-0000-0000-0000CC080000}"/>
    <cellStyle name="쉼표 [0] 4 2 2 2 5" xfId="2229" xr:uid="{00000000-0005-0000-0000-0000CD080000}"/>
    <cellStyle name="쉼표 [0] 4 2 2 3" xfId="2230" xr:uid="{00000000-0005-0000-0000-0000CE080000}"/>
    <cellStyle name="쉼표 [0] 4 2 2 4" xfId="2231" xr:uid="{00000000-0005-0000-0000-0000CF080000}"/>
    <cellStyle name="쉼표 [0] 4 2 2 5" xfId="2232" xr:uid="{00000000-0005-0000-0000-0000D0080000}"/>
    <cellStyle name="쉼표 [0] 4 2 2 6" xfId="2233" xr:uid="{00000000-0005-0000-0000-0000D1080000}"/>
    <cellStyle name="쉼표 [0] 4 2 2 7" xfId="2234" xr:uid="{00000000-0005-0000-0000-0000D2080000}"/>
    <cellStyle name="쉼표 [0] 4 2 2 8" xfId="2235" xr:uid="{00000000-0005-0000-0000-0000D3080000}"/>
    <cellStyle name="쉼표 [0] 4 2 2 9" xfId="2236" xr:uid="{00000000-0005-0000-0000-0000D4080000}"/>
    <cellStyle name="쉼표 [0] 4 2 20" xfId="2237" xr:uid="{00000000-0005-0000-0000-0000D5080000}"/>
    <cellStyle name="쉼표 [0] 4 2 20 2" xfId="2238" xr:uid="{00000000-0005-0000-0000-0000D6080000}"/>
    <cellStyle name="쉼표 [0] 4 2 20 2 2" xfId="2239" xr:uid="{00000000-0005-0000-0000-0000D7080000}"/>
    <cellStyle name="쉼표 [0] 4 2 20 2 2 2" xfId="2240" xr:uid="{00000000-0005-0000-0000-0000D8080000}"/>
    <cellStyle name="쉼표 [0] 4 2 20 3" xfId="2241" xr:uid="{00000000-0005-0000-0000-0000D9080000}"/>
    <cellStyle name="쉼표 [0] 4 2 20 4" xfId="2242" xr:uid="{00000000-0005-0000-0000-0000DA080000}"/>
    <cellStyle name="쉼표 [0] 4 2 20 5" xfId="2243" xr:uid="{00000000-0005-0000-0000-0000DB080000}"/>
    <cellStyle name="쉼표 [0] 4 2 20 6" xfId="2244" xr:uid="{00000000-0005-0000-0000-0000DC080000}"/>
    <cellStyle name="쉼표 [0] 4 2 21" xfId="2245" xr:uid="{00000000-0005-0000-0000-0000DD080000}"/>
    <cellStyle name="쉼표 [0] 4 2 21 2" xfId="2246" xr:uid="{00000000-0005-0000-0000-0000DE080000}"/>
    <cellStyle name="쉼표 [0] 4 2 21 2 2" xfId="2247" xr:uid="{00000000-0005-0000-0000-0000DF080000}"/>
    <cellStyle name="쉼표 [0] 4 2 21 2 2 2" xfId="2248" xr:uid="{00000000-0005-0000-0000-0000E0080000}"/>
    <cellStyle name="쉼표 [0] 4 2 21 3" xfId="2249" xr:uid="{00000000-0005-0000-0000-0000E1080000}"/>
    <cellStyle name="쉼표 [0] 4 2 21 4" xfId="2250" xr:uid="{00000000-0005-0000-0000-0000E2080000}"/>
    <cellStyle name="쉼표 [0] 4 2 21 5" xfId="2251" xr:uid="{00000000-0005-0000-0000-0000E3080000}"/>
    <cellStyle name="쉼표 [0] 4 2 21 6" xfId="2252" xr:uid="{00000000-0005-0000-0000-0000E4080000}"/>
    <cellStyle name="쉼표 [0] 4 2 22" xfId="2253" xr:uid="{00000000-0005-0000-0000-0000E5080000}"/>
    <cellStyle name="쉼표 [0] 4 2 22 2" xfId="2254" xr:uid="{00000000-0005-0000-0000-0000E6080000}"/>
    <cellStyle name="쉼표 [0] 4 2 22 2 2" xfId="2255" xr:uid="{00000000-0005-0000-0000-0000E7080000}"/>
    <cellStyle name="쉼표 [0] 4 2 22 2 2 2" xfId="2256" xr:uid="{00000000-0005-0000-0000-0000E8080000}"/>
    <cellStyle name="쉼표 [0] 4 2 22 3" xfId="2257" xr:uid="{00000000-0005-0000-0000-0000E9080000}"/>
    <cellStyle name="쉼표 [0] 4 2 22 4" xfId="2258" xr:uid="{00000000-0005-0000-0000-0000EA080000}"/>
    <cellStyle name="쉼표 [0] 4 2 22 5" xfId="2259" xr:uid="{00000000-0005-0000-0000-0000EB080000}"/>
    <cellStyle name="쉼표 [0] 4 2 22 6" xfId="2260" xr:uid="{00000000-0005-0000-0000-0000EC080000}"/>
    <cellStyle name="쉼표 [0] 4 2 23" xfId="2261" xr:uid="{00000000-0005-0000-0000-0000ED080000}"/>
    <cellStyle name="쉼표 [0] 4 2 23 2" xfId="2262" xr:uid="{00000000-0005-0000-0000-0000EE080000}"/>
    <cellStyle name="쉼표 [0] 4 2 23 2 2" xfId="2263" xr:uid="{00000000-0005-0000-0000-0000EF080000}"/>
    <cellStyle name="쉼표 [0] 4 2 23 2 2 2" xfId="2264" xr:uid="{00000000-0005-0000-0000-0000F0080000}"/>
    <cellStyle name="쉼표 [0] 4 2 23 3" xfId="2265" xr:uid="{00000000-0005-0000-0000-0000F1080000}"/>
    <cellStyle name="쉼표 [0] 4 2 23 4" xfId="2266" xr:uid="{00000000-0005-0000-0000-0000F2080000}"/>
    <cellStyle name="쉼표 [0] 4 2 23 5" xfId="2267" xr:uid="{00000000-0005-0000-0000-0000F3080000}"/>
    <cellStyle name="쉼표 [0] 4 2 23 6" xfId="2268" xr:uid="{00000000-0005-0000-0000-0000F4080000}"/>
    <cellStyle name="쉼표 [0] 4 2 24" xfId="2269" xr:uid="{00000000-0005-0000-0000-0000F5080000}"/>
    <cellStyle name="쉼표 [0] 4 2 24 2" xfId="2270" xr:uid="{00000000-0005-0000-0000-0000F6080000}"/>
    <cellStyle name="쉼표 [0] 4 2 24 2 2" xfId="2271" xr:uid="{00000000-0005-0000-0000-0000F7080000}"/>
    <cellStyle name="쉼표 [0] 4 2 24 2 2 2" xfId="2272" xr:uid="{00000000-0005-0000-0000-0000F8080000}"/>
    <cellStyle name="쉼표 [0] 4 2 24 3" xfId="2273" xr:uid="{00000000-0005-0000-0000-0000F9080000}"/>
    <cellStyle name="쉼표 [0] 4 2 24 4" xfId="2274" xr:uid="{00000000-0005-0000-0000-0000FA080000}"/>
    <cellStyle name="쉼표 [0] 4 2 24 5" xfId="2275" xr:uid="{00000000-0005-0000-0000-0000FB080000}"/>
    <cellStyle name="쉼표 [0] 4 2 24 6" xfId="2276" xr:uid="{00000000-0005-0000-0000-0000FC080000}"/>
    <cellStyle name="쉼표 [0] 4 2 25" xfId="2277" xr:uid="{00000000-0005-0000-0000-0000FD080000}"/>
    <cellStyle name="쉼표 [0] 4 2 25 2" xfId="2278" xr:uid="{00000000-0005-0000-0000-0000FE080000}"/>
    <cellStyle name="쉼표 [0] 4 2 25 2 2" xfId="2279" xr:uid="{00000000-0005-0000-0000-0000FF080000}"/>
    <cellStyle name="쉼표 [0] 4 2 25 2 2 2" xfId="2280" xr:uid="{00000000-0005-0000-0000-000000090000}"/>
    <cellStyle name="쉼표 [0] 4 2 25 3" xfId="2281" xr:uid="{00000000-0005-0000-0000-000001090000}"/>
    <cellStyle name="쉼표 [0] 4 2 25 4" xfId="2282" xr:uid="{00000000-0005-0000-0000-000002090000}"/>
    <cellStyle name="쉼표 [0] 4 2 25 5" xfId="2283" xr:uid="{00000000-0005-0000-0000-000003090000}"/>
    <cellStyle name="쉼표 [0] 4 2 25 6" xfId="2284" xr:uid="{00000000-0005-0000-0000-000004090000}"/>
    <cellStyle name="쉼표 [0] 4 2 26" xfId="2285" xr:uid="{00000000-0005-0000-0000-000005090000}"/>
    <cellStyle name="쉼표 [0] 4 2 26 2" xfId="2286" xr:uid="{00000000-0005-0000-0000-000006090000}"/>
    <cellStyle name="쉼표 [0] 4 2 26 2 2" xfId="2287" xr:uid="{00000000-0005-0000-0000-000007090000}"/>
    <cellStyle name="쉼표 [0] 4 2 26 2 2 2" xfId="2288" xr:uid="{00000000-0005-0000-0000-000008090000}"/>
    <cellStyle name="쉼표 [0] 4 2 26 3" xfId="2289" xr:uid="{00000000-0005-0000-0000-000009090000}"/>
    <cellStyle name="쉼표 [0] 4 2 26 4" xfId="2290" xr:uid="{00000000-0005-0000-0000-00000A090000}"/>
    <cellStyle name="쉼표 [0] 4 2 26 5" xfId="2291" xr:uid="{00000000-0005-0000-0000-00000B090000}"/>
    <cellStyle name="쉼표 [0] 4 2 26 6" xfId="2292" xr:uid="{00000000-0005-0000-0000-00000C090000}"/>
    <cellStyle name="쉼표 [0] 4 2 27" xfId="2293" xr:uid="{00000000-0005-0000-0000-00000D090000}"/>
    <cellStyle name="쉼표 [0] 4 2 27 2" xfId="2294" xr:uid="{00000000-0005-0000-0000-00000E090000}"/>
    <cellStyle name="쉼표 [0] 4 2 27 2 2" xfId="2295" xr:uid="{00000000-0005-0000-0000-00000F090000}"/>
    <cellStyle name="쉼표 [0] 4 2 27 2 2 2" xfId="2296" xr:uid="{00000000-0005-0000-0000-000010090000}"/>
    <cellStyle name="쉼표 [0] 4 2 27 3" xfId="2297" xr:uid="{00000000-0005-0000-0000-000011090000}"/>
    <cellStyle name="쉼표 [0] 4 2 27 4" xfId="2298" xr:uid="{00000000-0005-0000-0000-000012090000}"/>
    <cellStyle name="쉼표 [0] 4 2 27 5" xfId="2299" xr:uid="{00000000-0005-0000-0000-000013090000}"/>
    <cellStyle name="쉼표 [0] 4 2 27 6" xfId="2300" xr:uid="{00000000-0005-0000-0000-000014090000}"/>
    <cellStyle name="쉼표 [0] 4 2 28" xfId="2301" xr:uid="{00000000-0005-0000-0000-000015090000}"/>
    <cellStyle name="쉼표 [0] 4 2 28 2" xfId="2302" xr:uid="{00000000-0005-0000-0000-000016090000}"/>
    <cellStyle name="쉼표 [0] 4 2 28 2 2" xfId="2303" xr:uid="{00000000-0005-0000-0000-000017090000}"/>
    <cellStyle name="쉼표 [0] 4 2 28 2 2 2" xfId="2304" xr:uid="{00000000-0005-0000-0000-000018090000}"/>
    <cellStyle name="쉼표 [0] 4 2 28 3" xfId="2305" xr:uid="{00000000-0005-0000-0000-000019090000}"/>
    <cellStyle name="쉼표 [0] 4 2 28 4" xfId="2306" xr:uid="{00000000-0005-0000-0000-00001A090000}"/>
    <cellStyle name="쉼표 [0] 4 2 28 5" xfId="2307" xr:uid="{00000000-0005-0000-0000-00001B090000}"/>
    <cellStyle name="쉼표 [0] 4 2 28 6" xfId="2308" xr:uid="{00000000-0005-0000-0000-00001C090000}"/>
    <cellStyle name="쉼표 [0] 4 2 29" xfId="2309" xr:uid="{00000000-0005-0000-0000-00001D090000}"/>
    <cellStyle name="쉼표 [0] 4 2 29 2" xfId="2310" xr:uid="{00000000-0005-0000-0000-00001E090000}"/>
    <cellStyle name="쉼표 [0] 4 2 29 2 2" xfId="2311" xr:uid="{00000000-0005-0000-0000-00001F090000}"/>
    <cellStyle name="쉼표 [0] 4 2 29 2 2 2" xfId="2312" xr:uid="{00000000-0005-0000-0000-000020090000}"/>
    <cellStyle name="쉼표 [0] 4 2 29 3" xfId="2313" xr:uid="{00000000-0005-0000-0000-000021090000}"/>
    <cellStyle name="쉼표 [0] 4 2 29 4" xfId="2314" xr:uid="{00000000-0005-0000-0000-000022090000}"/>
    <cellStyle name="쉼표 [0] 4 2 29 5" xfId="2315" xr:uid="{00000000-0005-0000-0000-000023090000}"/>
    <cellStyle name="쉼표 [0] 4 2 29 6" xfId="2316" xr:uid="{00000000-0005-0000-0000-000024090000}"/>
    <cellStyle name="쉼표 [0] 4 2 3" xfId="2317" xr:uid="{00000000-0005-0000-0000-000025090000}"/>
    <cellStyle name="쉼표 [0] 4 2 3 2" xfId="2318" xr:uid="{00000000-0005-0000-0000-000026090000}"/>
    <cellStyle name="쉼표 [0] 4 2 3 2 2" xfId="2319" xr:uid="{00000000-0005-0000-0000-000027090000}"/>
    <cellStyle name="쉼표 [0] 4 2 3 2 2 2" xfId="2320" xr:uid="{00000000-0005-0000-0000-000028090000}"/>
    <cellStyle name="쉼표 [0] 4 2 3 3" xfId="2321" xr:uid="{00000000-0005-0000-0000-000029090000}"/>
    <cellStyle name="쉼표 [0] 4 2 3 4" xfId="2322" xr:uid="{00000000-0005-0000-0000-00002A090000}"/>
    <cellStyle name="쉼표 [0] 4 2 3 5" xfId="2323" xr:uid="{00000000-0005-0000-0000-00002B090000}"/>
    <cellStyle name="쉼표 [0] 4 2 3 6" xfId="2324" xr:uid="{00000000-0005-0000-0000-00002C090000}"/>
    <cellStyle name="쉼표 [0] 4 2 30" xfId="2325" xr:uid="{00000000-0005-0000-0000-00002D090000}"/>
    <cellStyle name="쉼표 [0] 4 2 30 2" xfId="2326" xr:uid="{00000000-0005-0000-0000-00002E090000}"/>
    <cellStyle name="쉼표 [0] 4 2 30 2 2" xfId="2327" xr:uid="{00000000-0005-0000-0000-00002F090000}"/>
    <cellStyle name="쉼표 [0] 4 2 30 2 2 2" xfId="2328" xr:uid="{00000000-0005-0000-0000-000030090000}"/>
    <cellStyle name="쉼표 [0] 4 2 30 3" xfId="2329" xr:uid="{00000000-0005-0000-0000-000031090000}"/>
    <cellStyle name="쉼표 [0] 4 2 30 4" xfId="2330" xr:uid="{00000000-0005-0000-0000-000032090000}"/>
    <cellStyle name="쉼표 [0] 4 2 30 5" xfId="2331" xr:uid="{00000000-0005-0000-0000-000033090000}"/>
    <cellStyle name="쉼표 [0] 4 2 30 6" xfId="2332" xr:uid="{00000000-0005-0000-0000-000034090000}"/>
    <cellStyle name="쉼표 [0] 4 2 31" xfId="2333" xr:uid="{00000000-0005-0000-0000-000035090000}"/>
    <cellStyle name="쉼표 [0] 4 2 31 2" xfId="2334" xr:uid="{00000000-0005-0000-0000-000036090000}"/>
    <cellStyle name="쉼표 [0] 4 2 31 2 2" xfId="2335" xr:uid="{00000000-0005-0000-0000-000037090000}"/>
    <cellStyle name="쉼표 [0] 4 2 31 2 2 2" xfId="2336" xr:uid="{00000000-0005-0000-0000-000038090000}"/>
    <cellStyle name="쉼표 [0] 4 2 31 3" xfId="2337" xr:uid="{00000000-0005-0000-0000-000039090000}"/>
    <cellStyle name="쉼표 [0] 4 2 31 4" xfId="2338" xr:uid="{00000000-0005-0000-0000-00003A090000}"/>
    <cellStyle name="쉼표 [0] 4 2 31 5" xfId="2339" xr:uid="{00000000-0005-0000-0000-00003B090000}"/>
    <cellStyle name="쉼표 [0] 4 2 31 6" xfId="2340" xr:uid="{00000000-0005-0000-0000-00003C090000}"/>
    <cellStyle name="쉼표 [0] 4 2 32" xfId="2341" xr:uid="{00000000-0005-0000-0000-00003D090000}"/>
    <cellStyle name="쉼표 [0] 4 2 32 2" xfId="2342" xr:uid="{00000000-0005-0000-0000-00003E090000}"/>
    <cellStyle name="쉼표 [0] 4 2 32 2 2" xfId="2343" xr:uid="{00000000-0005-0000-0000-00003F090000}"/>
    <cellStyle name="쉼표 [0] 4 2 32 2 2 2" xfId="2344" xr:uid="{00000000-0005-0000-0000-000040090000}"/>
    <cellStyle name="쉼표 [0] 4 2 32 3" xfId="2345" xr:uid="{00000000-0005-0000-0000-000041090000}"/>
    <cellStyle name="쉼표 [0] 4 2 32 4" xfId="2346" xr:uid="{00000000-0005-0000-0000-000042090000}"/>
    <cellStyle name="쉼표 [0] 4 2 32 5" xfId="2347" xr:uid="{00000000-0005-0000-0000-000043090000}"/>
    <cellStyle name="쉼표 [0] 4 2 32 6" xfId="2348" xr:uid="{00000000-0005-0000-0000-000044090000}"/>
    <cellStyle name="쉼표 [0] 4 2 33" xfId="2349" xr:uid="{00000000-0005-0000-0000-000045090000}"/>
    <cellStyle name="쉼표 [0] 4 2 33 2" xfId="2350" xr:uid="{00000000-0005-0000-0000-000046090000}"/>
    <cellStyle name="쉼표 [0] 4 2 33 2 2" xfId="2351" xr:uid="{00000000-0005-0000-0000-000047090000}"/>
    <cellStyle name="쉼표 [0] 4 2 33 2 2 2" xfId="2352" xr:uid="{00000000-0005-0000-0000-000048090000}"/>
    <cellStyle name="쉼표 [0] 4 2 33 3" xfId="2353" xr:uid="{00000000-0005-0000-0000-000049090000}"/>
    <cellStyle name="쉼표 [0] 4 2 33 4" xfId="2354" xr:uid="{00000000-0005-0000-0000-00004A090000}"/>
    <cellStyle name="쉼표 [0] 4 2 33 5" xfId="2355" xr:uid="{00000000-0005-0000-0000-00004B090000}"/>
    <cellStyle name="쉼표 [0] 4 2 33 6" xfId="2356" xr:uid="{00000000-0005-0000-0000-00004C090000}"/>
    <cellStyle name="쉼표 [0] 4 2 34" xfId="2357" xr:uid="{00000000-0005-0000-0000-00004D090000}"/>
    <cellStyle name="쉼표 [0] 4 2 34 2" xfId="2358" xr:uid="{00000000-0005-0000-0000-00004E090000}"/>
    <cellStyle name="쉼표 [0] 4 2 34 2 2" xfId="2359" xr:uid="{00000000-0005-0000-0000-00004F090000}"/>
    <cellStyle name="쉼표 [0] 4 2 34 2 2 2" xfId="2360" xr:uid="{00000000-0005-0000-0000-000050090000}"/>
    <cellStyle name="쉼표 [0] 4 2 34 3" xfId="2361" xr:uid="{00000000-0005-0000-0000-000051090000}"/>
    <cellStyle name="쉼표 [0] 4 2 34 4" xfId="2362" xr:uid="{00000000-0005-0000-0000-000052090000}"/>
    <cellStyle name="쉼표 [0] 4 2 34 5" xfId="2363" xr:uid="{00000000-0005-0000-0000-000053090000}"/>
    <cellStyle name="쉼표 [0] 4 2 34 6" xfId="2364" xr:uid="{00000000-0005-0000-0000-000054090000}"/>
    <cellStyle name="쉼표 [0] 4 2 35" xfId="2365" xr:uid="{00000000-0005-0000-0000-000055090000}"/>
    <cellStyle name="쉼표 [0] 4 2 35 2" xfId="2366" xr:uid="{00000000-0005-0000-0000-000056090000}"/>
    <cellStyle name="쉼표 [0] 4 2 35 2 2" xfId="2367" xr:uid="{00000000-0005-0000-0000-000057090000}"/>
    <cellStyle name="쉼표 [0] 4 2 35 2 2 2" xfId="2368" xr:uid="{00000000-0005-0000-0000-000058090000}"/>
    <cellStyle name="쉼표 [0] 4 2 35 3" xfId="2369" xr:uid="{00000000-0005-0000-0000-000059090000}"/>
    <cellStyle name="쉼표 [0] 4 2 35 4" xfId="2370" xr:uid="{00000000-0005-0000-0000-00005A090000}"/>
    <cellStyle name="쉼표 [0] 4 2 35 5" xfId="2371" xr:uid="{00000000-0005-0000-0000-00005B090000}"/>
    <cellStyle name="쉼표 [0] 4 2 35 6" xfId="2372" xr:uid="{00000000-0005-0000-0000-00005C090000}"/>
    <cellStyle name="쉼표 [0] 4 2 36" xfId="2373" xr:uid="{00000000-0005-0000-0000-00005D090000}"/>
    <cellStyle name="쉼표 [0] 4 2 36 2" xfId="2374" xr:uid="{00000000-0005-0000-0000-00005E090000}"/>
    <cellStyle name="쉼표 [0] 4 2 36 3" xfId="2375" xr:uid="{00000000-0005-0000-0000-00005F090000}"/>
    <cellStyle name="쉼표 [0] 4 2 36 4" xfId="2376" xr:uid="{00000000-0005-0000-0000-000060090000}"/>
    <cellStyle name="쉼표 [0] 4 2 36 5" xfId="2377" xr:uid="{00000000-0005-0000-0000-000061090000}"/>
    <cellStyle name="쉼표 [0] 4 2 36 5 2" xfId="2378" xr:uid="{00000000-0005-0000-0000-000062090000}"/>
    <cellStyle name="쉼표 [0] 4 2 36 6" xfId="2379" xr:uid="{00000000-0005-0000-0000-000063090000}"/>
    <cellStyle name="쉼표 [0] 4 2 37" xfId="2380" xr:uid="{00000000-0005-0000-0000-000064090000}"/>
    <cellStyle name="쉼표 [0] 4 2 37 2" xfId="2381" xr:uid="{00000000-0005-0000-0000-000065090000}"/>
    <cellStyle name="쉼표 [0] 4 2 37 3" xfId="2382" xr:uid="{00000000-0005-0000-0000-000066090000}"/>
    <cellStyle name="쉼표 [0] 4 2 37 4" xfId="2383" xr:uid="{00000000-0005-0000-0000-000067090000}"/>
    <cellStyle name="쉼표 [0] 4 2 37 5" xfId="2384" xr:uid="{00000000-0005-0000-0000-000068090000}"/>
    <cellStyle name="쉼표 [0] 4 2 38" xfId="2385" xr:uid="{00000000-0005-0000-0000-000069090000}"/>
    <cellStyle name="쉼표 [0] 4 2 38 2" xfId="2386" xr:uid="{00000000-0005-0000-0000-00006A090000}"/>
    <cellStyle name="쉼표 [0] 4 2 38 3" xfId="2387" xr:uid="{00000000-0005-0000-0000-00006B090000}"/>
    <cellStyle name="쉼표 [0] 4 2 38 4" xfId="2388" xr:uid="{00000000-0005-0000-0000-00006C090000}"/>
    <cellStyle name="쉼표 [0] 4 2 38 5" xfId="2389" xr:uid="{00000000-0005-0000-0000-00006D090000}"/>
    <cellStyle name="쉼표 [0] 4 2 39" xfId="2390" xr:uid="{00000000-0005-0000-0000-00006E090000}"/>
    <cellStyle name="쉼표 [0] 4 2 39 2" xfId="2391" xr:uid="{00000000-0005-0000-0000-00006F090000}"/>
    <cellStyle name="쉼표 [0] 4 2 4" xfId="2392" xr:uid="{00000000-0005-0000-0000-000070090000}"/>
    <cellStyle name="쉼표 [0] 4 2 4 2" xfId="2393" xr:uid="{00000000-0005-0000-0000-000071090000}"/>
    <cellStyle name="쉼표 [0] 4 2 4 2 2" xfId="2394" xr:uid="{00000000-0005-0000-0000-000072090000}"/>
    <cellStyle name="쉼표 [0] 4 2 4 2 2 2" xfId="2395" xr:uid="{00000000-0005-0000-0000-000073090000}"/>
    <cellStyle name="쉼표 [0] 4 2 4 3" xfId="2396" xr:uid="{00000000-0005-0000-0000-000074090000}"/>
    <cellStyle name="쉼표 [0] 4 2 4 4" xfId="2397" xr:uid="{00000000-0005-0000-0000-000075090000}"/>
    <cellStyle name="쉼표 [0] 4 2 4 5" xfId="2398" xr:uid="{00000000-0005-0000-0000-000076090000}"/>
    <cellStyle name="쉼표 [0] 4 2 4 6" xfId="2399" xr:uid="{00000000-0005-0000-0000-000077090000}"/>
    <cellStyle name="쉼표 [0] 4 2 40" xfId="2400" xr:uid="{00000000-0005-0000-0000-000078090000}"/>
    <cellStyle name="쉼표 [0] 4 2 5" xfId="2401" xr:uid="{00000000-0005-0000-0000-000079090000}"/>
    <cellStyle name="쉼표 [0] 4 2 5 2" xfId="2402" xr:uid="{00000000-0005-0000-0000-00007A090000}"/>
    <cellStyle name="쉼표 [0] 4 2 5 2 2" xfId="2403" xr:uid="{00000000-0005-0000-0000-00007B090000}"/>
    <cellStyle name="쉼표 [0] 4 2 5 2 2 2" xfId="2404" xr:uid="{00000000-0005-0000-0000-00007C090000}"/>
    <cellStyle name="쉼표 [0] 4 2 5 3" xfId="2405" xr:uid="{00000000-0005-0000-0000-00007D090000}"/>
    <cellStyle name="쉼표 [0] 4 2 5 4" xfId="2406" xr:uid="{00000000-0005-0000-0000-00007E090000}"/>
    <cellStyle name="쉼표 [0] 4 2 5 5" xfId="2407" xr:uid="{00000000-0005-0000-0000-00007F090000}"/>
    <cellStyle name="쉼표 [0] 4 2 5 6" xfId="2408" xr:uid="{00000000-0005-0000-0000-000080090000}"/>
    <cellStyle name="쉼표 [0] 4 2 6" xfId="2409" xr:uid="{00000000-0005-0000-0000-000081090000}"/>
    <cellStyle name="쉼표 [0] 4 2 6 2" xfId="2410" xr:uid="{00000000-0005-0000-0000-000082090000}"/>
    <cellStyle name="쉼표 [0] 4 2 6 2 2" xfId="2411" xr:uid="{00000000-0005-0000-0000-000083090000}"/>
    <cellStyle name="쉼표 [0] 4 2 6 2 2 2" xfId="2412" xr:uid="{00000000-0005-0000-0000-000084090000}"/>
    <cellStyle name="쉼표 [0] 4 2 6 3" xfId="2413" xr:uid="{00000000-0005-0000-0000-000085090000}"/>
    <cellStyle name="쉼표 [0] 4 2 6 4" xfId="2414" xr:uid="{00000000-0005-0000-0000-000086090000}"/>
    <cellStyle name="쉼표 [0] 4 2 6 5" xfId="2415" xr:uid="{00000000-0005-0000-0000-000087090000}"/>
    <cellStyle name="쉼표 [0] 4 2 6 6" xfId="2416" xr:uid="{00000000-0005-0000-0000-000088090000}"/>
    <cellStyle name="쉼표 [0] 4 2 7" xfId="2417" xr:uid="{00000000-0005-0000-0000-000089090000}"/>
    <cellStyle name="쉼표 [0] 4 2 7 2" xfId="2418" xr:uid="{00000000-0005-0000-0000-00008A090000}"/>
    <cellStyle name="쉼표 [0] 4 2 7 2 2" xfId="2419" xr:uid="{00000000-0005-0000-0000-00008B090000}"/>
    <cellStyle name="쉼표 [0] 4 2 7 2 2 2" xfId="2420" xr:uid="{00000000-0005-0000-0000-00008C090000}"/>
    <cellStyle name="쉼표 [0] 4 2 7 3" xfId="2421" xr:uid="{00000000-0005-0000-0000-00008D090000}"/>
    <cellStyle name="쉼표 [0] 4 2 7 4" xfId="2422" xr:uid="{00000000-0005-0000-0000-00008E090000}"/>
    <cellStyle name="쉼표 [0] 4 2 7 5" xfId="2423" xr:uid="{00000000-0005-0000-0000-00008F090000}"/>
    <cellStyle name="쉼표 [0] 4 2 7 6" xfId="2424" xr:uid="{00000000-0005-0000-0000-000090090000}"/>
    <cellStyle name="쉼표 [0] 4 2 8" xfId="2425" xr:uid="{00000000-0005-0000-0000-000091090000}"/>
    <cellStyle name="쉼표 [0] 4 2 8 2" xfId="2426" xr:uid="{00000000-0005-0000-0000-000092090000}"/>
    <cellStyle name="쉼표 [0] 4 2 8 2 2" xfId="2427" xr:uid="{00000000-0005-0000-0000-000093090000}"/>
    <cellStyle name="쉼표 [0] 4 2 8 2 2 2" xfId="2428" xr:uid="{00000000-0005-0000-0000-000094090000}"/>
    <cellStyle name="쉼표 [0] 4 2 8 3" xfId="2429" xr:uid="{00000000-0005-0000-0000-000095090000}"/>
    <cellStyle name="쉼표 [0] 4 2 8 4" xfId="2430" xr:uid="{00000000-0005-0000-0000-000096090000}"/>
    <cellStyle name="쉼표 [0] 4 2 8 5" xfId="2431" xr:uid="{00000000-0005-0000-0000-000097090000}"/>
    <cellStyle name="쉼표 [0] 4 2 8 6" xfId="2432" xr:uid="{00000000-0005-0000-0000-000098090000}"/>
    <cellStyle name="쉼표 [0] 4 2 9" xfId="2433" xr:uid="{00000000-0005-0000-0000-000099090000}"/>
    <cellStyle name="쉼표 [0] 4 2 9 2" xfId="2434" xr:uid="{00000000-0005-0000-0000-00009A090000}"/>
    <cellStyle name="쉼표 [0] 4 2 9 2 2" xfId="2435" xr:uid="{00000000-0005-0000-0000-00009B090000}"/>
    <cellStyle name="쉼표 [0] 4 2 9 2 2 2" xfId="2436" xr:uid="{00000000-0005-0000-0000-00009C090000}"/>
    <cellStyle name="쉼표 [0] 4 2 9 3" xfId="2437" xr:uid="{00000000-0005-0000-0000-00009D090000}"/>
    <cellStyle name="쉼표 [0] 4 2 9 4" xfId="2438" xr:uid="{00000000-0005-0000-0000-00009E090000}"/>
    <cellStyle name="쉼표 [0] 4 2 9 5" xfId="2439" xr:uid="{00000000-0005-0000-0000-00009F090000}"/>
    <cellStyle name="쉼표 [0] 4 2 9 6" xfId="2440" xr:uid="{00000000-0005-0000-0000-0000A0090000}"/>
    <cellStyle name="쉼표 [0] 4 20" xfId="2441" xr:uid="{00000000-0005-0000-0000-0000A1090000}"/>
    <cellStyle name="쉼표 [0] 4 21" xfId="2442" xr:uid="{00000000-0005-0000-0000-0000A2090000}"/>
    <cellStyle name="쉼표 [0] 4 22" xfId="2443" xr:uid="{00000000-0005-0000-0000-0000A3090000}"/>
    <cellStyle name="쉼표 [0] 4 23" xfId="2444" xr:uid="{00000000-0005-0000-0000-0000A4090000}"/>
    <cellStyle name="쉼표 [0] 4 24" xfId="2445" xr:uid="{00000000-0005-0000-0000-0000A5090000}"/>
    <cellStyle name="쉼표 [0] 4 25" xfId="2446" xr:uid="{00000000-0005-0000-0000-0000A6090000}"/>
    <cellStyle name="쉼표 [0] 4 26" xfId="2447" xr:uid="{00000000-0005-0000-0000-0000A7090000}"/>
    <cellStyle name="쉼표 [0] 4 27" xfId="2448" xr:uid="{00000000-0005-0000-0000-0000A8090000}"/>
    <cellStyle name="쉼표 [0] 4 28" xfId="2449" xr:uid="{00000000-0005-0000-0000-0000A9090000}"/>
    <cellStyle name="쉼표 [0] 4 29" xfId="2450" xr:uid="{00000000-0005-0000-0000-0000AA090000}"/>
    <cellStyle name="쉼표 [0] 4 3" xfId="2451" xr:uid="{00000000-0005-0000-0000-0000AB090000}"/>
    <cellStyle name="쉼표 [0] 4 3 2" xfId="2452" xr:uid="{00000000-0005-0000-0000-0000AC090000}"/>
    <cellStyle name="쉼표 [0] 4 3 2 2" xfId="2453" xr:uid="{00000000-0005-0000-0000-0000AD090000}"/>
    <cellStyle name="쉼표 [0] 4 3 2 2 2" xfId="2454" xr:uid="{00000000-0005-0000-0000-0000AE090000}"/>
    <cellStyle name="쉼표 [0] 4 3 2 3" xfId="2455" xr:uid="{00000000-0005-0000-0000-0000AF090000}"/>
    <cellStyle name="쉼표 [0] 4 3 3" xfId="2456" xr:uid="{00000000-0005-0000-0000-0000B0090000}"/>
    <cellStyle name="쉼표 [0] 4 3 4" xfId="2457" xr:uid="{00000000-0005-0000-0000-0000B1090000}"/>
    <cellStyle name="쉼표 [0] 4 3 5" xfId="2458" xr:uid="{00000000-0005-0000-0000-0000B2090000}"/>
    <cellStyle name="쉼표 [0] 4 3 6" xfId="2459" xr:uid="{00000000-0005-0000-0000-0000B3090000}"/>
    <cellStyle name="쉼표 [0] 4 3 7" xfId="2460" xr:uid="{00000000-0005-0000-0000-0000B4090000}"/>
    <cellStyle name="쉼표 [0] 4 30" xfId="2461" xr:uid="{00000000-0005-0000-0000-0000B5090000}"/>
    <cellStyle name="쉼표 [0] 4 31" xfId="2462" xr:uid="{00000000-0005-0000-0000-0000B6090000}"/>
    <cellStyle name="쉼표 [0] 4 32" xfId="2463" xr:uid="{00000000-0005-0000-0000-0000B7090000}"/>
    <cellStyle name="쉼표 [0] 4 33" xfId="2464" xr:uid="{00000000-0005-0000-0000-0000B8090000}"/>
    <cellStyle name="쉼표 [0] 4 34" xfId="2465" xr:uid="{00000000-0005-0000-0000-0000B9090000}"/>
    <cellStyle name="쉼표 [0] 4 35" xfId="2466" xr:uid="{00000000-0005-0000-0000-0000BA090000}"/>
    <cellStyle name="쉼표 [0] 4 36" xfId="2467" xr:uid="{00000000-0005-0000-0000-0000BB090000}"/>
    <cellStyle name="쉼표 [0] 4 37" xfId="2468" xr:uid="{00000000-0005-0000-0000-0000BC090000}"/>
    <cellStyle name="쉼표 [0] 4 38" xfId="2469" xr:uid="{00000000-0005-0000-0000-0000BD090000}"/>
    <cellStyle name="쉼표 [0] 4 39" xfId="2470" xr:uid="{00000000-0005-0000-0000-0000BE090000}"/>
    <cellStyle name="쉼표 [0] 4 4" xfId="2471" xr:uid="{00000000-0005-0000-0000-0000BF090000}"/>
    <cellStyle name="쉼표 [0] 4 4 2" xfId="2472" xr:uid="{00000000-0005-0000-0000-0000C0090000}"/>
    <cellStyle name="쉼표 [0] 4 4 2 2" xfId="2473" xr:uid="{00000000-0005-0000-0000-0000C1090000}"/>
    <cellStyle name="쉼표 [0] 4 4 2 2 2" xfId="2474" xr:uid="{00000000-0005-0000-0000-0000C2090000}"/>
    <cellStyle name="쉼표 [0] 4 4 2 3" xfId="2475" xr:uid="{00000000-0005-0000-0000-0000C3090000}"/>
    <cellStyle name="쉼표 [0] 4 4 3" xfId="2476" xr:uid="{00000000-0005-0000-0000-0000C4090000}"/>
    <cellStyle name="쉼표 [0] 4 4 4" xfId="2477" xr:uid="{00000000-0005-0000-0000-0000C5090000}"/>
    <cellStyle name="쉼표 [0] 4 4 5" xfId="2478" xr:uid="{00000000-0005-0000-0000-0000C6090000}"/>
    <cellStyle name="쉼표 [0] 4 4 6" xfId="2479" xr:uid="{00000000-0005-0000-0000-0000C7090000}"/>
    <cellStyle name="쉼표 [0] 4 4 7" xfId="2480" xr:uid="{00000000-0005-0000-0000-0000C8090000}"/>
    <cellStyle name="쉼표 [0] 4 40" xfId="2481" xr:uid="{00000000-0005-0000-0000-0000C9090000}"/>
    <cellStyle name="쉼표 [0] 4 41" xfId="2482" xr:uid="{00000000-0005-0000-0000-0000CA090000}"/>
    <cellStyle name="쉼표 [0] 4 42" xfId="2483" xr:uid="{00000000-0005-0000-0000-0000CB090000}"/>
    <cellStyle name="쉼표 [0] 4 43" xfId="2484" xr:uid="{00000000-0005-0000-0000-0000CC090000}"/>
    <cellStyle name="쉼표 [0] 4 44" xfId="2485" xr:uid="{00000000-0005-0000-0000-0000CD090000}"/>
    <cellStyle name="쉼표 [0] 4 45" xfId="2486" xr:uid="{00000000-0005-0000-0000-0000CE090000}"/>
    <cellStyle name="쉼표 [0] 4 46" xfId="2487" xr:uid="{00000000-0005-0000-0000-0000CF090000}"/>
    <cellStyle name="쉼표 [0] 4 47" xfId="2488" xr:uid="{00000000-0005-0000-0000-0000D0090000}"/>
    <cellStyle name="쉼표 [0] 4 48" xfId="2489" xr:uid="{00000000-0005-0000-0000-0000D1090000}"/>
    <cellStyle name="쉼표 [0] 4 49" xfId="2490" xr:uid="{00000000-0005-0000-0000-0000D2090000}"/>
    <cellStyle name="쉼표 [0] 4 5" xfId="2491" xr:uid="{00000000-0005-0000-0000-0000D3090000}"/>
    <cellStyle name="쉼표 [0] 4 5 2" xfId="2492" xr:uid="{00000000-0005-0000-0000-0000D4090000}"/>
    <cellStyle name="쉼표 [0] 4 5 2 2" xfId="2493" xr:uid="{00000000-0005-0000-0000-0000D5090000}"/>
    <cellStyle name="쉼표 [0] 4 5 2 2 2" xfId="2494" xr:uid="{00000000-0005-0000-0000-0000D6090000}"/>
    <cellStyle name="쉼표 [0] 4 5 2 3" xfId="2495" xr:uid="{00000000-0005-0000-0000-0000D7090000}"/>
    <cellStyle name="쉼표 [0] 4 5 3" xfId="2496" xr:uid="{00000000-0005-0000-0000-0000D8090000}"/>
    <cellStyle name="쉼표 [0] 4 5 4" xfId="2497" xr:uid="{00000000-0005-0000-0000-0000D9090000}"/>
    <cellStyle name="쉼표 [0] 4 5 5" xfId="2498" xr:uid="{00000000-0005-0000-0000-0000DA090000}"/>
    <cellStyle name="쉼표 [0] 4 5 6" xfId="2499" xr:uid="{00000000-0005-0000-0000-0000DB090000}"/>
    <cellStyle name="쉼표 [0] 4 5 7" xfId="2500" xr:uid="{00000000-0005-0000-0000-0000DC090000}"/>
    <cellStyle name="쉼표 [0] 4 50" xfId="2501" xr:uid="{00000000-0005-0000-0000-0000DD090000}"/>
    <cellStyle name="쉼표 [0] 4 6" xfId="2502" xr:uid="{00000000-0005-0000-0000-0000DE090000}"/>
    <cellStyle name="쉼표 [0] 4 6 2" xfId="2503" xr:uid="{00000000-0005-0000-0000-0000DF090000}"/>
    <cellStyle name="쉼표 [0] 4 6 2 2" xfId="2504" xr:uid="{00000000-0005-0000-0000-0000E0090000}"/>
    <cellStyle name="쉼표 [0] 4 6 2 2 2" xfId="2505" xr:uid="{00000000-0005-0000-0000-0000E1090000}"/>
    <cellStyle name="쉼표 [0] 4 6 2 3" xfId="2506" xr:uid="{00000000-0005-0000-0000-0000E2090000}"/>
    <cellStyle name="쉼표 [0] 4 6 3" xfId="2507" xr:uid="{00000000-0005-0000-0000-0000E3090000}"/>
    <cellStyle name="쉼표 [0] 4 6 4" xfId="2508" xr:uid="{00000000-0005-0000-0000-0000E4090000}"/>
    <cellStyle name="쉼표 [0] 4 6 5" xfId="2509" xr:uid="{00000000-0005-0000-0000-0000E5090000}"/>
    <cellStyle name="쉼표 [0] 4 6 6" xfId="2510" xr:uid="{00000000-0005-0000-0000-0000E6090000}"/>
    <cellStyle name="쉼표 [0] 4 6 7" xfId="2511" xr:uid="{00000000-0005-0000-0000-0000E7090000}"/>
    <cellStyle name="쉼표 [0] 4 7" xfId="2512" xr:uid="{00000000-0005-0000-0000-0000E8090000}"/>
    <cellStyle name="쉼표 [0] 4 7 2" xfId="2513" xr:uid="{00000000-0005-0000-0000-0000E9090000}"/>
    <cellStyle name="쉼표 [0] 4 7 2 2" xfId="2514" xr:uid="{00000000-0005-0000-0000-0000EA090000}"/>
    <cellStyle name="쉼표 [0] 4 7 2 3" xfId="2515" xr:uid="{00000000-0005-0000-0000-0000EB090000}"/>
    <cellStyle name="쉼표 [0] 4 7 2 4" xfId="2516" xr:uid="{00000000-0005-0000-0000-0000EC090000}"/>
    <cellStyle name="쉼표 [0] 4 7 2 5" xfId="2517" xr:uid="{00000000-0005-0000-0000-0000ED090000}"/>
    <cellStyle name="쉼표 [0] 4 7 2 6" xfId="2518" xr:uid="{00000000-0005-0000-0000-0000EE090000}"/>
    <cellStyle name="쉼표 [0] 4 7 2 7" xfId="2519" xr:uid="{00000000-0005-0000-0000-0000EF090000}"/>
    <cellStyle name="쉼표 [0] 4 7 2 8" xfId="2520" xr:uid="{00000000-0005-0000-0000-0000F0090000}"/>
    <cellStyle name="쉼표 [0] 4 7 2 9" xfId="2521" xr:uid="{00000000-0005-0000-0000-0000F1090000}"/>
    <cellStyle name="쉼표 [0] 4 7 3" xfId="2522" xr:uid="{00000000-0005-0000-0000-0000F2090000}"/>
    <cellStyle name="쉼표 [0] 4 7 3 2" xfId="2523" xr:uid="{00000000-0005-0000-0000-0000F3090000}"/>
    <cellStyle name="쉼표 [0] 4 7 3 3" xfId="2524" xr:uid="{00000000-0005-0000-0000-0000F4090000}"/>
    <cellStyle name="쉼표 [0] 4 7 3 4" xfId="2525" xr:uid="{00000000-0005-0000-0000-0000F5090000}"/>
    <cellStyle name="쉼표 [0] 4 7 3 5" xfId="2526" xr:uid="{00000000-0005-0000-0000-0000F6090000}"/>
    <cellStyle name="쉼표 [0] 4 7 3 5 2" xfId="2527" xr:uid="{00000000-0005-0000-0000-0000F7090000}"/>
    <cellStyle name="쉼표 [0] 4 7 3 6" xfId="2528" xr:uid="{00000000-0005-0000-0000-0000F8090000}"/>
    <cellStyle name="쉼표 [0] 4 7 4" xfId="2529" xr:uid="{00000000-0005-0000-0000-0000F9090000}"/>
    <cellStyle name="쉼표 [0] 4 7 4 2" xfId="2530" xr:uid="{00000000-0005-0000-0000-0000FA090000}"/>
    <cellStyle name="쉼표 [0] 4 7 4 3" xfId="2531" xr:uid="{00000000-0005-0000-0000-0000FB090000}"/>
    <cellStyle name="쉼표 [0] 4 7 4 4" xfId="2532" xr:uid="{00000000-0005-0000-0000-0000FC090000}"/>
    <cellStyle name="쉼표 [0] 4 7 4 5" xfId="2533" xr:uid="{00000000-0005-0000-0000-0000FD090000}"/>
    <cellStyle name="쉼표 [0] 4 7 5" xfId="2534" xr:uid="{00000000-0005-0000-0000-0000FE090000}"/>
    <cellStyle name="쉼표 [0] 4 8" xfId="2535" xr:uid="{00000000-0005-0000-0000-0000FF090000}"/>
    <cellStyle name="쉼표 [0] 4 9" xfId="2536" xr:uid="{00000000-0005-0000-0000-0000000A0000}"/>
    <cellStyle name="쉼표 [0] 40" xfId="3121" xr:uid="{00000000-0005-0000-0000-0000010A0000}"/>
    <cellStyle name="쉼표 [0] 41" xfId="3125" xr:uid="{00000000-0005-0000-0000-0000020A0000}"/>
    <cellStyle name="쉼표 [0] 42" xfId="3145" xr:uid="{00000000-0005-0000-0000-0000030A0000}"/>
    <cellStyle name="쉼표 [0] 43" xfId="3175" xr:uid="{00000000-0005-0000-0000-0000040A0000}"/>
    <cellStyle name="쉼표 [0] 44" xfId="3184" xr:uid="{00000000-0005-0000-0000-0000050A0000}"/>
    <cellStyle name="쉼표 [0] 45" xfId="3197" xr:uid="{00000000-0005-0000-0000-0000060A0000}"/>
    <cellStyle name="쉼표 [0] 46" xfId="3216" xr:uid="{00000000-0005-0000-0000-0000070A0000}"/>
    <cellStyle name="쉼표 [0] 46 2" xfId="3276" xr:uid="{00000000-0005-0000-0000-0000080A0000}"/>
    <cellStyle name="쉼표 [0] 46 2 2" xfId="3388" xr:uid="{00000000-0005-0000-0000-0000090A0000}"/>
    <cellStyle name="쉼표 [0] 46 2 2 2" xfId="3717" xr:uid="{00000000-0005-0000-0000-00000A0A0000}"/>
    <cellStyle name="쉼표 [0] 46 2 3" xfId="3497" xr:uid="{00000000-0005-0000-0000-00000B0A0000}"/>
    <cellStyle name="쉼표 [0] 46 2 3 2" xfId="3826" xr:uid="{00000000-0005-0000-0000-00000C0A0000}"/>
    <cellStyle name="쉼표 [0] 46 2 4" xfId="3609" xr:uid="{00000000-0005-0000-0000-00000D0A0000}"/>
    <cellStyle name="쉼표 [0] 46 3" xfId="3334" xr:uid="{00000000-0005-0000-0000-00000E0A0000}"/>
    <cellStyle name="쉼표 [0] 46 3 2" xfId="3663" xr:uid="{00000000-0005-0000-0000-00000F0A0000}"/>
    <cellStyle name="쉼표 [0] 46 4" xfId="3443" xr:uid="{00000000-0005-0000-0000-0000100A0000}"/>
    <cellStyle name="쉼표 [0] 46 4 2" xfId="3772" xr:uid="{00000000-0005-0000-0000-0000110A0000}"/>
    <cellStyle name="쉼표 [0] 46 5" xfId="3555" xr:uid="{00000000-0005-0000-0000-0000120A0000}"/>
    <cellStyle name="쉼표 [0] 47" xfId="3240" xr:uid="{00000000-0005-0000-0000-0000130A0000}"/>
    <cellStyle name="쉼표 [0] 48" xfId="3298" xr:uid="{00000000-0005-0000-0000-0000140A0000}"/>
    <cellStyle name="쉼표 [0] 49" xfId="3519" xr:uid="{00000000-0005-0000-0000-0000150A0000}"/>
    <cellStyle name="쉼표 [0] 5" xfId="2537" xr:uid="{00000000-0005-0000-0000-0000160A0000}"/>
    <cellStyle name="쉼표 [0] 5 10" xfId="2538" xr:uid="{00000000-0005-0000-0000-0000170A0000}"/>
    <cellStyle name="쉼표 [0] 5 11" xfId="2539" xr:uid="{00000000-0005-0000-0000-0000180A0000}"/>
    <cellStyle name="쉼표 [0] 5 12" xfId="2540" xr:uid="{00000000-0005-0000-0000-0000190A0000}"/>
    <cellStyle name="쉼표 [0] 5 13" xfId="2541" xr:uid="{00000000-0005-0000-0000-00001A0A0000}"/>
    <cellStyle name="쉼표 [0] 5 2" xfId="2542" xr:uid="{00000000-0005-0000-0000-00001B0A0000}"/>
    <cellStyle name="쉼표 [0] 5 2 2" xfId="2543" xr:uid="{00000000-0005-0000-0000-00001C0A0000}"/>
    <cellStyle name="쉼표 [0] 5 2 2 2" xfId="2544" xr:uid="{00000000-0005-0000-0000-00001D0A0000}"/>
    <cellStyle name="쉼표 [0] 5 2 2 2 2" xfId="2545" xr:uid="{00000000-0005-0000-0000-00001E0A0000}"/>
    <cellStyle name="쉼표 [0] 5 2 2 3" xfId="2546" xr:uid="{00000000-0005-0000-0000-00001F0A0000}"/>
    <cellStyle name="쉼표 [0] 5 2 3" xfId="2547" xr:uid="{00000000-0005-0000-0000-0000200A0000}"/>
    <cellStyle name="쉼표 [0] 5 2 4" xfId="2548" xr:uid="{00000000-0005-0000-0000-0000210A0000}"/>
    <cellStyle name="쉼표 [0] 5 2 5" xfId="2549" xr:uid="{00000000-0005-0000-0000-0000220A0000}"/>
    <cellStyle name="쉼표 [0] 5 2 6" xfId="2550" xr:uid="{00000000-0005-0000-0000-0000230A0000}"/>
    <cellStyle name="쉼표 [0] 5 2 7" xfId="2551" xr:uid="{00000000-0005-0000-0000-0000240A0000}"/>
    <cellStyle name="쉼표 [0] 5 3" xfId="2552" xr:uid="{00000000-0005-0000-0000-0000250A0000}"/>
    <cellStyle name="쉼표 [0] 5 4" xfId="2553" xr:uid="{00000000-0005-0000-0000-0000260A0000}"/>
    <cellStyle name="쉼표 [0] 5 5" xfId="2554" xr:uid="{00000000-0005-0000-0000-0000270A0000}"/>
    <cellStyle name="쉼표 [0] 5 6" xfId="2555" xr:uid="{00000000-0005-0000-0000-0000280A0000}"/>
    <cellStyle name="쉼표 [0] 5 7" xfId="2556" xr:uid="{00000000-0005-0000-0000-0000290A0000}"/>
    <cellStyle name="쉼표 [0] 5 8" xfId="2557" xr:uid="{00000000-0005-0000-0000-00002A0A0000}"/>
    <cellStyle name="쉼표 [0] 5 9" xfId="2558" xr:uid="{00000000-0005-0000-0000-00002B0A0000}"/>
    <cellStyle name="쉼표 [0] 50" xfId="1132" xr:uid="{00000000-0005-0000-0000-00002C0A0000}"/>
    <cellStyle name="쉼표 [0] 6" xfId="2559" xr:uid="{00000000-0005-0000-0000-00002D0A0000}"/>
    <cellStyle name="쉼표 [0] 6 10" xfId="2560" xr:uid="{00000000-0005-0000-0000-00002E0A0000}"/>
    <cellStyle name="쉼표 [0] 6 11" xfId="2561" xr:uid="{00000000-0005-0000-0000-00002F0A0000}"/>
    <cellStyle name="쉼표 [0] 6 12" xfId="2562" xr:uid="{00000000-0005-0000-0000-0000300A0000}"/>
    <cellStyle name="쉼표 [0] 6 13" xfId="2563" xr:uid="{00000000-0005-0000-0000-0000310A0000}"/>
    <cellStyle name="쉼표 [0] 6 14" xfId="2564" xr:uid="{00000000-0005-0000-0000-0000320A0000}"/>
    <cellStyle name="쉼표 [0] 6 2" xfId="2565" xr:uid="{00000000-0005-0000-0000-0000330A0000}"/>
    <cellStyle name="쉼표 [0] 6 2 2" xfId="2566" xr:uid="{00000000-0005-0000-0000-0000340A0000}"/>
    <cellStyle name="쉼표 [0] 6 2 2 2" xfId="2567" xr:uid="{00000000-0005-0000-0000-0000350A0000}"/>
    <cellStyle name="쉼표 [0] 6 2 2 2 2" xfId="2568" xr:uid="{00000000-0005-0000-0000-0000360A0000}"/>
    <cellStyle name="쉼표 [0] 6 2 2 3" xfId="2569" xr:uid="{00000000-0005-0000-0000-0000370A0000}"/>
    <cellStyle name="쉼표 [0] 6 2 3" xfId="2570" xr:uid="{00000000-0005-0000-0000-0000380A0000}"/>
    <cellStyle name="쉼표 [0] 6 2 4" xfId="2571" xr:uid="{00000000-0005-0000-0000-0000390A0000}"/>
    <cellStyle name="쉼표 [0] 6 2 5" xfId="2572" xr:uid="{00000000-0005-0000-0000-00003A0A0000}"/>
    <cellStyle name="쉼표 [0] 6 2 6" xfId="2573" xr:uid="{00000000-0005-0000-0000-00003B0A0000}"/>
    <cellStyle name="쉼표 [0] 6 2 7" xfId="2574" xr:uid="{00000000-0005-0000-0000-00003C0A0000}"/>
    <cellStyle name="쉼표 [0] 6 3" xfId="2575" xr:uid="{00000000-0005-0000-0000-00003D0A0000}"/>
    <cellStyle name="쉼표 [0] 6 3 2" xfId="2576" xr:uid="{00000000-0005-0000-0000-00003E0A0000}"/>
    <cellStyle name="쉼표 [0] 6 3 2 2" xfId="2577" xr:uid="{00000000-0005-0000-0000-00003F0A0000}"/>
    <cellStyle name="쉼표 [0] 6 3 2 2 2" xfId="2578" xr:uid="{00000000-0005-0000-0000-0000400A0000}"/>
    <cellStyle name="쉼표 [0] 6 3 2 3" xfId="2579" xr:uid="{00000000-0005-0000-0000-0000410A0000}"/>
    <cellStyle name="쉼표 [0] 6 3 3" xfId="2580" xr:uid="{00000000-0005-0000-0000-0000420A0000}"/>
    <cellStyle name="쉼표 [0] 6 3 4" xfId="2581" xr:uid="{00000000-0005-0000-0000-0000430A0000}"/>
    <cellStyle name="쉼표 [0] 6 3 5" xfId="2582" xr:uid="{00000000-0005-0000-0000-0000440A0000}"/>
    <cellStyle name="쉼표 [0] 6 3 6" xfId="2583" xr:uid="{00000000-0005-0000-0000-0000450A0000}"/>
    <cellStyle name="쉼표 [0] 6 3 7" xfId="2584" xr:uid="{00000000-0005-0000-0000-0000460A0000}"/>
    <cellStyle name="쉼표 [0] 6 4" xfId="2585" xr:uid="{00000000-0005-0000-0000-0000470A0000}"/>
    <cellStyle name="쉼표 [0] 6 5" xfId="2586" xr:uid="{00000000-0005-0000-0000-0000480A0000}"/>
    <cellStyle name="쉼표 [0] 6 6" xfId="2587" xr:uid="{00000000-0005-0000-0000-0000490A0000}"/>
    <cellStyle name="쉼표 [0] 6 7" xfId="2588" xr:uid="{00000000-0005-0000-0000-00004A0A0000}"/>
    <cellStyle name="쉼표 [0] 6 8" xfId="2589" xr:uid="{00000000-0005-0000-0000-00004B0A0000}"/>
    <cellStyle name="쉼표 [0] 6 9" xfId="2590" xr:uid="{00000000-0005-0000-0000-00004C0A0000}"/>
    <cellStyle name="쉼표 [0] 7" xfId="2591" xr:uid="{00000000-0005-0000-0000-00004D0A0000}"/>
    <cellStyle name="쉼표 [0] 7 10" xfId="2592" xr:uid="{00000000-0005-0000-0000-00004E0A0000}"/>
    <cellStyle name="쉼표 [0] 7 11" xfId="2593" xr:uid="{00000000-0005-0000-0000-00004F0A0000}"/>
    <cellStyle name="쉼표 [0] 7 12" xfId="2594" xr:uid="{00000000-0005-0000-0000-0000500A0000}"/>
    <cellStyle name="쉼표 [0] 7 2" xfId="2595" xr:uid="{00000000-0005-0000-0000-0000510A0000}"/>
    <cellStyle name="쉼표 [0] 7 3" xfId="2596" xr:uid="{00000000-0005-0000-0000-0000520A0000}"/>
    <cellStyle name="쉼표 [0] 7 4" xfId="2597" xr:uid="{00000000-0005-0000-0000-0000530A0000}"/>
    <cellStyle name="쉼표 [0] 7 5" xfId="2598" xr:uid="{00000000-0005-0000-0000-0000540A0000}"/>
    <cellStyle name="쉼표 [0] 7 6" xfId="2599" xr:uid="{00000000-0005-0000-0000-0000550A0000}"/>
    <cellStyle name="쉼표 [0] 7 7" xfId="2600" xr:uid="{00000000-0005-0000-0000-0000560A0000}"/>
    <cellStyle name="쉼표 [0] 7 8" xfId="2601" xr:uid="{00000000-0005-0000-0000-0000570A0000}"/>
    <cellStyle name="쉼표 [0] 7 9" xfId="2602" xr:uid="{00000000-0005-0000-0000-0000580A0000}"/>
    <cellStyle name="쉼표 [0] 8" xfId="2603" xr:uid="{00000000-0005-0000-0000-0000590A0000}"/>
    <cellStyle name="쉼표 [0] 8 10" xfId="2604" xr:uid="{00000000-0005-0000-0000-00005A0A0000}"/>
    <cellStyle name="쉼표 [0] 8 11" xfId="2605" xr:uid="{00000000-0005-0000-0000-00005B0A0000}"/>
    <cellStyle name="쉼표 [0] 8 12" xfId="2606" xr:uid="{00000000-0005-0000-0000-00005C0A0000}"/>
    <cellStyle name="쉼표 [0] 8 2" xfId="2607" xr:uid="{00000000-0005-0000-0000-00005D0A0000}"/>
    <cellStyle name="쉼표 [0] 8 3" xfId="2608" xr:uid="{00000000-0005-0000-0000-00005E0A0000}"/>
    <cellStyle name="쉼표 [0] 8 4" xfId="2609" xr:uid="{00000000-0005-0000-0000-00005F0A0000}"/>
    <cellStyle name="쉼표 [0] 8 5" xfId="2610" xr:uid="{00000000-0005-0000-0000-0000600A0000}"/>
    <cellStyle name="쉼표 [0] 8 6" xfId="2611" xr:uid="{00000000-0005-0000-0000-0000610A0000}"/>
    <cellStyle name="쉼표 [0] 8 7" xfId="2612" xr:uid="{00000000-0005-0000-0000-0000620A0000}"/>
    <cellStyle name="쉼표 [0] 8 8" xfId="2613" xr:uid="{00000000-0005-0000-0000-0000630A0000}"/>
    <cellStyle name="쉼표 [0] 8 9" xfId="2614" xr:uid="{00000000-0005-0000-0000-0000640A0000}"/>
    <cellStyle name="쉼표 [0] 9" xfId="2615" xr:uid="{00000000-0005-0000-0000-0000650A0000}"/>
    <cellStyle name="쉼표 [0] 9 10" xfId="2616" xr:uid="{00000000-0005-0000-0000-0000660A0000}"/>
    <cellStyle name="쉼표 [0] 9 11" xfId="2617" xr:uid="{00000000-0005-0000-0000-0000670A0000}"/>
    <cellStyle name="쉼표 [0] 9 12" xfId="2618" xr:uid="{00000000-0005-0000-0000-0000680A0000}"/>
    <cellStyle name="쉼표 [0] 9 2" xfId="2619" xr:uid="{00000000-0005-0000-0000-0000690A0000}"/>
    <cellStyle name="쉼표 [0] 9 3" xfId="2620" xr:uid="{00000000-0005-0000-0000-00006A0A0000}"/>
    <cellStyle name="쉼표 [0] 9 4" xfId="2621" xr:uid="{00000000-0005-0000-0000-00006B0A0000}"/>
    <cellStyle name="쉼표 [0] 9 5" xfId="2622" xr:uid="{00000000-0005-0000-0000-00006C0A0000}"/>
    <cellStyle name="쉼표 [0] 9 6" xfId="2623" xr:uid="{00000000-0005-0000-0000-00006D0A0000}"/>
    <cellStyle name="쉼표 [0] 9 7" xfId="2624" xr:uid="{00000000-0005-0000-0000-00006E0A0000}"/>
    <cellStyle name="쉼표 [0] 9 8" xfId="2625" xr:uid="{00000000-0005-0000-0000-00006F0A0000}"/>
    <cellStyle name="쉼표 [0] 9 9" xfId="2626" xr:uid="{00000000-0005-0000-0000-0000700A0000}"/>
    <cellStyle name="스타일 1" xfId="2627" xr:uid="{00000000-0005-0000-0000-0000710A0000}"/>
    <cellStyle name="스타일 1 2" xfId="3147" xr:uid="{00000000-0005-0000-0000-0000720A0000}"/>
    <cellStyle name="스타일 10" xfId="3148" xr:uid="{00000000-0005-0000-0000-0000730A0000}"/>
    <cellStyle name="스타일 11" xfId="3149" xr:uid="{00000000-0005-0000-0000-0000740A0000}"/>
    <cellStyle name="스타일 12" xfId="3150" xr:uid="{00000000-0005-0000-0000-0000750A0000}"/>
    <cellStyle name="스타일 13" xfId="3151" xr:uid="{00000000-0005-0000-0000-0000760A0000}"/>
    <cellStyle name="스타일 14" xfId="3152" xr:uid="{00000000-0005-0000-0000-0000770A0000}"/>
    <cellStyle name="스타일 15" xfId="3153" xr:uid="{00000000-0005-0000-0000-0000780A0000}"/>
    <cellStyle name="스타일 16" xfId="3154" xr:uid="{00000000-0005-0000-0000-0000790A0000}"/>
    <cellStyle name="스타일 17" xfId="3155" xr:uid="{00000000-0005-0000-0000-00007A0A0000}"/>
    <cellStyle name="스타일 18" xfId="3156" xr:uid="{00000000-0005-0000-0000-00007B0A0000}"/>
    <cellStyle name="스타일 19" xfId="3157" xr:uid="{00000000-0005-0000-0000-00007C0A0000}"/>
    <cellStyle name="스타일 2" xfId="3158" xr:uid="{00000000-0005-0000-0000-00007D0A0000}"/>
    <cellStyle name="스타일 20" xfId="3159" xr:uid="{00000000-0005-0000-0000-00007E0A0000}"/>
    <cellStyle name="스타일 21" xfId="3160" xr:uid="{00000000-0005-0000-0000-00007F0A0000}"/>
    <cellStyle name="스타일 3" xfId="3161" xr:uid="{00000000-0005-0000-0000-0000800A0000}"/>
    <cellStyle name="스타일 4" xfId="3162" xr:uid="{00000000-0005-0000-0000-0000810A0000}"/>
    <cellStyle name="스타일 5" xfId="3163" xr:uid="{00000000-0005-0000-0000-0000820A0000}"/>
    <cellStyle name="스타일 6" xfId="3164" xr:uid="{00000000-0005-0000-0000-0000830A0000}"/>
    <cellStyle name="스타일 7" xfId="3165" xr:uid="{00000000-0005-0000-0000-0000840A0000}"/>
    <cellStyle name="스타일 8" xfId="3166" xr:uid="{00000000-0005-0000-0000-0000850A0000}"/>
    <cellStyle name="스타일 9" xfId="3167" xr:uid="{00000000-0005-0000-0000-0000860A0000}"/>
    <cellStyle name="연결된 셀 2" xfId="2628" xr:uid="{00000000-0005-0000-0000-0000870A0000}"/>
    <cellStyle name="요약 2" xfId="2629" xr:uid="{00000000-0005-0000-0000-0000880A0000}"/>
    <cellStyle name="입력 2" xfId="2630" xr:uid="{00000000-0005-0000-0000-0000890A0000}"/>
    <cellStyle name="제목 1 2" xfId="2631" xr:uid="{00000000-0005-0000-0000-00008A0A0000}"/>
    <cellStyle name="제목 2 2" xfId="2632" xr:uid="{00000000-0005-0000-0000-00008B0A0000}"/>
    <cellStyle name="제목 3 2" xfId="2633" xr:uid="{00000000-0005-0000-0000-00008C0A0000}"/>
    <cellStyle name="제목 4 2" xfId="2634" xr:uid="{00000000-0005-0000-0000-00008D0A0000}"/>
    <cellStyle name="제목 5" xfId="2635" xr:uid="{00000000-0005-0000-0000-00008E0A0000}"/>
    <cellStyle name="좋음 2" xfId="2636" xr:uid="{00000000-0005-0000-0000-00008F0A0000}"/>
    <cellStyle name="출력 2" xfId="2637" xr:uid="{00000000-0005-0000-0000-0000900A0000}"/>
    <cellStyle name="콤마 [0]_1" xfId="2638" xr:uid="{00000000-0005-0000-0000-0000910A0000}"/>
    <cellStyle name="콤마_1" xfId="2639" xr:uid="{00000000-0005-0000-0000-0000920A0000}"/>
    <cellStyle name="통화 [0]" xfId="7" builtinId="7"/>
    <cellStyle name="통화 [0] 10" xfId="2641" xr:uid="{00000000-0005-0000-0000-0000940A0000}"/>
    <cellStyle name="통화 [0] 11" xfId="2642" xr:uid="{00000000-0005-0000-0000-0000950A0000}"/>
    <cellStyle name="통화 [0] 12" xfId="3118" xr:uid="{00000000-0005-0000-0000-0000960A0000}"/>
    <cellStyle name="통화 [0] 12 2" xfId="2643" xr:uid="{00000000-0005-0000-0000-0000970A0000}"/>
    <cellStyle name="통화 [0] 13" xfId="3126" xr:uid="{00000000-0005-0000-0000-0000980A0000}"/>
    <cellStyle name="통화 [0] 14" xfId="3176" xr:uid="{00000000-0005-0000-0000-0000990A0000}"/>
    <cellStyle name="통화 [0] 15" xfId="3185" xr:uid="{00000000-0005-0000-0000-00009A0A0000}"/>
    <cellStyle name="통화 [0] 16" xfId="3198" xr:uid="{00000000-0005-0000-0000-00009B0A0000}"/>
    <cellStyle name="통화 [0] 17" xfId="3217" xr:uid="{00000000-0005-0000-0000-00009C0A0000}"/>
    <cellStyle name="통화 [0] 17 2" xfId="3277" xr:uid="{00000000-0005-0000-0000-00009D0A0000}"/>
    <cellStyle name="통화 [0] 17 2 2" xfId="3389" xr:uid="{00000000-0005-0000-0000-00009E0A0000}"/>
    <cellStyle name="통화 [0] 17 2 2 2" xfId="3718" xr:uid="{00000000-0005-0000-0000-00009F0A0000}"/>
    <cellStyle name="통화 [0] 17 2 3" xfId="3498" xr:uid="{00000000-0005-0000-0000-0000A00A0000}"/>
    <cellStyle name="통화 [0] 17 2 3 2" xfId="3827" xr:uid="{00000000-0005-0000-0000-0000A10A0000}"/>
    <cellStyle name="통화 [0] 17 2 4" xfId="3610" xr:uid="{00000000-0005-0000-0000-0000A20A0000}"/>
    <cellStyle name="통화 [0] 17 3" xfId="3335" xr:uid="{00000000-0005-0000-0000-0000A30A0000}"/>
    <cellStyle name="통화 [0] 17 3 2" xfId="3664" xr:uid="{00000000-0005-0000-0000-0000A40A0000}"/>
    <cellStyle name="통화 [0] 17 4" xfId="3444" xr:uid="{00000000-0005-0000-0000-0000A50A0000}"/>
    <cellStyle name="통화 [0] 17 4 2" xfId="3773" xr:uid="{00000000-0005-0000-0000-0000A60A0000}"/>
    <cellStyle name="통화 [0] 17 5" xfId="3556" xr:uid="{00000000-0005-0000-0000-0000A70A0000}"/>
    <cellStyle name="통화 [0] 18" xfId="3241" xr:uid="{00000000-0005-0000-0000-0000A80A0000}"/>
    <cellStyle name="통화 [0] 19" xfId="3299" xr:uid="{00000000-0005-0000-0000-0000A90A0000}"/>
    <cellStyle name="통화 [0] 2" xfId="2644" xr:uid="{00000000-0005-0000-0000-0000AA0A0000}"/>
    <cellStyle name="통화 [0] 2 10" xfId="2645" xr:uid="{00000000-0005-0000-0000-0000AB0A0000}"/>
    <cellStyle name="통화 [0] 2 10 2" xfId="2646" xr:uid="{00000000-0005-0000-0000-0000AC0A0000}"/>
    <cellStyle name="통화 [0] 2 10 3" xfId="2647" xr:uid="{00000000-0005-0000-0000-0000AD0A0000}"/>
    <cellStyle name="통화 [0] 2 11" xfId="2648" xr:uid="{00000000-0005-0000-0000-0000AE0A0000}"/>
    <cellStyle name="통화 [0] 2 11 2" xfId="2649" xr:uid="{00000000-0005-0000-0000-0000AF0A0000}"/>
    <cellStyle name="통화 [0] 2 11 3" xfId="2650" xr:uid="{00000000-0005-0000-0000-0000B00A0000}"/>
    <cellStyle name="통화 [0] 2 12" xfId="2651" xr:uid="{00000000-0005-0000-0000-0000B10A0000}"/>
    <cellStyle name="통화 [0] 2 12 2" xfId="2652" xr:uid="{00000000-0005-0000-0000-0000B20A0000}"/>
    <cellStyle name="통화 [0] 2 12 3" xfId="2653" xr:uid="{00000000-0005-0000-0000-0000B30A0000}"/>
    <cellStyle name="통화 [0] 2 13" xfId="2654" xr:uid="{00000000-0005-0000-0000-0000B40A0000}"/>
    <cellStyle name="통화 [0] 2 13 2" xfId="2655" xr:uid="{00000000-0005-0000-0000-0000B50A0000}"/>
    <cellStyle name="통화 [0] 2 13 3" xfId="2656" xr:uid="{00000000-0005-0000-0000-0000B60A0000}"/>
    <cellStyle name="통화 [0] 2 14" xfId="2657" xr:uid="{00000000-0005-0000-0000-0000B70A0000}"/>
    <cellStyle name="통화 [0] 2 14 2" xfId="2658" xr:uid="{00000000-0005-0000-0000-0000B80A0000}"/>
    <cellStyle name="통화 [0] 2 14 3" xfId="2659" xr:uid="{00000000-0005-0000-0000-0000B90A0000}"/>
    <cellStyle name="통화 [0] 2 15" xfId="2660" xr:uid="{00000000-0005-0000-0000-0000BA0A0000}"/>
    <cellStyle name="통화 [0] 2 15 2" xfId="2661" xr:uid="{00000000-0005-0000-0000-0000BB0A0000}"/>
    <cellStyle name="통화 [0] 2 15 3" xfId="2662" xr:uid="{00000000-0005-0000-0000-0000BC0A0000}"/>
    <cellStyle name="통화 [0] 2 16" xfId="2663" xr:uid="{00000000-0005-0000-0000-0000BD0A0000}"/>
    <cellStyle name="통화 [0] 2 17" xfId="2664" xr:uid="{00000000-0005-0000-0000-0000BE0A0000}"/>
    <cellStyle name="통화 [0] 2 18" xfId="2665" xr:uid="{00000000-0005-0000-0000-0000BF0A0000}"/>
    <cellStyle name="통화 [0] 2 19" xfId="2666" xr:uid="{00000000-0005-0000-0000-0000C00A0000}"/>
    <cellStyle name="통화 [0] 2 2" xfId="2667" xr:uid="{00000000-0005-0000-0000-0000C10A0000}"/>
    <cellStyle name="통화 [0] 2 2 10" xfId="2668" xr:uid="{00000000-0005-0000-0000-0000C20A0000}"/>
    <cellStyle name="통화 [0] 2 2 2" xfId="2669" xr:uid="{00000000-0005-0000-0000-0000C30A0000}"/>
    <cellStyle name="통화 [0] 2 2 2 2" xfId="2670" xr:uid="{00000000-0005-0000-0000-0000C40A0000}"/>
    <cellStyle name="통화 [0] 2 2 2 2 2" xfId="2671" xr:uid="{00000000-0005-0000-0000-0000C50A0000}"/>
    <cellStyle name="통화 [0] 2 2 2 2 2 2" xfId="2672" xr:uid="{00000000-0005-0000-0000-0000C60A0000}"/>
    <cellStyle name="통화 [0] 2 2 2 2 2 2 2" xfId="2673" xr:uid="{00000000-0005-0000-0000-0000C70A0000}"/>
    <cellStyle name="통화 [0] 2 2 2 2 2 2 2 2" xfId="2674" xr:uid="{00000000-0005-0000-0000-0000C80A0000}"/>
    <cellStyle name="통화 [0] 2 2 2 2 2 2 2 2 2" xfId="2675" xr:uid="{00000000-0005-0000-0000-0000C90A0000}"/>
    <cellStyle name="통화 [0] 2 2 2 2 2 2 2 2 2 2" xfId="2676" xr:uid="{00000000-0005-0000-0000-0000CA0A0000}"/>
    <cellStyle name="통화 [0] 2 2 2 2 2 2 2 2 2 2 2" xfId="2677" xr:uid="{00000000-0005-0000-0000-0000CB0A0000}"/>
    <cellStyle name="통화 [0] 2 2 2 2 2 2 2 2 2 2 2 2" xfId="2678" xr:uid="{00000000-0005-0000-0000-0000CC0A0000}"/>
    <cellStyle name="통화 [0] 2 2 2 2 2 2 2 2 2 2 2 2 2" xfId="2679" xr:uid="{00000000-0005-0000-0000-0000CD0A0000}"/>
    <cellStyle name="통화 [0] 2 2 2 2 2 2 2 2 2 2 3" xfId="2680" xr:uid="{00000000-0005-0000-0000-0000CE0A0000}"/>
    <cellStyle name="통화 [0] 2 2 2 2 2 2 2 2 2 3" xfId="2681" xr:uid="{00000000-0005-0000-0000-0000CF0A0000}"/>
    <cellStyle name="통화 [0] 2 2 2 2 2 2 2 2 3" xfId="2682" xr:uid="{00000000-0005-0000-0000-0000D00A0000}"/>
    <cellStyle name="통화 [0] 2 2 2 2 2 2 2 2 4" xfId="2683" xr:uid="{00000000-0005-0000-0000-0000D10A0000}"/>
    <cellStyle name="통화 [0] 2 2 2 2 2 2 2 3" xfId="2684" xr:uid="{00000000-0005-0000-0000-0000D20A0000}"/>
    <cellStyle name="통화 [0] 2 2 2 2 2 2 2 3 2" xfId="2685" xr:uid="{00000000-0005-0000-0000-0000D30A0000}"/>
    <cellStyle name="통화 [0] 2 2 2 2 2 2 2 4" xfId="2686" xr:uid="{00000000-0005-0000-0000-0000D40A0000}"/>
    <cellStyle name="통화 [0] 2 2 2 2 2 2 3" xfId="2687" xr:uid="{00000000-0005-0000-0000-0000D50A0000}"/>
    <cellStyle name="통화 [0] 2 2 2 2 2 2 4" xfId="2688" xr:uid="{00000000-0005-0000-0000-0000D60A0000}"/>
    <cellStyle name="통화 [0] 2 2 2 2 2 2 5" xfId="2689" xr:uid="{00000000-0005-0000-0000-0000D70A0000}"/>
    <cellStyle name="통화 [0] 2 2 2 2 2 3" xfId="2690" xr:uid="{00000000-0005-0000-0000-0000D80A0000}"/>
    <cellStyle name="통화 [0] 2 2 2 2 2 3 2" xfId="2691" xr:uid="{00000000-0005-0000-0000-0000D90A0000}"/>
    <cellStyle name="통화 [0] 2 2 2 2 2 4" xfId="2692" xr:uid="{00000000-0005-0000-0000-0000DA0A0000}"/>
    <cellStyle name="통화 [0] 2 2 2 2 2 4 2" xfId="2693" xr:uid="{00000000-0005-0000-0000-0000DB0A0000}"/>
    <cellStyle name="통화 [0] 2 2 2 2 2 5" xfId="2694" xr:uid="{00000000-0005-0000-0000-0000DC0A0000}"/>
    <cellStyle name="통화 [0] 2 2 2 2 3" xfId="2695" xr:uid="{00000000-0005-0000-0000-0000DD0A0000}"/>
    <cellStyle name="통화 [0] 2 2 2 2 4" xfId="2696" xr:uid="{00000000-0005-0000-0000-0000DE0A0000}"/>
    <cellStyle name="통화 [0] 2 2 2 2 5" xfId="2697" xr:uid="{00000000-0005-0000-0000-0000DF0A0000}"/>
    <cellStyle name="통화 [0] 2 2 2 2 6" xfId="2698" xr:uid="{00000000-0005-0000-0000-0000E00A0000}"/>
    <cellStyle name="통화 [0] 2 2 2 3" xfId="2699" xr:uid="{00000000-0005-0000-0000-0000E10A0000}"/>
    <cellStyle name="통화 [0] 2 2 2 4" xfId="2700" xr:uid="{00000000-0005-0000-0000-0000E20A0000}"/>
    <cellStyle name="통화 [0] 2 2 2 5" xfId="2701" xr:uid="{00000000-0005-0000-0000-0000E30A0000}"/>
    <cellStyle name="통화 [0] 2 2 2 6" xfId="2702" xr:uid="{00000000-0005-0000-0000-0000E40A0000}"/>
    <cellStyle name="통화 [0] 2 2 3" xfId="2703" xr:uid="{00000000-0005-0000-0000-0000E50A0000}"/>
    <cellStyle name="통화 [0] 2 2 4" xfId="2704" xr:uid="{00000000-0005-0000-0000-0000E60A0000}"/>
    <cellStyle name="통화 [0] 2 2 5" xfId="2705" xr:uid="{00000000-0005-0000-0000-0000E70A0000}"/>
    <cellStyle name="통화 [0] 2 2 5 2" xfId="2706" xr:uid="{00000000-0005-0000-0000-0000E80A0000}"/>
    <cellStyle name="통화 [0] 2 2 5 3" xfId="2707" xr:uid="{00000000-0005-0000-0000-0000E90A0000}"/>
    <cellStyle name="통화 [0] 2 2 5 3 2" xfId="2708" xr:uid="{00000000-0005-0000-0000-0000EA0A0000}"/>
    <cellStyle name="통화 [0] 2 2 5 4" xfId="2709" xr:uid="{00000000-0005-0000-0000-0000EB0A0000}"/>
    <cellStyle name="통화 [0] 2 2 6" xfId="2710" xr:uid="{00000000-0005-0000-0000-0000EC0A0000}"/>
    <cellStyle name="통화 [0] 2 2 6 2" xfId="2711" xr:uid="{00000000-0005-0000-0000-0000ED0A0000}"/>
    <cellStyle name="통화 [0] 2 2 6 2 2" xfId="2712" xr:uid="{00000000-0005-0000-0000-0000EE0A0000}"/>
    <cellStyle name="통화 [0] 2 2 7" xfId="2713" xr:uid="{00000000-0005-0000-0000-0000EF0A0000}"/>
    <cellStyle name="통화 [0] 2 2 8" xfId="2714" xr:uid="{00000000-0005-0000-0000-0000F00A0000}"/>
    <cellStyle name="통화 [0] 2 2 9" xfId="2715" xr:uid="{00000000-0005-0000-0000-0000F10A0000}"/>
    <cellStyle name="통화 [0] 2 20" xfId="2716" xr:uid="{00000000-0005-0000-0000-0000F20A0000}"/>
    <cellStyle name="통화 [0] 2 21" xfId="2717" xr:uid="{00000000-0005-0000-0000-0000F30A0000}"/>
    <cellStyle name="통화 [0] 2 22" xfId="2718" xr:uid="{00000000-0005-0000-0000-0000F40A0000}"/>
    <cellStyle name="통화 [0] 2 23" xfId="2719" xr:uid="{00000000-0005-0000-0000-0000F50A0000}"/>
    <cellStyle name="통화 [0] 2 24" xfId="2720" xr:uid="{00000000-0005-0000-0000-0000F60A0000}"/>
    <cellStyle name="통화 [0] 2 25" xfId="2721" xr:uid="{00000000-0005-0000-0000-0000F70A0000}"/>
    <cellStyle name="통화 [0] 2 26" xfId="2722" xr:uid="{00000000-0005-0000-0000-0000F80A0000}"/>
    <cellStyle name="통화 [0] 2 27" xfId="2723" xr:uid="{00000000-0005-0000-0000-0000F90A0000}"/>
    <cellStyle name="통화 [0] 2 28" xfId="2724" xr:uid="{00000000-0005-0000-0000-0000FA0A0000}"/>
    <cellStyle name="통화 [0] 2 28 2" xfId="2725" xr:uid="{00000000-0005-0000-0000-0000FB0A0000}"/>
    <cellStyle name="통화 [0] 2 3" xfId="2726" xr:uid="{00000000-0005-0000-0000-0000FC0A0000}"/>
    <cellStyle name="통화 [0] 2 3 2" xfId="2727" xr:uid="{00000000-0005-0000-0000-0000FD0A0000}"/>
    <cellStyle name="통화 [0] 2 3 2 2" xfId="2728" xr:uid="{00000000-0005-0000-0000-0000FE0A0000}"/>
    <cellStyle name="통화 [0] 2 3 2 2 2" xfId="2729" xr:uid="{00000000-0005-0000-0000-0000FF0A0000}"/>
    <cellStyle name="통화 [0] 2 3 2 3" xfId="2730" xr:uid="{00000000-0005-0000-0000-0000000B0000}"/>
    <cellStyle name="통화 [0] 2 3 3" xfId="2731" xr:uid="{00000000-0005-0000-0000-0000010B0000}"/>
    <cellStyle name="통화 [0] 2 3 4" xfId="2732" xr:uid="{00000000-0005-0000-0000-0000020B0000}"/>
    <cellStyle name="통화 [0] 2 3 5" xfId="2733" xr:uid="{00000000-0005-0000-0000-0000030B0000}"/>
    <cellStyle name="통화 [0] 2 3 6" xfId="2734" xr:uid="{00000000-0005-0000-0000-0000040B0000}"/>
    <cellStyle name="통화 [0] 2 3 7" xfId="2735" xr:uid="{00000000-0005-0000-0000-0000050B0000}"/>
    <cellStyle name="통화 [0] 2 4" xfId="2736" xr:uid="{00000000-0005-0000-0000-0000060B0000}"/>
    <cellStyle name="통화 [0] 2 4 2" xfId="2737" xr:uid="{00000000-0005-0000-0000-0000070B0000}"/>
    <cellStyle name="통화 [0] 2 4 2 2" xfId="2738" xr:uid="{00000000-0005-0000-0000-0000080B0000}"/>
    <cellStyle name="통화 [0] 2 4 2 2 2" xfId="2739" xr:uid="{00000000-0005-0000-0000-0000090B0000}"/>
    <cellStyle name="통화 [0] 2 4 2 3" xfId="2740" xr:uid="{00000000-0005-0000-0000-00000A0B0000}"/>
    <cellStyle name="통화 [0] 2 4 3" xfId="2741" xr:uid="{00000000-0005-0000-0000-00000B0B0000}"/>
    <cellStyle name="통화 [0] 2 4 4" xfId="2742" xr:uid="{00000000-0005-0000-0000-00000C0B0000}"/>
    <cellStyle name="통화 [0] 2 4 5" xfId="2743" xr:uid="{00000000-0005-0000-0000-00000D0B0000}"/>
    <cellStyle name="통화 [0] 2 4 6" xfId="2744" xr:uid="{00000000-0005-0000-0000-00000E0B0000}"/>
    <cellStyle name="통화 [0] 2 4 7" xfId="2745" xr:uid="{00000000-0005-0000-0000-00000F0B0000}"/>
    <cellStyle name="통화 [0] 2 5" xfId="2746" xr:uid="{00000000-0005-0000-0000-0000100B0000}"/>
    <cellStyle name="통화 [0] 2 6" xfId="2747" xr:uid="{00000000-0005-0000-0000-0000110B0000}"/>
    <cellStyle name="통화 [0] 2 6 2" xfId="2748" xr:uid="{00000000-0005-0000-0000-0000120B0000}"/>
    <cellStyle name="통화 [0] 2 6 2 2" xfId="2749" xr:uid="{00000000-0005-0000-0000-0000130B0000}"/>
    <cellStyle name="통화 [0] 2 6 2 2 2" xfId="2750" xr:uid="{00000000-0005-0000-0000-0000140B0000}"/>
    <cellStyle name="통화 [0] 2 6 2 3" xfId="2751" xr:uid="{00000000-0005-0000-0000-0000150B0000}"/>
    <cellStyle name="통화 [0] 2 6 3" xfId="2752" xr:uid="{00000000-0005-0000-0000-0000160B0000}"/>
    <cellStyle name="통화 [0] 2 6 4" xfId="2753" xr:uid="{00000000-0005-0000-0000-0000170B0000}"/>
    <cellStyle name="통화 [0] 2 6 5" xfId="2754" xr:uid="{00000000-0005-0000-0000-0000180B0000}"/>
    <cellStyle name="통화 [0] 2 6 6" xfId="2755" xr:uid="{00000000-0005-0000-0000-0000190B0000}"/>
    <cellStyle name="통화 [0] 2 6 7" xfId="2756" xr:uid="{00000000-0005-0000-0000-00001A0B0000}"/>
    <cellStyle name="통화 [0] 2 7" xfId="2757" xr:uid="{00000000-0005-0000-0000-00001B0B0000}"/>
    <cellStyle name="통화 [0] 2 7 2" xfId="2758" xr:uid="{00000000-0005-0000-0000-00001C0B0000}"/>
    <cellStyle name="통화 [0] 2 7 3" xfId="2759" xr:uid="{00000000-0005-0000-0000-00001D0B0000}"/>
    <cellStyle name="통화 [0] 2 8" xfId="2760" xr:uid="{00000000-0005-0000-0000-00001E0B0000}"/>
    <cellStyle name="통화 [0] 2 8 2" xfId="2761" xr:uid="{00000000-0005-0000-0000-00001F0B0000}"/>
    <cellStyle name="통화 [0] 2 8 3" xfId="2762" xr:uid="{00000000-0005-0000-0000-0000200B0000}"/>
    <cellStyle name="통화 [0] 2 9" xfId="2763" xr:uid="{00000000-0005-0000-0000-0000210B0000}"/>
    <cellStyle name="통화 [0] 2 9 2" xfId="2764" xr:uid="{00000000-0005-0000-0000-0000220B0000}"/>
    <cellStyle name="통화 [0] 2 9 3" xfId="2765" xr:uid="{00000000-0005-0000-0000-0000230B0000}"/>
    <cellStyle name="통화 [0] 20" xfId="3520" xr:uid="{00000000-0005-0000-0000-0000240B0000}"/>
    <cellStyle name="통화 [0] 21" xfId="2640" xr:uid="{00000000-0005-0000-0000-0000250B0000}"/>
    <cellStyle name="통화 [0] 3" xfId="2766" xr:uid="{00000000-0005-0000-0000-0000260B0000}"/>
    <cellStyle name="통화 [0] 3 10" xfId="2767" xr:uid="{00000000-0005-0000-0000-0000270B0000}"/>
    <cellStyle name="통화 [0] 3 11" xfId="2768" xr:uid="{00000000-0005-0000-0000-0000280B0000}"/>
    <cellStyle name="통화 [0] 3 12" xfId="2769" xr:uid="{00000000-0005-0000-0000-0000290B0000}"/>
    <cellStyle name="통화 [0] 3 2" xfId="2770" xr:uid="{00000000-0005-0000-0000-00002A0B0000}"/>
    <cellStyle name="통화 [0] 3 3" xfId="2771" xr:uid="{00000000-0005-0000-0000-00002B0B0000}"/>
    <cellStyle name="통화 [0] 3 4" xfId="2772" xr:uid="{00000000-0005-0000-0000-00002C0B0000}"/>
    <cellStyle name="통화 [0] 3 5" xfId="2773" xr:uid="{00000000-0005-0000-0000-00002D0B0000}"/>
    <cellStyle name="통화 [0] 3 6" xfId="2774" xr:uid="{00000000-0005-0000-0000-00002E0B0000}"/>
    <cellStyle name="통화 [0] 3 7" xfId="2775" xr:uid="{00000000-0005-0000-0000-00002F0B0000}"/>
    <cellStyle name="통화 [0] 3 8" xfId="2776" xr:uid="{00000000-0005-0000-0000-0000300B0000}"/>
    <cellStyle name="통화 [0] 3 9" xfId="2777" xr:uid="{00000000-0005-0000-0000-0000310B0000}"/>
    <cellStyle name="통화 [0] 33" xfId="2778" xr:uid="{00000000-0005-0000-0000-0000320B0000}"/>
    <cellStyle name="통화 [0] 33 2" xfId="2779" xr:uid="{00000000-0005-0000-0000-0000330B0000}"/>
    <cellStyle name="통화 [0] 4" xfId="2780" xr:uid="{00000000-0005-0000-0000-0000340B0000}"/>
    <cellStyle name="통화 [0] 4 10" xfId="2781" xr:uid="{00000000-0005-0000-0000-0000350B0000}"/>
    <cellStyle name="통화 [0] 4 11" xfId="2782" xr:uid="{00000000-0005-0000-0000-0000360B0000}"/>
    <cellStyle name="통화 [0] 4 12" xfId="2783" xr:uid="{00000000-0005-0000-0000-0000370B0000}"/>
    <cellStyle name="통화 [0] 4 2" xfId="2784" xr:uid="{00000000-0005-0000-0000-0000380B0000}"/>
    <cellStyle name="통화 [0] 4 3" xfId="2785" xr:uid="{00000000-0005-0000-0000-0000390B0000}"/>
    <cellStyle name="통화 [0] 4 4" xfId="2786" xr:uid="{00000000-0005-0000-0000-00003A0B0000}"/>
    <cellStyle name="통화 [0] 4 5" xfId="2787" xr:uid="{00000000-0005-0000-0000-00003B0B0000}"/>
    <cellStyle name="통화 [0] 4 6" xfId="2788" xr:uid="{00000000-0005-0000-0000-00003C0B0000}"/>
    <cellStyle name="통화 [0] 4 7" xfId="2789" xr:uid="{00000000-0005-0000-0000-00003D0B0000}"/>
    <cellStyle name="통화 [0] 4 8" xfId="2790" xr:uid="{00000000-0005-0000-0000-00003E0B0000}"/>
    <cellStyle name="통화 [0] 4 9" xfId="2791" xr:uid="{00000000-0005-0000-0000-00003F0B0000}"/>
    <cellStyle name="통화 [0] 5" xfId="2792" xr:uid="{00000000-0005-0000-0000-0000400B0000}"/>
    <cellStyle name="통화 [0] 5 10" xfId="2793" xr:uid="{00000000-0005-0000-0000-0000410B0000}"/>
    <cellStyle name="통화 [0] 5 11" xfId="2794" xr:uid="{00000000-0005-0000-0000-0000420B0000}"/>
    <cellStyle name="통화 [0] 5 12" xfId="2795" xr:uid="{00000000-0005-0000-0000-0000430B0000}"/>
    <cellStyle name="통화 [0] 5 2" xfId="2796" xr:uid="{00000000-0005-0000-0000-0000440B0000}"/>
    <cellStyle name="통화 [0] 5 3" xfId="2797" xr:uid="{00000000-0005-0000-0000-0000450B0000}"/>
    <cellStyle name="통화 [0] 5 4" xfId="2798" xr:uid="{00000000-0005-0000-0000-0000460B0000}"/>
    <cellStyle name="통화 [0] 5 5" xfId="2799" xr:uid="{00000000-0005-0000-0000-0000470B0000}"/>
    <cellStyle name="통화 [0] 5 6" xfId="2800" xr:uid="{00000000-0005-0000-0000-0000480B0000}"/>
    <cellStyle name="통화 [0] 5 7" xfId="2801" xr:uid="{00000000-0005-0000-0000-0000490B0000}"/>
    <cellStyle name="통화 [0] 5 8" xfId="2802" xr:uid="{00000000-0005-0000-0000-00004A0B0000}"/>
    <cellStyle name="통화 [0] 5 9" xfId="2803" xr:uid="{00000000-0005-0000-0000-00004B0B0000}"/>
    <cellStyle name="통화 [0] 6" xfId="2804" xr:uid="{00000000-0005-0000-0000-00004C0B0000}"/>
    <cellStyle name="통화 [0] 6 10" xfId="2805" xr:uid="{00000000-0005-0000-0000-00004D0B0000}"/>
    <cellStyle name="통화 [0] 6 11" xfId="2806" xr:uid="{00000000-0005-0000-0000-00004E0B0000}"/>
    <cellStyle name="통화 [0] 6 12" xfId="2807" xr:uid="{00000000-0005-0000-0000-00004F0B0000}"/>
    <cellStyle name="통화 [0] 6 2" xfId="2808" xr:uid="{00000000-0005-0000-0000-0000500B0000}"/>
    <cellStyle name="통화 [0] 6 3" xfId="2809" xr:uid="{00000000-0005-0000-0000-0000510B0000}"/>
    <cellStyle name="통화 [0] 6 4" xfId="2810" xr:uid="{00000000-0005-0000-0000-0000520B0000}"/>
    <cellStyle name="통화 [0] 6 5" xfId="2811" xr:uid="{00000000-0005-0000-0000-0000530B0000}"/>
    <cellStyle name="통화 [0] 6 6" xfId="2812" xr:uid="{00000000-0005-0000-0000-0000540B0000}"/>
    <cellStyle name="통화 [0] 6 7" xfId="2813" xr:uid="{00000000-0005-0000-0000-0000550B0000}"/>
    <cellStyle name="통화 [0] 6 8" xfId="2814" xr:uid="{00000000-0005-0000-0000-0000560B0000}"/>
    <cellStyle name="통화 [0] 6 9" xfId="2815" xr:uid="{00000000-0005-0000-0000-0000570B0000}"/>
    <cellStyle name="통화 [0] 7" xfId="2816" xr:uid="{00000000-0005-0000-0000-0000580B0000}"/>
    <cellStyle name="통화 [0] 7 10" xfId="2817" xr:uid="{00000000-0005-0000-0000-0000590B0000}"/>
    <cellStyle name="통화 [0] 7 11" xfId="2818" xr:uid="{00000000-0005-0000-0000-00005A0B0000}"/>
    <cellStyle name="통화 [0] 7 12" xfId="2819" xr:uid="{00000000-0005-0000-0000-00005B0B0000}"/>
    <cellStyle name="통화 [0] 7 2" xfId="2820" xr:uid="{00000000-0005-0000-0000-00005C0B0000}"/>
    <cellStyle name="통화 [0] 7 3" xfId="2821" xr:uid="{00000000-0005-0000-0000-00005D0B0000}"/>
    <cellStyle name="통화 [0] 7 4" xfId="2822" xr:uid="{00000000-0005-0000-0000-00005E0B0000}"/>
    <cellStyle name="통화 [0] 7 5" xfId="2823" xr:uid="{00000000-0005-0000-0000-00005F0B0000}"/>
    <cellStyle name="통화 [0] 7 6" xfId="2824" xr:uid="{00000000-0005-0000-0000-0000600B0000}"/>
    <cellStyle name="통화 [0] 7 7" xfId="2825" xr:uid="{00000000-0005-0000-0000-0000610B0000}"/>
    <cellStyle name="통화 [0] 7 8" xfId="2826" xr:uid="{00000000-0005-0000-0000-0000620B0000}"/>
    <cellStyle name="통화 [0] 7 9" xfId="2827" xr:uid="{00000000-0005-0000-0000-0000630B0000}"/>
    <cellStyle name="통화 [0] 8" xfId="2828" xr:uid="{00000000-0005-0000-0000-0000640B0000}"/>
    <cellStyle name="통화 [0] 8 10" xfId="2829" xr:uid="{00000000-0005-0000-0000-0000650B0000}"/>
    <cellStyle name="통화 [0] 8 11" xfId="2830" xr:uid="{00000000-0005-0000-0000-0000660B0000}"/>
    <cellStyle name="통화 [0] 8 12" xfId="2831" xr:uid="{00000000-0005-0000-0000-0000670B0000}"/>
    <cellStyle name="통화 [0] 8 2" xfId="2832" xr:uid="{00000000-0005-0000-0000-0000680B0000}"/>
    <cellStyle name="통화 [0] 8 3" xfId="2833" xr:uid="{00000000-0005-0000-0000-0000690B0000}"/>
    <cellStyle name="통화 [0] 8 4" xfId="2834" xr:uid="{00000000-0005-0000-0000-00006A0B0000}"/>
    <cellStyle name="통화 [0] 8 5" xfId="2835" xr:uid="{00000000-0005-0000-0000-00006B0B0000}"/>
    <cellStyle name="통화 [0] 8 6" xfId="2836" xr:uid="{00000000-0005-0000-0000-00006C0B0000}"/>
    <cellStyle name="통화 [0] 8 7" xfId="2837" xr:uid="{00000000-0005-0000-0000-00006D0B0000}"/>
    <cellStyle name="통화 [0] 8 8" xfId="2838" xr:uid="{00000000-0005-0000-0000-00006E0B0000}"/>
    <cellStyle name="통화 [0] 8 9" xfId="2839" xr:uid="{00000000-0005-0000-0000-00006F0B0000}"/>
    <cellStyle name="통화 [0] 9" xfId="2840" xr:uid="{00000000-0005-0000-0000-0000700B0000}"/>
    <cellStyle name="표준" xfId="0" builtinId="0"/>
    <cellStyle name="표준 10" xfId="2841" xr:uid="{00000000-0005-0000-0000-0000720B0000}"/>
    <cellStyle name="표준 10 2" xfId="2842" xr:uid="{00000000-0005-0000-0000-0000730B0000}"/>
    <cellStyle name="표준 10 3" xfId="2843" xr:uid="{00000000-0005-0000-0000-0000740B0000}"/>
    <cellStyle name="표준 10 4" xfId="2844" xr:uid="{00000000-0005-0000-0000-0000750B0000}"/>
    <cellStyle name="표준 10 5" xfId="2845" xr:uid="{00000000-0005-0000-0000-0000760B0000}"/>
    <cellStyle name="표준 11" xfId="2846" xr:uid="{00000000-0005-0000-0000-0000770B0000}"/>
    <cellStyle name="표준 11 2" xfId="2847" xr:uid="{00000000-0005-0000-0000-0000780B0000}"/>
    <cellStyle name="표준 11 3" xfId="2848" xr:uid="{00000000-0005-0000-0000-0000790B0000}"/>
    <cellStyle name="표준 11 4" xfId="2849" xr:uid="{00000000-0005-0000-0000-00007A0B0000}"/>
    <cellStyle name="표준 11 5" xfId="2850" xr:uid="{00000000-0005-0000-0000-00007B0B0000}"/>
    <cellStyle name="표준 11 6" xfId="2851" xr:uid="{00000000-0005-0000-0000-00007C0B0000}"/>
    <cellStyle name="표준 11 7" xfId="2852" xr:uid="{00000000-0005-0000-0000-00007D0B0000}"/>
    <cellStyle name="표준 11 8" xfId="2853" xr:uid="{00000000-0005-0000-0000-00007E0B0000}"/>
    <cellStyle name="표준 12" xfId="3119" xr:uid="{00000000-0005-0000-0000-00007F0B0000}"/>
    <cellStyle name="표준 12 2" xfId="2854" xr:uid="{00000000-0005-0000-0000-0000800B0000}"/>
    <cellStyle name="표준 12 3" xfId="2855" xr:uid="{00000000-0005-0000-0000-0000810B0000}"/>
    <cellStyle name="표준 12 4" xfId="2856" xr:uid="{00000000-0005-0000-0000-0000820B0000}"/>
    <cellStyle name="표준 12 5" xfId="2857" xr:uid="{00000000-0005-0000-0000-0000830B0000}"/>
    <cellStyle name="표준 13" xfId="2858" xr:uid="{00000000-0005-0000-0000-0000840B0000}"/>
    <cellStyle name="표준 13 10" xfId="2859" xr:uid="{00000000-0005-0000-0000-0000850B0000}"/>
    <cellStyle name="표준 13 11" xfId="2860" xr:uid="{00000000-0005-0000-0000-0000860B0000}"/>
    <cellStyle name="표준 13 12" xfId="2861" xr:uid="{00000000-0005-0000-0000-0000870B0000}"/>
    <cellStyle name="표준 13 13" xfId="2862" xr:uid="{00000000-0005-0000-0000-0000880B0000}"/>
    <cellStyle name="표준 13 2" xfId="2863" xr:uid="{00000000-0005-0000-0000-0000890B0000}"/>
    <cellStyle name="표준 13 3" xfId="2864" xr:uid="{00000000-0005-0000-0000-00008A0B0000}"/>
    <cellStyle name="표준 13 4" xfId="2865" xr:uid="{00000000-0005-0000-0000-00008B0B0000}"/>
    <cellStyle name="표준 13 5" xfId="2866" xr:uid="{00000000-0005-0000-0000-00008C0B0000}"/>
    <cellStyle name="표준 13 6" xfId="2867" xr:uid="{00000000-0005-0000-0000-00008D0B0000}"/>
    <cellStyle name="표준 13 7" xfId="2868" xr:uid="{00000000-0005-0000-0000-00008E0B0000}"/>
    <cellStyle name="표준 13 8" xfId="2869" xr:uid="{00000000-0005-0000-0000-00008F0B0000}"/>
    <cellStyle name="표준 13 9" xfId="2870" xr:uid="{00000000-0005-0000-0000-0000900B0000}"/>
    <cellStyle name="표준 14" xfId="2871" xr:uid="{00000000-0005-0000-0000-0000910B0000}"/>
    <cellStyle name="標準 14" xfId="2872" xr:uid="{00000000-0005-0000-0000-0000920B0000}"/>
    <cellStyle name="표준 14 10" xfId="2873" xr:uid="{00000000-0005-0000-0000-0000930B0000}"/>
    <cellStyle name="표준 14 11" xfId="2874" xr:uid="{00000000-0005-0000-0000-0000940B0000}"/>
    <cellStyle name="표준 14 12" xfId="2875" xr:uid="{00000000-0005-0000-0000-0000950B0000}"/>
    <cellStyle name="표준 14 2" xfId="2876" xr:uid="{00000000-0005-0000-0000-0000960B0000}"/>
    <cellStyle name="표준 14 3" xfId="2877" xr:uid="{00000000-0005-0000-0000-0000970B0000}"/>
    <cellStyle name="표준 14 4" xfId="2878" xr:uid="{00000000-0005-0000-0000-0000980B0000}"/>
    <cellStyle name="표준 14 5" xfId="2879" xr:uid="{00000000-0005-0000-0000-0000990B0000}"/>
    <cellStyle name="표준 14 6" xfId="2880" xr:uid="{00000000-0005-0000-0000-00009A0B0000}"/>
    <cellStyle name="표준 14 7" xfId="2881" xr:uid="{00000000-0005-0000-0000-00009B0B0000}"/>
    <cellStyle name="표준 14 8" xfId="2882" xr:uid="{00000000-0005-0000-0000-00009C0B0000}"/>
    <cellStyle name="표준 14 9" xfId="2883" xr:uid="{00000000-0005-0000-0000-00009D0B0000}"/>
    <cellStyle name="표준 15" xfId="2884" xr:uid="{00000000-0005-0000-0000-00009E0B0000}"/>
    <cellStyle name="표준 15 10" xfId="2885" xr:uid="{00000000-0005-0000-0000-00009F0B0000}"/>
    <cellStyle name="표준 15 11" xfId="2886" xr:uid="{00000000-0005-0000-0000-0000A00B0000}"/>
    <cellStyle name="표준 15 12" xfId="2887" xr:uid="{00000000-0005-0000-0000-0000A10B0000}"/>
    <cellStyle name="표준 15 13" xfId="2888" xr:uid="{00000000-0005-0000-0000-0000A20B0000}"/>
    <cellStyle name="표준 15 2" xfId="2889" xr:uid="{00000000-0005-0000-0000-0000A30B0000}"/>
    <cellStyle name="표준 15 3" xfId="2890" xr:uid="{00000000-0005-0000-0000-0000A40B0000}"/>
    <cellStyle name="표준 15 4" xfId="2891" xr:uid="{00000000-0005-0000-0000-0000A50B0000}"/>
    <cellStyle name="표준 15 5" xfId="2892" xr:uid="{00000000-0005-0000-0000-0000A60B0000}"/>
    <cellStyle name="표준 15 6" xfId="2893" xr:uid="{00000000-0005-0000-0000-0000A70B0000}"/>
    <cellStyle name="표준 15 7" xfId="2894" xr:uid="{00000000-0005-0000-0000-0000A80B0000}"/>
    <cellStyle name="표준 15 8" xfId="2895" xr:uid="{00000000-0005-0000-0000-0000A90B0000}"/>
    <cellStyle name="표준 15 9" xfId="2896" xr:uid="{00000000-0005-0000-0000-0000AA0B0000}"/>
    <cellStyle name="표준 16" xfId="2897" xr:uid="{00000000-0005-0000-0000-0000AB0B0000}"/>
    <cellStyle name="표준 16 10" xfId="2898" xr:uid="{00000000-0005-0000-0000-0000AC0B0000}"/>
    <cellStyle name="표준 16 11" xfId="2899" xr:uid="{00000000-0005-0000-0000-0000AD0B0000}"/>
    <cellStyle name="표준 16 12" xfId="2900" xr:uid="{00000000-0005-0000-0000-0000AE0B0000}"/>
    <cellStyle name="표준 16 13" xfId="2901" xr:uid="{00000000-0005-0000-0000-0000AF0B0000}"/>
    <cellStyle name="표준 16 2" xfId="2902" xr:uid="{00000000-0005-0000-0000-0000B00B0000}"/>
    <cellStyle name="표준 16 3" xfId="2903" xr:uid="{00000000-0005-0000-0000-0000B10B0000}"/>
    <cellStyle name="표준 16 4" xfId="2904" xr:uid="{00000000-0005-0000-0000-0000B20B0000}"/>
    <cellStyle name="표준 16 5" xfId="2905" xr:uid="{00000000-0005-0000-0000-0000B30B0000}"/>
    <cellStyle name="표준 16 6" xfId="2906" xr:uid="{00000000-0005-0000-0000-0000B40B0000}"/>
    <cellStyle name="표준 16 7" xfId="2907" xr:uid="{00000000-0005-0000-0000-0000B50B0000}"/>
    <cellStyle name="표준 16 8" xfId="2908" xr:uid="{00000000-0005-0000-0000-0000B60B0000}"/>
    <cellStyle name="표준 16 9" xfId="2909" xr:uid="{00000000-0005-0000-0000-0000B70B0000}"/>
    <cellStyle name="표준 17" xfId="2910" xr:uid="{00000000-0005-0000-0000-0000B80B0000}"/>
    <cellStyle name="표준 18" xfId="2911" xr:uid="{00000000-0005-0000-0000-0000B90B0000}"/>
    <cellStyle name="표준 19" xfId="2912" xr:uid="{00000000-0005-0000-0000-0000BA0B0000}"/>
    <cellStyle name="표준 19 2" xfId="2913" xr:uid="{00000000-0005-0000-0000-0000BB0B0000}"/>
    <cellStyle name="표준 19 3" xfId="2914" xr:uid="{00000000-0005-0000-0000-0000BC0B0000}"/>
    <cellStyle name="표준 19 4" xfId="2915" xr:uid="{00000000-0005-0000-0000-0000BD0B0000}"/>
    <cellStyle name="표준 2" xfId="2" xr:uid="{00000000-0005-0000-0000-0000BE0B0000}"/>
    <cellStyle name="표준 2 10" xfId="2917" xr:uid="{00000000-0005-0000-0000-0000BF0B0000}"/>
    <cellStyle name="표준 2 11" xfId="2918" xr:uid="{00000000-0005-0000-0000-0000C00B0000}"/>
    <cellStyle name="표준 2 12" xfId="2919" xr:uid="{00000000-0005-0000-0000-0000C10B0000}"/>
    <cellStyle name="표준 2 13" xfId="2920" xr:uid="{00000000-0005-0000-0000-0000C20B0000}"/>
    <cellStyle name="표준 2 14" xfId="2921" xr:uid="{00000000-0005-0000-0000-0000C30B0000}"/>
    <cellStyle name="표준 2 15" xfId="2922" xr:uid="{00000000-0005-0000-0000-0000C40B0000}"/>
    <cellStyle name="표준 2 16" xfId="2923" xr:uid="{00000000-0005-0000-0000-0000C50B0000}"/>
    <cellStyle name="표준 2 17" xfId="2924" xr:uid="{00000000-0005-0000-0000-0000C60B0000}"/>
    <cellStyle name="표준 2 18" xfId="2925" xr:uid="{00000000-0005-0000-0000-0000C70B0000}"/>
    <cellStyle name="표준 2 19" xfId="2926" xr:uid="{00000000-0005-0000-0000-0000C80B0000}"/>
    <cellStyle name="표준 2 2" xfId="2927" xr:uid="{00000000-0005-0000-0000-0000C90B0000}"/>
    <cellStyle name="표준 2 2 2" xfId="2928" xr:uid="{00000000-0005-0000-0000-0000CA0B0000}"/>
    <cellStyle name="표준 2 2 2 2" xfId="2929" xr:uid="{00000000-0005-0000-0000-0000CB0B0000}"/>
    <cellStyle name="표준 2 2 2 2 2" xfId="2930" xr:uid="{00000000-0005-0000-0000-0000CC0B0000}"/>
    <cellStyle name="표준 2 2 2 2 2 2" xfId="2931" xr:uid="{00000000-0005-0000-0000-0000CD0B0000}"/>
    <cellStyle name="표준 2 2 2 2 2 2 2" xfId="2932" xr:uid="{00000000-0005-0000-0000-0000CE0B0000}"/>
    <cellStyle name="표준 2 2 2 2 2 2 2 2" xfId="2933" xr:uid="{00000000-0005-0000-0000-0000CF0B0000}"/>
    <cellStyle name="표준 2 2 2 2 2 2 2 2 2" xfId="2934" xr:uid="{00000000-0005-0000-0000-0000D00B0000}"/>
    <cellStyle name="표준 2 2 2 2 2 2 2 2 2 2" xfId="2935" xr:uid="{00000000-0005-0000-0000-0000D10B0000}"/>
    <cellStyle name="표준 2 2 2 2 2 2 2 2 2 2 2" xfId="2936" xr:uid="{00000000-0005-0000-0000-0000D20B0000}"/>
    <cellStyle name="표준 2 2 2 2 2 2 2 2 2 2 2 2" xfId="2937" xr:uid="{00000000-0005-0000-0000-0000D30B0000}"/>
    <cellStyle name="표준 2 2 2 2 2 2 2 2 2 2 2 2 2" xfId="2938" xr:uid="{00000000-0005-0000-0000-0000D40B0000}"/>
    <cellStyle name="표준 2 2 2 2 2 2 2 2 2 2 3" xfId="2939" xr:uid="{00000000-0005-0000-0000-0000D50B0000}"/>
    <cellStyle name="표준 2 2 2 2 2 2 2 2 2 3" xfId="2940" xr:uid="{00000000-0005-0000-0000-0000D60B0000}"/>
    <cellStyle name="표준 2 2 2 2 2 2 2 2 3" xfId="2941" xr:uid="{00000000-0005-0000-0000-0000D70B0000}"/>
    <cellStyle name="표준 2 2 2 2 2 2 2 2 4" xfId="2942" xr:uid="{00000000-0005-0000-0000-0000D80B0000}"/>
    <cellStyle name="표준 2 2 2 2 2 2 2 3" xfId="2943" xr:uid="{00000000-0005-0000-0000-0000D90B0000}"/>
    <cellStyle name="표준 2 2 2 2 2 2 2 4" xfId="2944" xr:uid="{00000000-0005-0000-0000-0000DA0B0000}"/>
    <cellStyle name="표준 2 2 2 2 2 2 3" xfId="2945" xr:uid="{00000000-0005-0000-0000-0000DB0B0000}"/>
    <cellStyle name="표준 2 2 2 2 2 2 4" xfId="2946" xr:uid="{00000000-0005-0000-0000-0000DC0B0000}"/>
    <cellStyle name="표준 2 2 2 2 2 2 5" xfId="2947" xr:uid="{00000000-0005-0000-0000-0000DD0B0000}"/>
    <cellStyle name="표준 2 2 2 2 2 3" xfId="2948" xr:uid="{00000000-0005-0000-0000-0000DE0B0000}"/>
    <cellStyle name="표준 2 2 2 2 2 4" xfId="2949" xr:uid="{00000000-0005-0000-0000-0000DF0B0000}"/>
    <cellStyle name="표준 2 2 2 2 2 5" xfId="2950" xr:uid="{00000000-0005-0000-0000-0000E00B0000}"/>
    <cellStyle name="표준 2 2 2 2 3" xfId="2951" xr:uid="{00000000-0005-0000-0000-0000E10B0000}"/>
    <cellStyle name="표준 2 2 2 2 4" xfId="2952" xr:uid="{00000000-0005-0000-0000-0000E20B0000}"/>
    <cellStyle name="표준 2 2 2 2 5" xfId="2953" xr:uid="{00000000-0005-0000-0000-0000E30B0000}"/>
    <cellStyle name="표준 2 2 2 2 6" xfId="2954" xr:uid="{00000000-0005-0000-0000-0000E40B0000}"/>
    <cellStyle name="표준 2 2 2 3" xfId="2955" xr:uid="{00000000-0005-0000-0000-0000E50B0000}"/>
    <cellStyle name="표준 2 2 2 4" xfId="2956" xr:uid="{00000000-0005-0000-0000-0000E60B0000}"/>
    <cellStyle name="표준 2 2 2 5" xfId="2957" xr:uid="{00000000-0005-0000-0000-0000E70B0000}"/>
    <cellStyle name="표준 2 2 2 6" xfId="2958" xr:uid="{00000000-0005-0000-0000-0000E80B0000}"/>
    <cellStyle name="표준 2 2 3" xfId="2959" xr:uid="{00000000-0005-0000-0000-0000E90B0000}"/>
    <cellStyle name="표준 2 2 4" xfId="2960" xr:uid="{00000000-0005-0000-0000-0000EA0B0000}"/>
    <cellStyle name="표준 2 2 5" xfId="2961" xr:uid="{00000000-0005-0000-0000-0000EB0B0000}"/>
    <cellStyle name="표준 2 2 6" xfId="2962" xr:uid="{00000000-0005-0000-0000-0000EC0B0000}"/>
    <cellStyle name="표준 2 2 7" xfId="2963" xr:uid="{00000000-0005-0000-0000-0000ED0B0000}"/>
    <cellStyle name="표준 2 20" xfId="2964" xr:uid="{00000000-0005-0000-0000-0000EE0B0000}"/>
    <cellStyle name="표준 2 21" xfId="2965" xr:uid="{00000000-0005-0000-0000-0000EF0B0000}"/>
    <cellStyle name="표준 2 22" xfId="2966" xr:uid="{00000000-0005-0000-0000-0000F00B0000}"/>
    <cellStyle name="표준 2 23" xfId="2967" xr:uid="{00000000-0005-0000-0000-0000F10B0000}"/>
    <cellStyle name="표준 2 24" xfId="2968" xr:uid="{00000000-0005-0000-0000-0000F20B0000}"/>
    <cellStyle name="표준 2 25" xfId="2969" xr:uid="{00000000-0005-0000-0000-0000F30B0000}"/>
    <cellStyle name="표준 2 26" xfId="2970" xr:uid="{00000000-0005-0000-0000-0000F40B0000}"/>
    <cellStyle name="표준 2 26 2" xfId="2971" xr:uid="{00000000-0005-0000-0000-0000F50B0000}"/>
    <cellStyle name="표준 2 27" xfId="2972" xr:uid="{00000000-0005-0000-0000-0000F60B0000}"/>
    <cellStyle name="표준 2 28" xfId="2916" xr:uid="{00000000-0005-0000-0000-0000F70B0000}"/>
    <cellStyle name="표준 2 3" xfId="2973" xr:uid="{00000000-0005-0000-0000-0000F80B0000}"/>
    <cellStyle name="표준 2 4" xfId="2974" xr:uid="{00000000-0005-0000-0000-0000F90B0000}"/>
    <cellStyle name="표준 2 5" xfId="2975" xr:uid="{00000000-0005-0000-0000-0000FA0B0000}"/>
    <cellStyle name="표준 2 6" xfId="2976" xr:uid="{00000000-0005-0000-0000-0000FB0B0000}"/>
    <cellStyle name="표준 2 7" xfId="2977" xr:uid="{00000000-0005-0000-0000-0000FC0B0000}"/>
    <cellStyle name="표준 2 8" xfId="2978" xr:uid="{00000000-0005-0000-0000-0000FD0B0000}"/>
    <cellStyle name="표준 2 8 10" xfId="2979" xr:uid="{00000000-0005-0000-0000-0000FE0B0000}"/>
    <cellStyle name="표준 2 8 11" xfId="2980" xr:uid="{00000000-0005-0000-0000-0000FF0B0000}"/>
    <cellStyle name="표준 2 8 12" xfId="2981" xr:uid="{00000000-0005-0000-0000-0000000C0000}"/>
    <cellStyle name="표준 2 8 13" xfId="2982" xr:uid="{00000000-0005-0000-0000-0000010C0000}"/>
    <cellStyle name="표준 2 8 13 2" xfId="2983" xr:uid="{00000000-0005-0000-0000-0000020C0000}"/>
    <cellStyle name="표준 2 8 14" xfId="2984" xr:uid="{00000000-0005-0000-0000-0000030C0000}"/>
    <cellStyle name="표준 2 8 15" xfId="2985" xr:uid="{00000000-0005-0000-0000-0000040C0000}"/>
    <cellStyle name="표준 2 8 16" xfId="2986" xr:uid="{00000000-0005-0000-0000-0000050C0000}"/>
    <cellStyle name="표준 2 8 17" xfId="2987" xr:uid="{00000000-0005-0000-0000-0000060C0000}"/>
    <cellStyle name="표준 2 8 18" xfId="2988" xr:uid="{00000000-0005-0000-0000-0000070C0000}"/>
    <cellStyle name="표준 2 8 19" xfId="2989" xr:uid="{00000000-0005-0000-0000-0000080C0000}"/>
    <cellStyle name="표준 2 8 2" xfId="2990" xr:uid="{00000000-0005-0000-0000-0000090C0000}"/>
    <cellStyle name="표준 2 8 2 10" xfId="2991" xr:uid="{00000000-0005-0000-0000-00000A0C0000}"/>
    <cellStyle name="표준 2 8 2 11" xfId="2992" xr:uid="{00000000-0005-0000-0000-00000B0C0000}"/>
    <cellStyle name="표준 2 8 2 12" xfId="2993" xr:uid="{00000000-0005-0000-0000-00000C0C0000}"/>
    <cellStyle name="표준 2 8 2 2" xfId="2994" xr:uid="{00000000-0005-0000-0000-00000D0C0000}"/>
    <cellStyle name="표준 2 8 2 2 2" xfId="2995" xr:uid="{00000000-0005-0000-0000-00000E0C0000}"/>
    <cellStyle name="표준 2 8 2 3" xfId="2996" xr:uid="{00000000-0005-0000-0000-00000F0C0000}"/>
    <cellStyle name="표준 2 8 2 4" xfId="2997" xr:uid="{00000000-0005-0000-0000-0000100C0000}"/>
    <cellStyle name="표준 2 8 2 5" xfId="2998" xr:uid="{00000000-0005-0000-0000-0000110C0000}"/>
    <cellStyle name="표준 2 8 2 6" xfId="2999" xr:uid="{00000000-0005-0000-0000-0000120C0000}"/>
    <cellStyle name="표준 2 8 2 7" xfId="3000" xr:uid="{00000000-0005-0000-0000-0000130C0000}"/>
    <cellStyle name="표준 2 8 2 8" xfId="3001" xr:uid="{00000000-0005-0000-0000-0000140C0000}"/>
    <cellStyle name="표준 2 8 2 9" xfId="3002" xr:uid="{00000000-0005-0000-0000-0000150C0000}"/>
    <cellStyle name="표준 2 8 20" xfId="3003" xr:uid="{00000000-0005-0000-0000-0000160C0000}"/>
    <cellStyle name="표준 2 8 21" xfId="3004" xr:uid="{00000000-0005-0000-0000-0000170C0000}"/>
    <cellStyle name="표준 2 8 22" xfId="3005" xr:uid="{00000000-0005-0000-0000-0000180C0000}"/>
    <cellStyle name="표준 2 8 3" xfId="3006" xr:uid="{00000000-0005-0000-0000-0000190C0000}"/>
    <cellStyle name="표준 2 8 4" xfId="3007" xr:uid="{00000000-0005-0000-0000-00001A0C0000}"/>
    <cellStyle name="표준 2 8 5" xfId="3008" xr:uid="{00000000-0005-0000-0000-00001B0C0000}"/>
    <cellStyle name="표준 2 8 6" xfId="3009" xr:uid="{00000000-0005-0000-0000-00001C0C0000}"/>
    <cellStyle name="표준 2 8 7" xfId="3010" xr:uid="{00000000-0005-0000-0000-00001D0C0000}"/>
    <cellStyle name="표준 2 8 8" xfId="3011" xr:uid="{00000000-0005-0000-0000-00001E0C0000}"/>
    <cellStyle name="표준 2 8 9" xfId="3012" xr:uid="{00000000-0005-0000-0000-00001F0C0000}"/>
    <cellStyle name="표준 2 9" xfId="3013" xr:uid="{00000000-0005-0000-0000-0000200C0000}"/>
    <cellStyle name="표준 2 9 2" xfId="3014" xr:uid="{00000000-0005-0000-0000-0000210C0000}"/>
    <cellStyle name="표준 2 9 2 2" xfId="3015" xr:uid="{00000000-0005-0000-0000-0000220C0000}"/>
    <cellStyle name="표준 2 9 2 3" xfId="3016" xr:uid="{00000000-0005-0000-0000-0000230C0000}"/>
    <cellStyle name="표준 2 9 2 4" xfId="3017" xr:uid="{00000000-0005-0000-0000-0000240C0000}"/>
    <cellStyle name="표준 2 9 3" xfId="3018" xr:uid="{00000000-0005-0000-0000-0000250C0000}"/>
    <cellStyle name="표준 2 9 4" xfId="3019" xr:uid="{00000000-0005-0000-0000-0000260C0000}"/>
    <cellStyle name="표준 20" xfId="3020" xr:uid="{00000000-0005-0000-0000-0000270C0000}"/>
    <cellStyle name="표준 20 2" xfId="3168" xr:uid="{00000000-0005-0000-0000-0000280C0000}"/>
    <cellStyle name="표준 21" xfId="3021" xr:uid="{00000000-0005-0000-0000-0000290C0000}"/>
    <cellStyle name="표준 21 2" xfId="3022" xr:uid="{00000000-0005-0000-0000-00002A0C0000}"/>
    <cellStyle name="표준 21 3" xfId="3023" xr:uid="{00000000-0005-0000-0000-00002B0C0000}"/>
    <cellStyle name="표준 21 4" xfId="3024" xr:uid="{00000000-0005-0000-0000-00002C0C0000}"/>
    <cellStyle name="표준 21 5" xfId="3169" xr:uid="{00000000-0005-0000-0000-00002D0C0000}"/>
    <cellStyle name="표준 22" xfId="3112" xr:uid="{00000000-0005-0000-0000-00002E0C0000}"/>
    <cellStyle name="표준 22 2" xfId="3178" xr:uid="{00000000-0005-0000-0000-00002F0C0000}"/>
    <cellStyle name="표준 22 2 2" xfId="3192" xr:uid="{00000000-0005-0000-0000-0000300C0000}"/>
    <cellStyle name="표준 22 2 2 2" xfId="3213" xr:uid="{00000000-0005-0000-0000-0000310C0000}"/>
    <cellStyle name="표준 22 2 2 2 2" xfId="3273" xr:uid="{00000000-0005-0000-0000-0000320C0000}"/>
    <cellStyle name="표준 22 2 2 2 2 2" xfId="3385" xr:uid="{00000000-0005-0000-0000-0000330C0000}"/>
    <cellStyle name="표준 22 2 2 2 2 2 2" xfId="3714" xr:uid="{00000000-0005-0000-0000-0000340C0000}"/>
    <cellStyle name="표준 22 2 2 2 2 3" xfId="3494" xr:uid="{00000000-0005-0000-0000-0000350C0000}"/>
    <cellStyle name="표준 22 2 2 2 2 3 2" xfId="3823" xr:uid="{00000000-0005-0000-0000-0000360C0000}"/>
    <cellStyle name="표준 22 2 2 2 2 4" xfId="3606" xr:uid="{00000000-0005-0000-0000-0000370C0000}"/>
    <cellStyle name="표준 22 2 2 2 3" xfId="3331" xr:uid="{00000000-0005-0000-0000-0000380C0000}"/>
    <cellStyle name="표준 22 2 2 2 3 2" xfId="3660" xr:uid="{00000000-0005-0000-0000-0000390C0000}"/>
    <cellStyle name="표준 22 2 2 2 4" xfId="3440" xr:uid="{00000000-0005-0000-0000-00003A0C0000}"/>
    <cellStyle name="표준 22 2 2 2 4 2" xfId="3769" xr:uid="{00000000-0005-0000-0000-00003B0C0000}"/>
    <cellStyle name="표준 22 2 2 2 5" xfId="3552" xr:uid="{00000000-0005-0000-0000-00003C0C0000}"/>
    <cellStyle name="표준 22 2 2 3" xfId="3235" xr:uid="{00000000-0005-0000-0000-00003D0C0000}"/>
    <cellStyle name="표준 22 2 2 3 2" xfId="3293" xr:uid="{00000000-0005-0000-0000-00003E0C0000}"/>
    <cellStyle name="표준 22 2 2 3 2 2" xfId="3405" xr:uid="{00000000-0005-0000-0000-00003F0C0000}"/>
    <cellStyle name="표준 22 2 2 3 2 2 2" xfId="3734" xr:uid="{00000000-0005-0000-0000-0000400C0000}"/>
    <cellStyle name="표준 22 2 2 3 2 3" xfId="3514" xr:uid="{00000000-0005-0000-0000-0000410C0000}"/>
    <cellStyle name="표준 22 2 2 3 2 3 2" xfId="3843" xr:uid="{00000000-0005-0000-0000-0000420C0000}"/>
    <cellStyle name="표준 22 2 2 3 2 4" xfId="3626" xr:uid="{00000000-0005-0000-0000-0000430C0000}"/>
    <cellStyle name="표준 22 2 2 3 3" xfId="3351" xr:uid="{00000000-0005-0000-0000-0000440C0000}"/>
    <cellStyle name="표준 22 2 2 3 3 2" xfId="3680" xr:uid="{00000000-0005-0000-0000-0000450C0000}"/>
    <cellStyle name="표준 22 2 2 3 4" xfId="3460" xr:uid="{00000000-0005-0000-0000-0000460C0000}"/>
    <cellStyle name="표준 22 2 2 3 4 2" xfId="3789" xr:uid="{00000000-0005-0000-0000-0000470C0000}"/>
    <cellStyle name="표준 22 2 2 3 5" xfId="3572" xr:uid="{00000000-0005-0000-0000-0000480C0000}"/>
    <cellStyle name="표준 22 2 2 4" xfId="3256" xr:uid="{00000000-0005-0000-0000-0000490C0000}"/>
    <cellStyle name="표준 22 2 2 4 2" xfId="3368" xr:uid="{00000000-0005-0000-0000-00004A0C0000}"/>
    <cellStyle name="표준 22 2 2 4 2 2" xfId="3697" xr:uid="{00000000-0005-0000-0000-00004B0C0000}"/>
    <cellStyle name="표준 22 2 2 4 3" xfId="3477" xr:uid="{00000000-0005-0000-0000-00004C0C0000}"/>
    <cellStyle name="표준 22 2 2 4 3 2" xfId="3806" xr:uid="{00000000-0005-0000-0000-00004D0C0000}"/>
    <cellStyle name="표준 22 2 2 4 4" xfId="3589" xr:uid="{00000000-0005-0000-0000-00004E0C0000}"/>
    <cellStyle name="표준 22 2 2 5" xfId="3314" xr:uid="{00000000-0005-0000-0000-00004F0C0000}"/>
    <cellStyle name="표준 22 2 2 5 2" xfId="3643" xr:uid="{00000000-0005-0000-0000-0000500C0000}"/>
    <cellStyle name="표준 22 2 2 6" xfId="3423" xr:uid="{00000000-0005-0000-0000-0000510C0000}"/>
    <cellStyle name="표준 22 2 2 6 2" xfId="3752" xr:uid="{00000000-0005-0000-0000-0000520C0000}"/>
    <cellStyle name="표준 22 2 2 7" xfId="3535" xr:uid="{00000000-0005-0000-0000-0000530C0000}"/>
    <cellStyle name="표준 22 2 3" xfId="3203" xr:uid="{00000000-0005-0000-0000-0000540C0000}"/>
    <cellStyle name="표준 22 2 3 2" xfId="3263" xr:uid="{00000000-0005-0000-0000-0000550C0000}"/>
    <cellStyle name="표준 22 2 3 2 2" xfId="3375" xr:uid="{00000000-0005-0000-0000-0000560C0000}"/>
    <cellStyle name="표준 22 2 3 2 2 2" xfId="3704" xr:uid="{00000000-0005-0000-0000-0000570C0000}"/>
    <cellStyle name="표준 22 2 3 2 3" xfId="3484" xr:uid="{00000000-0005-0000-0000-0000580C0000}"/>
    <cellStyle name="표준 22 2 3 2 3 2" xfId="3813" xr:uid="{00000000-0005-0000-0000-0000590C0000}"/>
    <cellStyle name="표준 22 2 3 2 4" xfId="3596" xr:uid="{00000000-0005-0000-0000-00005A0C0000}"/>
    <cellStyle name="표준 22 2 3 3" xfId="3321" xr:uid="{00000000-0005-0000-0000-00005B0C0000}"/>
    <cellStyle name="표준 22 2 3 3 2" xfId="3650" xr:uid="{00000000-0005-0000-0000-00005C0C0000}"/>
    <cellStyle name="표준 22 2 3 4" xfId="3430" xr:uid="{00000000-0005-0000-0000-00005D0C0000}"/>
    <cellStyle name="표준 22 2 3 4 2" xfId="3759" xr:uid="{00000000-0005-0000-0000-00005E0C0000}"/>
    <cellStyle name="표준 22 2 3 5" xfId="3542" xr:uid="{00000000-0005-0000-0000-00005F0C0000}"/>
    <cellStyle name="표준 22 2 4" xfId="3225" xr:uid="{00000000-0005-0000-0000-0000600C0000}"/>
    <cellStyle name="표준 22 2 4 2" xfId="3283" xr:uid="{00000000-0005-0000-0000-0000610C0000}"/>
    <cellStyle name="표준 22 2 4 2 2" xfId="3395" xr:uid="{00000000-0005-0000-0000-0000620C0000}"/>
    <cellStyle name="표준 22 2 4 2 2 2" xfId="3724" xr:uid="{00000000-0005-0000-0000-0000630C0000}"/>
    <cellStyle name="표준 22 2 4 2 3" xfId="3504" xr:uid="{00000000-0005-0000-0000-0000640C0000}"/>
    <cellStyle name="표준 22 2 4 2 3 2" xfId="3833" xr:uid="{00000000-0005-0000-0000-0000650C0000}"/>
    <cellStyle name="표준 22 2 4 2 4" xfId="3616" xr:uid="{00000000-0005-0000-0000-0000660C0000}"/>
    <cellStyle name="표준 22 2 4 3" xfId="3341" xr:uid="{00000000-0005-0000-0000-0000670C0000}"/>
    <cellStyle name="표준 22 2 4 3 2" xfId="3670" xr:uid="{00000000-0005-0000-0000-0000680C0000}"/>
    <cellStyle name="표준 22 2 4 4" xfId="3450" xr:uid="{00000000-0005-0000-0000-0000690C0000}"/>
    <cellStyle name="표준 22 2 4 4 2" xfId="3779" xr:uid="{00000000-0005-0000-0000-00006A0C0000}"/>
    <cellStyle name="표준 22 2 4 5" xfId="3562" xr:uid="{00000000-0005-0000-0000-00006B0C0000}"/>
    <cellStyle name="표준 22 2 5" xfId="3246" xr:uid="{00000000-0005-0000-0000-00006C0C0000}"/>
    <cellStyle name="표준 22 2 5 2" xfId="3358" xr:uid="{00000000-0005-0000-0000-00006D0C0000}"/>
    <cellStyle name="표준 22 2 5 2 2" xfId="3687" xr:uid="{00000000-0005-0000-0000-00006E0C0000}"/>
    <cellStyle name="표준 22 2 5 3" xfId="3467" xr:uid="{00000000-0005-0000-0000-00006F0C0000}"/>
    <cellStyle name="표준 22 2 5 3 2" xfId="3796" xr:uid="{00000000-0005-0000-0000-0000700C0000}"/>
    <cellStyle name="표준 22 2 5 4" xfId="3579" xr:uid="{00000000-0005-0000-0000-0000710C0000}"/>
    <cellStyle name="표준 22 2 6" xfId="3304" xr:uid="{00000000-0005-0000-0000-0000720C0000}"/>
    <cellStyle name="표준 22 2 6 2" xfId="3633" xr:uid="{00000000-0005-0000-0000-0000730C0000}"/>
    <cellStyle name="표준 22 2 7" xfId="3413" xr:uid="{00000000-0005-0000-0000-0000740C0000}"/>
    <cellStyle name="표준 22 2 7 2" xfId="3742" xr:uid="{00000000-0005-0000-0000-0000750C0000}"/>
    <cellStyle name="표준 22 2 8" xfId="3525" xr:uid="{00000000-0005-0000-0000-0000760C0000}"/>
    <cellStyle name="표준 22 3" xfId="3188" xr:uid="{00000000-0005-0000-0000-0000770C0000}"/>
    <cellStyle name="표준 22 3 2" xfId="3209" xr:uid="{00000000-0005-0000-0000-0000780C0000}"/>
    <cellStyle name="표준 22 3 2 2" xfId="3269" xr:uid="{00000000-0005-0000-0000-0000790C0000}"/>
    <cellStyle name="표준 22 3 2 2 2" xfId="3381" xr:uid="{00000000-0005-0000-0000-00007A0C0000}"/>
    <cellStyle name="표준 22 3 2 2 2 2" xfId="3710" xr:uid="{00000000-0005-0000-0000-00007B0C0000}"/>
    <cellStyle name="표준 22 3 2 2 3" xfId="3490" xr:uid="{00000000-0005-0000-0000-00007C0C0000}"/>
    <cellStyle name="표준 22 3 2 2 3 2" xfId="3819" xr:uid="{00000000-0005-0000-0000-00007D0C0000}"/>
    <cellStyle name="표준 22 3 2 2 4" xfId="3602" xr:uid="{00000000-0005-0000-0000-00007E0C0000}"/>
    <cellStyle name="표준 22 3 2 3" xfId="3327" xr:uid="{00000000-0005-0000-0000-00007F0C0000}"/>
    <cellStyle name="표준 22 3 2 3 2" xfId="3656" xr:uid="{00000000-0005-0000-0000-0000800C0000}"/>
    <cellStyle name="표준 22 3 2 4" xfId="3436" xr:uid="{00000000-0005-0000-0000-0000810C0000}"/>
    <cellStyle name="표준 22 3 2 4 2" xfId="3765" xr:uid="{00000000-0005-0000-0000-0000820C0000}"/>
    <cellStyle name="표준 22 3 2 5" xfId="3548" xr:uid="{00000000-0005-0000-0000-0000830C0000}"/>
    <cellStyle name="표준 22 3 3" xfId="3231" xr:uid="{00000000-0005-0000-0000-0000840C0000}"/>
    <cellStyle name="표준 22 3 3 2" xfId="3289" xr:uid="{00000000-0005-0000-0000-0000850C0000}"/>
    <cellStyle name="표준 22 3 3 2 2" xfId="3401" xr:uid="{00000000-0005-0000-0000-0000860C0000}"/>
    <cellStyle name="표준 22 3 3 2 2 2" xfId="3730" xr:uid="{00000000-0005-0000-0000-0000870C0000}"/>
    <cellStyle name="표준 22 3 3 2 3" xfId="3510" xr:uid="{00000000-0005-0000-0000-0000880C0000}"/>
    <cellStyle name="표준 22 3 3 2 3 2" xfId="3839" xr:uid="{00000000-0005-0000-0000-0000890C0000}"/>
    <cellStyle name="표준 22 3 3 2 4" xfId="3622" xr:uid="{00000000-0005-0000-0000-00008A0C0000}"/>
    <cellStyle name="표준 22 3 3 3" xfId="3347" xr:uid="{00000000-0005-0000-0000-00008B0C0000}"/>
    <cellStyle name="표준 22 3 3 3 2" xfId="3676" xr:uid="{00000000-0005-0000-0000-00008C0C0000}"/>
    <cellStyle name="표준 22 3 3 4" xfId="3456" xr:uid="{00000000-0005-0000-0000-00008D0C0000}"/>
    <cellStyle name="표준 22 3 3 4 2" xfId="3785" xr:uid="{00000000-0005-0000-0000-00008E0C0000}"/>
    <cellStyle name="표준 22 3 3 5" xfId="3568" xr:uid="{00000000-0005-0000-0000-00008F0C0000}"/>
    <cellStyle name="표준 22 3 4" xfId="3252" xr:uid="{00000000-0005-0000-0000-0000900C0000}"/>
    <cellStyle name="표준 22 3 4 2" xfId="3364" xr:uid="{00000000-0005-0000-0000-0000910C0000}"/>
    <cellStyle name="표준 22 3 4 2 2" xfId="3693" xr:uid="{00000000-0005-0000-0000-0000920C0000}"/>
    <cellStyle name="표준 22 3 4 3" xfId="3473" xr:uid="{00000000-0005-0000-0000-0000930C0000}"/>
    <cellStyle name="표준 22 3 4 3 2" xfId="3802" xr:uid="{00000000-0005-0000-0000-0000940C0000}"/>
    <cellStyle name="표준 22 3 4 4" xfId="3585" xr:uid="{00000000-0005-0000-0000-0000950C0000}"/>
    <cellStyle name="표준 22 3 5" xfId="3310" xr:uid="{00000000-0005-0000-0000-0000960C0000}"/>
    <cellStyle name="표준 22 3 5 2" xfId="3639" xr:uid="{00000000-0005-0000-0000-0000970C0000}"/>
    <cellStyle name="표준 22 3 6" xfId="3419" xr:uid="{00000000-0005-0000-0000-0000980C0000}"/>
    <cellStyle name="표준 22 3 6 2" xfId="3748" xr:uid="{00000000-0005-0000-0000-0000990C0000}"/>
    <cellStyle name="표준 22 3 7" xfId="3531" xr:uid="{00000000-0005-0000-0000-00009A0C0000}"/>
    <cellStyle name="표준 22 4" xfId="3199" xr:uid="{00000000-0005-0000-0000-00009B0C0000}"/>
    <cellStyle name="표준 22 4 2" xfId="3259" xr:uid="{00000000-0005-0000-0000-00009C0C0000}"/>
    <cellStyle name="표준 22 4 2 2" xfId="3371" xr:uid="{00000000-0005-0000-0000-00009D0C0000}"/>
    <cellStyle name="표준 22 4 2 2 2" xfId="3700" xr:uid="{00000000-0005-0000-0000-00009E0C0000}"/>
    <cellStyle name="표준 22 4 2 3" xfId="3480" xr:uid="{00000000-0005-0000-0000-00009F0C0000}"/>
    <cellStyle name="표준 22 4 2 3 2" xfId="3809" xr:uid="{00000000-0005-0000-0000-0000A00C0000}"/>
    <cellStyle name="표준 22 4 2 4" xfId="3592" xr:uid="{00000000-0005-0000-0000-0000A10C0000}"/>
    <cellStyle name="표준 22 4 3" xfId="3317" xr:uid="{00000000-0005-0000-0000-0000A20C0000}"/>
    <cellStyle name="표준 22 4 3 2" xfId="3646" xr:uid="{00000000-0005-0000-0000-0000A30C0000}"/>
    <cellStyle name="표준 22 4 4" xfId="3426" xr:uid="{00000000-0005-0000-0000-0000A40C0000}"/>
    <cellStyle name="표준 22 4 4 2" xfId="3755" xr:uid="{00000000-0005-0000-0000-0000A50C0000}"/>
    <cellStyle name="표준 22 4 5" xfId="3538" xr:uid="{00000000-0005-0000-0000-0000A60C0000}"/>
    <cellStyle name="표준 22 5" xfId="3221" xr:uid="{00000000-0005-0000-0000-0000A70C0000}"/>
    <cellStyle name="표준 22 5 2" xfId="3279" xr:uid="{00000000-0005-0000-0000-0000A80C0000}"/>
    <cellStyle name="표준 22 5 2 2" xfId="3391" xr:uid="{00000000-0005-0000-0000-0000A90C0000}"/>
    <cellStyle name="표준 22 5 2 2 2" xfId="3720" xr:uid="{00000000-0005-0000-0000-0000AA0C0000}"/>
    <cellStyle name="표준 22 5 2 3" xfId="3500" xr:uid="{00000000-0005-0000-0000-0000AB0C0000}"/>
    <cellStyle name="표준 22 5 2 3 2" xfId="3829" xr:uid="{00000000-0005-0000-0000-0000AC0C0000}"/>
    <cellStyle name="표준 22 5 2 4" xfId="3612" xr:uid="{00000000-0005-0000-0000-0000AD0C0000}"/>
    <cellStyle name="표준 22 5 3" xfId="3337" xr:uid="{00000000-0005-0000-0000-0000AE0C0000}"/>
    <cellStyle name="표준 22 5 3 2" xfId="3666" xr:uid="{00000000-0005-0000-0000-0000AF0C0000}"/>
    <cellStyle name="표준 22 5 4" xfId="3446" xr:uid="{00000000-0005-0000-0000-0000B00C0000}"/>
    <cellStyle name="표준 22 5 4 2" xfId="3775" xr:uid="{00000000-0005-0000-0000-0000B10C0000}"/>
    <cellStyle name="표준 22 5 5" xfId="3558" xr:uid="{00000000-0005-0000-0000-0000B20C0000}"/>
    <cellStyle name="표준 22 6" xfId="3242" xr:uid="{00000000-0005-0000-0000-0000B30C0000}"/>
    <cellStyle name="표준 22 6 2" xfId="3354" xr:uid="{00000000-0005-0000-0000-0000B40C0000}"/>
    <cellStyle name="표준 22 6 2 2" xfId="3683" xr:uid="{00000000-0005-0000-0000-0000B50C0000}"/>
    <cellStyle name="표준 22 6 3" xfId="3463" xr:uid="{00000000-0005-0000-0000-0000B60C0000}"/>
    <cellStyle name="표준 22 6 3 2" xfId="3792" xr:uid="{00000000-0005-0000-0000-0000B70C0000}"/>
    <cellStyle name="표준 22 6 4" xfId="3575" xr:uid="{00000000-0005-0000-0000-0000B80C0000}"/>
    <cellStyle name="표준 22 7" xfId="3300" xr:uid="{00000000-0005-0000-0000-0000B90C0000}"/>
    <cellStyle name="표준 22 7 2" xfId="3629" xr:uid="{00000000-0005-0000-0000-0000BA0C0000}"/>
    <cellStyle name="표준 22 8" xfId="3409" xr:uid="{00000000-0005-0000-0000-0000BB0C0000}"/>
    <cellStyle name="표준 22 8 2" xfId="3738" xr:uid="{00000000-0005-0000-0000-0000BC0C0000}"/>
    <cellStyle name="표준 22 9" xfId="3521" xr:uid="{00000000-0005-0000-0000-0000BD0C0000}"/>
    <cellStyle name="표준 23" xfId="3025" xr:uid="{00000000-0005-0000-0000-0000BE0C0000}"/>
    <cellStyle name="표준 24" xfId="3026" xr:uid="{00000000-0005-0000-0000-0000BF0C0000}"/>
    <cellStyle name="표준 25" xfId="3027" xr:uid="{00000000-0005-0000-0000-0000C00C0000}"/>
    <cellStyle name="표준 26" xfId="3028" xr:uid="{00000000-0005-0000-0000-0000C10C0000}"/>
    <cellStyle name="표준 27" xfId="3029" xr:uid="{00000000-0005-0000-0000-0000C20C0000}"/>
    <cellStyle name="표준 28" xfId="3030" xr:uid="{00000000-0005-0000-0000-0000C30C0000}"/>
    <cellStyle name="표준 29" xfId="3031" xr:uid="{00000000-0005-0000-0000-0000C40C0000}"/>
    <cellStyle name="표준 3" xfId="3032" xr:uid="{00000000-0005-0000-0000-0000C50C0000}"/>
    <cellStyle name="표준 3 2" xfId="5" xr:uid="{00000000-0005-0000-0000-0000C60C0000}"/>
    <cellStyle name="표준 3 3" xfId="3033" xr:uid="{00000000-0005-0000-0000-0000C70C0000}"/>
    <cellStyle name="표준 3 4" xfId="3034" xr:uid="{00000000-0005-0000-0000-0000C80C0000}"/>
    <cellStyle name="표준 3 5" xfId="3035" xr:uid="{00000000-0005-0000-0000-0000C90C0000}"/>
    <cellStyle name="표준 3 6" xfId="3036" xr:uid="{00000000-0005-0000-0000-0000CA0C0000}"/>
    <cellStyle name="표준 3 7" xfId="3037" xr:uid="{00000000-0005-0000-0000-0000CB0C0000}"/>
    <cellStyle name="표준 3 8" xfId="3038" xr:uid="{00000000-0005-0000-0000-0000CC0C0000}"/>
    <cellStyle name="표준 3 9" xfId="3039" xr:uid="{00000000-0005-0000-0000-0000CD0C0000}"/>
    <cellStyle name="표준 30" xfId="3040" xr:uid="{00000000-0005-0000-0000-0000CE0C0000}"/>
    <cellStyle name="표준 30 10" xfId="3041" xr:uid="{00000000-0005-0000-0000-0000CF0C0000}"/>
    <cellStyle name="표준 30 11" xfId="3042" xr:uid="{00000000-0005-0000-0000-0000D00C0000}"/>
    <cellStyle name="표준 30 12" xfId="3043" xr:uid="{00000000-0005-0000-0000-0000D10C0000}"/>
    <cellStyle name="표준 30 2" xfId="3044" xr:uid="{00000000-0005-0000-0000-0000D20C0000}"/>
    <cellStyle name="표준 30 3" xfId="3045" xr:uid="{00000000-0005-0000-0000-0000D30C0000}"/>
    <cellStyle name="표준 30 4" xfId="3046" xr:uid="{00000000-0005-0000-0000-0000D40C0000}"/>
    <cellStyle name="표준 30 5" xfId="3047" xr:uid="{00000000-0005-0000-0000-0000D50C0000}"/>
    <cellStyle name="표준 30 6" xfId="3048" xr:uid="{00000000-0005-0000-0000-0000D60C0000}"/>
    <cellStyle name="표준 30 7" xfId="3049" xr:uid="{00000000-0005-0000-0000-0000D70C0000}"/>
    <cellStyle name="표준 30 8" xfId="3050" xr:uid="{00000000-0005-0000-0000-0000D80C0000}"/>
    <cellStyle name="표준 30 9" xfId="3051" xr:uid="{00000000-0005-0000-0000-0000D90C0000}"/>
    <cellStyle name="표준 31" xfId="3052" xr:uid="{00000000-0005-0000-0000-0000DA0C0000}"/>
    <cellStyle name="표준 32" xfId="3053" xr:uid="{00000000-0005-0000-0000-0000DB0C0000}"/>
    <cellStyle name="표준 33" xfId="3054" xr:uid="{00000000-0005-0000-0000-0000DC0C0000}"/>
    <cellStyle name="표준 34" xfId="3055" xr:uid="{00000000-0005-0000-0000-0000DD0C0000}"/>
    <cellStyle name="표준 35" xfId="3056" xr:uid="{00000000-0005-0000-0000-0000DE0C0000}"/>
    <cellStyle name="표준 36" xfId="3057" xr:uid="{00000000-0005-0000-0000-0000DF0C0000}"/>
    <cellStyle name="표준 37" xfId="3058" xr:uid="{00000000-0005-0000-0000-0000E00C0000}"/>
    <cellStyle name="표준 38" xfId="3059" xr:uid="{00000000-0005-0000-0000-0000E10C0000}"/>
    <cellStyle name="표준 39" xfId="3060" xr:uid="{00000000-0005-0000-0000-0000E20C0000}"/>
    <cellStyle name="표준 4" xfId="3061" xr:uid="{00000000-0005-0000-0000-0000E30C0000}"/>
    <cellStyle name="표준 4 2" xfId="6" xr:uid="{00000000-0005-0000-0000-0000E40C0000}"/>
    <cellStyle name="표준 4 3" xfId="3062" xr:uid="{00000000-0005-0000-0000-0000E50C0000}"/>
    <cellStyle name="표준 4 4" xfId="3063" xr:uid="{00000000-0005-0000-0000-0000E60C0000}"/>
    <cellStyle name="표준 4 5" xfId="3064" xr:uid="{00000000-0005-0000-0000-0000E70C0000}"/>
    <cellStyle name="표준 4 6" xfId="3065" xr:uid="{00000000-0005-0000-0000-0000E80C0000}"/>
    <cellStyle name="표준 4 7" xfId="3066" xr:uid="{00000000-0005-0000-0000-0000E90C0000}"/>
    <cellStyle name="표준 40" xfId="3067" xr:uid="{00000000-0005-0000-0000-0000EA0C0000}"/>
    <cellStyle name="표준 41" xfId="3120" xr:uid="{00000000-0005-0000-0000-0000EB0C0000}"/>
    <cellStyle name="표준 42" xfId="3122" xr:uid="{00000000-0005-0000-0000-0000EC0C0000}"/>
    <cellStyle name="표준 43" xfId="3068" xr:uid="{00000000-0005-0000-0000-0000ED0C0000}"/>
    <cellStyle name="표준 44" xfId="3069" xr:uid="{00000000-0005-0000-0000-0000EE0C0000}"/>
    <cellStyle name="표준 45" xfId="3070" xr:uid="{00000000-0005-0000-0000-0000EF0C0000}"/>
    <cellStyle name="표준 46" xfId="3123" xr:uid="{00000000-0005-0000-0000-0000F00C0000}"/>
    <cellStyle name="표준 46 2" xfId="3179" xr:uid="{00000000-0005-0000-0000-0000F10C0000}"/>
    <cellStyle name="표준 46 2 2" xfId="3193" xr:uid="{00000000-0005-0000-0000-0000F20C0000}"/>
    <cellStyle name="표준 46 2 2 2" xfId="3214" xr:uid="{00000000-0005-0000-0000-0000F30C0000}"/>
    <cellStyle name="표준 46 2 2 2 2" xfId="3274" xr:uid="{00000000-0005-0000-0000-0000F40C0000}"/>
    <cellStyle name="표준 46 2 2 2 2 2" xfId="3386" xr:uid="{00000000-0005-0000-0000-0000F50C0000}"/>
    <cellStyle name="표준 46 2 2 2 2 2 2" xfId="3715" xr:uid="{00000000-0005-0000-0000-0000F60C0000}"/>
    <cellStyle name="표준 46 2 2 2 2 3" xfId="3495" xr:uid="{00000000-0005-0000-0000-0000F70C0000}"/>
    <cellStyle name="표준 46 2 2 2 2 3 2" xfId="3824" xr:uid="{00000000-0005-0000-0000-0000F80C0000}"/>
    <cellStyle name="표준 46 2 2 2 2 4" xfId="3607" xr:uid="{00000000-0005-0000-0000-0000F90C0000}"/>
    <cellStyle name="표준 46 2 2 2 3" xfId="3332" xr:uid="{00000000-0005-0000-0000-0000FA0C0000}"/>
    <cellStyle name="표준 46 2 2 2 3 2" xfId="3661" xr:uid="{00000000-0005-0000-0000-0000FB0C0000}"/>
    <cellStyle name="표준 46 2 2 2 4" xfId="3441" xr:uid="{00000000-0005-0000-0000-0000FC0C0000}"/>
    <cellStyle name="표준 46 2 2 2 4 2" xfId="3770" xr:uid="{00000000-0005-0000-0000-0000FD0C0000}"/>
    <cellStyle name="표준 46 2 2 2 5" xfId="3553" xr:uid="{00000000-0005-0000-0000-0000FE0C0000}"/>
    <cellStyle name="표준 46 2 2 3" xfId="3236" xr:uid="{00000000-0005-0000-0000-0000FF0C0000}"/>
    <cellStyle name="표준 46 2 2 3 2" xfId="3294" xr:uid="{00000000-0005-0000-0000-0000000D0000}"/>
    <cellStyle name="표준 46 2 2 3 2 2" xfId="3406" xr:uid="{00000000-0005-0000-0000-0000010D0000}"/>
    <cellStyle name="표준 46 2 2 3 2 2 2" xfId="3735" xr:uid="{00000000-0005-0000-0000-0000020D0000}"/>
    <cellStyle name="표준 46 2 2 3 2 3" xfId="3515" xr:uid="{00000000-0005-0000-0000-0000030D0000}"/>
    <cellStyle name="표준 46 2 2 3 2 3 2" xfId="3844" xr:uid="{00000000-0005-0000-0000-0000040D0000}"/>
    <cellStyle name="표준 46 2 2 3 2 4" xfId="3627" xr:uid="{00000000-0005-0000-0000-0000050D0000}"/>
    <cellStyle name="표준 46 2 2 3 3" xfId="3352" xr:uid="{00000000-0005-0000-0000-0000060D0000}"/>
    <cellStyle name="표준 46 2 2 3 3 2" xfId="3681" xr:uid="{00000000-0005-0000-0000-0000070D0000}"/>
    <cellStyle name="표준 46 2 2 3 4" xfId="3461" xr:uid="{00000000-0005-0000-0000-0000080D0000}"/>
    <cellStyle name="표준 46 2 2 3 4 2" xfId="3790" xr:uid="{00000000-0005-0000-0000-0000090D0000}"/>
    <cellStyle name="표준 46 2 2 3 5" xfId="3573" xr:uid="{00000000-0005-0000-0000-00000A0D0000}"/>
    <cellStyle name="표준 46 2 2 4" xfId="3257" xr:uid="{00000000-0005-0000-0000-00000B0D0000}"/>
    <cellStyle name="표준 46 2 2 4 2" xfId="3369" xr:uid="{00000000-0005-0000-0000-00000C0D0000}"/>
    <cellStyle name="표준 46 2 2 4 2 2" xfId="3698" xr:uid="{00000000-0005-0000-0000-00000D0D0000}"/>
    <cellStyle name="표준 46 2 2 4 3" xfId="3478" xr:uid="{00000000-0005-0000-0000-00000E0D0000}"/>
    <cellStyle name="표준 46 2 2 4 3 2" xfId="3807" xr:uid="{00000000-0005-0000-0000-00000F0D0000}"/>
    <cellStyle name="표준 46 2 2 4 4" xfId="3590" xr:uid="{00000000-0005-0000-0000-0000100D0000}"/>
    <cellStyle name="표준 46 2 2 5" xfId="3315" xr:uid="{00000000-0005-0000-0000-0000110D0000}"/>
    <cellStyle name="표준 46 2 2 5 2" xfId="3644" xr:uid="{00000000-0005-0000-0000-0000120D0000}"/>
    <cellStyle name="표준 46 2 2 6" xfId="3424" xr:uid="{00000000-0005-0000-0000-0000130D0000}"/>
    <cellStyle name="표준 46 2 2 6 2" xfId="3753" xr:uid="{00000000-0005-0000-0000-0000140D0000}"/>
    <cellStyle name="표준 46 2 2 7" xfId="3536" xr:uid="{00000000-0005-0000-0000-0000150D0000}"/>
    <cellStyle name="표준 46 2 3" xfId="3204" xr:uid="{00000000-0005-0000-0000-0000160D0000}"/>
    <cellStyle name="표준 46 2 3 2" xfId="3264" xr:uid="{00000000-0005-0000-0000-0000170D0000}"/>
    <cellStyle name="표준 46 2 3 2 2" xfId="3376" xr:uid="{00000000-0005-0000-0000-0000180D0000}"/>
    <cellStyle name="표준 46 2 3 2 2 2" xfId="3705" xr:uid="{00000000-0005-0000-0000-0000190D0000}"/>
    <cellStyle name="표준 46 2 3 2 3" xfId="3485" xr:uid="{00000000-0005-0000-0000-00001A0D0000}"/>
    <cellStyle name="표준 46 2 3 2 3 2" xfId="3814" xr:uid="{00000000-0005-0000-0000-00001B0D0000}"/>
    <cellStyle name="표준 46 2 3 2 4" xfId="3597" xr:uid="{00000000-0005-0000-0000-00001C0D0000}"/>
    <cellStyle name="표준 46 2 3 3" xfId="3322" xr:uid="{00000000-0005-0000-0000-00001D0D0000}"/>
    <cellStyle name="표준 46 2 3 3 2" xfId="3651" xr:uid="{00000000-0005-0000-0000-00001E0D0000}"/>
    <cellStyle name="표준 46 2 3 4" xfId="3431" xr:uid="{00000000-0005-0000-0000-00001F0D0000}"/>
    <cellStyle name="표준 46 2 3 4 2" xfId="3760" xr:uid="{00000000-0005-0000-0000-0000200D0000}"/>
    <cellStyle name="표준 46 2 3 5" xfId="3543" xr:uid="{00000000-0005-0000-0000-0000210D0000}"/>
    <cellStyle name="표준 46 2 4" xfId="3226" xr:uid="{00000000-0005-0000-0000-0000220D0000}"/>
    <cellStyle name="표준 46 2 4 2" xfId="3284" xr:uid="{00000000-0005-0000-0000-0000230D0000}"/>
    <cellStyle name="표준 46 2 4 2 2" xfId="3396" xr:uid="{00000000-0005-0000-0000-0000240D0000}"/>
    <cellStyle name="표준 46 2 4 2 2 2" xfId="3725" xr:uid="{00000000-0005-0000-0000-0000250D0000}"/>
    <cellStyle name="표준 46 2 4 2 3" xfId="3505" xr:uid="{00000000-0005-0000-0000-0000260D0000}"/>
    <cellStyle name="표준 46 2 4 2 3 2" xfId="3834" xr:uid="{00000000-0005-0000-0000-0000270D0000}"/>
    <cellStyle name="표준 46 2 4 2 4" xfId="3617" xr:uid="{00000000-0005-0000-0000-0000280D0000}"/>
    <cellStyle name="표준 46 2 4 3" xfId="3342" xr:uid="{00000000-0005-0000-0000-0000290D0000}"/>
    <cellStyle name="표준 46 2 4 3 2" xfId="3671" xr:uid="{00000000-0005-0000-0000-00002A0D0000}"/>
    <cellStyle name="표준 46 2 4 4" xfId="3451" xr:uid="{00000000-0005-0000-0000-00002B0D0000}"/>
    <cellStyle name="표준 46 2 4 4 2" xfId="3780" xr:uid="{00000000-0005-0000-0000-00002C0D0000}"/>
    <cellStyle name="표준 46 2 4 5" xfId="3563" xr:uid="{00000000-0005-0000-0000-00002D0D0000}"/>
    <cellStyle name="표준 46 2 5" xfId="3247" xr:uid="{00000000-0005-0000-0000-00002E0D0000}"/>
    <cellStyle name="표준 46 2 5 2" xfId="3359" xr:uid="{00000000-0005-0000-0000-00002F0D0000}"/>
    <cellStyle name="표준 46 2 5 2 2" xfId="3688" xr:uid="{00000000-0005-0000-0000-0000300D0000}"/>
    <cellStyle name="표준 46 2 5 3" xfId="3468" xr:uid="{00000000-0005-0000-0000-0000310D0000}"/>
    <cellStyle name="표준 46 2 5 3 2" xfId="3797" xr:uid="{00000000-0005-0000-0000-0000320D0000}"/>
    <cellStyle name="표준 46 2 5 4" xfId="3580" xr:uid="{00000000-0005-0000-0000-0000330D0000}"/>
    <cellStyle name="표준 46 2 6" xfId="3305" xr:uid="{00000000-0005-0000-0000-0000340D0000}"/>
    <cellStyle name="표준 46 2 6 2" xfId="3634" xr:uid="{00000000-0005-0000-0000-0000350D0000}"/>
    <cellStyle name="표준 46 2 7" xfId="3414" xr:uid="{00000000-0005-0000-0000-0000360D0000}"/>
    <cellStyle name="표준 46 2 7 2" xfId="3743" xr:uid="{00000000-0005-0000-0000-0000370D0000}"/>
    <cellStyle name="표준 46 2 8" xfId="3526" xr:uid="{00000000-0005-0000-0000-0000380D0000}"/>
    <cellStyle name="표준 46 3" xfId="3189" xr:uid="{00000000-0005-0000-0000-0000390D0000}"/>
    <cellStyle name="표준 46 3 2" xfId="3210" xr:uid="{00000000-0005-0000-0000-00003A0D0000}"/>
    <cellStyle name="표준 46 3 2 2" xfId="3270" xr:uid="{00000000-0005-0000-0000-00003B0D0000}"/>
    <cellStyle name="표준 46 3 2 2 2" xfId="3382" xr:uid="{00000000-0005-0000-0000-00003C0D0000}"/>
    <cellStyle name="표준 46 3 2 2 2 2" xfId="3711" xr:uid="{00000000-0005-0000-0000-00003D0D0000}"/>
    <cellStyle name="표준 46 3 2 2 3" xfId="3491" xr:uid="{00000000-0005-0000-0000-00003E0D0000}"/>
    <cellStyle name="표준 46 3 2 2 3 2" xfId="3820" xr:uid="{00000000-0005-0000-0000-00003F0D0000}"/>
    <cellStyle name="표준 46 3 2 2 4" xfId="3603" xr:uid="{00000000-0005-0000-0000-0000400D0000}"/>
    <cellStyle name="표준 46 3 2 3" xfId="3328" xr:uid="{00000000-0005-0000-0000-0000410D0000}"/>
    <cellStyle name="표준 46 3 2 3 2" xfId="3657" xr:uid="{00000000-0005-0000-0000-0000420D0000}"/>
    <cellStyle name="표준 46 3 2 4" xfId="3437" xr:uid="{00000000-0005-0000-0000-0000430D0000}"/>
    <cellStyle name="표준 46 3 2 4 2" xfId="3766" xr:uid="{00000000-0005-0000-0000-0000440D0000}"/>
    <cellStyle name="표준 46 3 2 5" xfId="3549" xr:uid="{00000000-0005-0000-0000-0000450D0000}"/>
    <cellStyle name="표준 46 3 3" xfId="3232" xr:uid="{00000000-0005-0000-0000-0000460D0000}"/>
    <cellStyle name="표준 46 3 3 2" xfId="3290" xr:uid="{00000000-0005-0000-0000-0000470D0000}"/>
    <cellStyle name="표준 46 3 3 2 2" xfId="3402" xr:uid="{00000000-0005-0000-0000-0000480D0000}"/>
    <cellStyle name="표준 46 3 3 2 2 2" xfId="3731" xr:uid="{00000000-0005-0000-0000-0000490D0000}"/>
    <cellStyle name="표준 46 3 3 2 3" xfId="3511" xr:uid="{00000000-0005-0000-0000-00004A0D0000}"/>
    <cellStyle name="표준 46 3 3 2 3 2" xfId="3840" xr:uid="{00000000-0005-0000-0000-00004B0D0000}"/>
    <cellStyle name="표준 46 3 3 2 4" xfId="3623" xr:uid="{00000000-0005-0000-0000-00004C0D0000}"/>
    <cellStyle name="표준 46 3 3 3" xfId="3348" xr:uid="{00000000-0005-0000-0000-00004D0D0000}"/>
    <cellStyle name="표준 46 3 3 3 2" xfId="3677" xr:uid="{00000000-0005-0000-0000-00004E0D0000}"/>
    <cellStyle name="표준 46 3 3 4" xfId="3457" xr:uid="{00000000-0005-0000-0000-00004F0D0000}"/>
    <cellStyle name="표준 46 3 3 4 2" xfId="3786" xr:uid="{00000000-0005-0000-0000-0000500D0000}"/>
    <cellStyle name="표준 46 3 3 5" xfId="3569" xr:uid="{00000000-0005-0000-0000-0000510D0000}"/>
    <cellStyle name="표준 46 3 4" xfId="3253" xr:uid="{00000000-0005-0000-0000-0000520D0000}"/>
    <cellStyle name="표준 46 3 4 2" xfId="3365" xr:uid="{00000000-0005-0000-0000-0000530D0000}"/>
    <cellStyle name="표준 46 3 4 2 2" xfId="3694" xr:uid="{00000000-0005-0000-0000-0000540D0000}"/>
    <cellStyle name="표준 46 3 4 3" xfId="3474" xr:uid="{00000000-0005-0000-0000-0000550D0000}"/>
    <cellStyle name="표준 46 3 4 3 2" xfId="3803" xr:uid="{00000000-0005-0000-0000-0000560D0000}"/>
    <cellStyle name="표준 46 3 4 4" xfId="3586" xr:uid="{00000000-0005-0000-0000-0000570D0000}"/>
    <cellStyle name="표준 46 3 5" xfId="3311" xr:uid="{00000000-0005-0000-0000-0000580D0000}"/>
    <cellStyle name="표준 46 3 5 2" xfId="3640" xr:uid="{00000000-0005-0000-0000-0000590D0000}"/>
    <cellStyle name="표준 46 3 6" xfId="3420" xr:uid="{00000000-0005-0000-0000-00005A0D0000}"/>
    <cellStyle name="표준 46 3 6 2" xfId="3749" xr:uid="{00000000-0005-0000-0000-00005B0D0000}"/>
    <cellStyle name="표준 46 3 7" xfId="3532" xr:uid="{00000000-0005-0000-0000-00005C0D0000}"/>
    <cellStyle name="표준 46 4" xfId="3200" xr:uid="{00000000-0005-0000-0000-00005D0D0000}"/>
    <cellStyle name="표준 46 4 2" xfId="3260" xr:uid="{00000000-0005-0000-0000-00005E0D0000}"/>
    <cellStyle name="표준 46 4 2 2" xfId="3372" xr:uid="{00000000-0005-0000-0000-00005F0D0000}"/>
    <cellStyle name="표준 46 4 2 2 2" xfId="3701" xr:uid="{00000000-0005-0000-0000-0000600D0000}"/>
    <cellStyle name="표준 46 4 2 3" xfId="3481" xr:uid="{00000000-0005-0000-0000-0000610D0000}"/>
    <cellStyle name="표준 46 4 2 3 2" xfId="3810" xr:uid="{00000000-0005-0000-0000-0000620D0000}"/>
    <cellStyle name="표준 46 4 2 4" xfId="3593" xr:uid="{00000000-0005-0000-0000-0000630D0000}"/>
    <cellStyle name="표준 46 4 3" xfId="3318" xr:uid="{00000000-0005-0000-0000-0000640D0000}"/>
    <cellStyle name="표준 46 4 3 2" xfId="3647" xr:uid="{00000000-0005-0000-0000-0000650D0000}"/>
    <cellStyle name="표준 46 4 4" xfId="3427" xr:uid="{00000000-0005-0000-0000-0000660D0000}"/>
    <cellStyle name="표준 46 4 4 2" xfId="3756" xr:uid="{00000000-0005-0000-0000-0000670D0000}"/>
    <cellStyle name="표준 46 4 5" xfId="3539" xr:uid="{00000000-0005-0000-0000-0000680D0000}"/>
    <cellStyle name="표준 46 5" xfId="3222" xr:uid="{00000000-0005-0000-0000-0000690D0000}"/>
    <cellStyle name="표준 46 5 2" xfId="3280" xr:uid="{00000000-0005-0000-0000-00006A0D0000}"/>
    <cellStyle name="표준 46 5 2 2" xfId="3392" xr:uid="{00000000-0005-0000-0000-00006B0D0000}"/>
    <cellStyle name="표준 46 5 2 2 2" xfId="3721" xr:uid="{00000000-0005-0000-0000-00006C0D0000}"/>
    <cellStyle name="표준 46 5 2 3" xfId="3501" xr:uid="{00000000-0005-0000-0000-00006D0D0000}"/>
    <cellStyle name="표준 46 5 2 3 2" xfId="3830" xr:uid="{00000000-0005-0000-0000-00006E0D0000}"/>
    <cellStyle name="표준 46 5 2 4" xfId="3613" xr:uid="{00000000-0005-0000-0000-00006F0D0000}"/>
    <cellStyle name="표준 46 5 3" xfId="3338" xr:uid="{00000000-0005-0000-0000-0000700D0000}"/>
    <cellStyle name="표준 46 5 3 2" xfId="3667" xr:uid="{00000000-0005-0000-0000-0000710D0000}"/>
    <cellStyle name="표준 46 5 4" xfId="3447" xr:uid="{00000000-0005-0000-0000-0000720D0000}"/>
    <cellStyle name="표준 46 5 4 2" xfId="3776" xr:uid="{00000000-0005-0000-0000-0000730D0000}"/>
    <cellStyle name="표준 46 5 5" xfId="3559" xr:uid="{00000000-0005-0000-0000-0000740D0000}"/>
    <cellStyle name="표준 46 6" xfId="3243" xr:uid="{00000000-0005-0000-0000-0000750D0000}"/>
    <cellStyle name="표준 46 6 2" xfId="3355" xr:uid="{00000000-0005-0000-0000-0000760D0000}"/>
    <cellStyle name="표준 46 6 2 2" xfId="3684" xr:uid="{00000000-0005-0000-0000-0000770D0000}"/>
    <cellStyle name="표준 46 6 3" xfId="3464" xr:uid="{00000000-0005-0000-0000-0000780D0000}"/>
    <cellStyle name="표준 46 6 3 2" xfId="3793" xr:uid="{00000000-0005-0000-0000-0000790D0000}"/>
    <cellStyle name="표준 46 6 4" xfId="3576" xr:uid="{00000000-0005-0000-0000-00007A0D0000}"/>
    <cellStyle name="표준 46 7" xfId="3301" xr:uid="{00000000-0005-0000-0000-00007B0D0000}"/>
    <cellStyle name="표준 46 7 2" xfId="3630" xr:uid="{00000000-0005-0000-0000-00007C0D0000}"/>
    <cellStyle name="표준 46 8" xfId="3410" xr:uid="{00000000-0005-0000-0000-00007D0D0000}"/>
    <cellStyle name="표준 46 8 2" xfId="3739" xr:uid="{00000000-0005-0000-0000-00007E0D0000}"/>
    <cellStyle name="표준 46 9" xfId="3522" xr:uid="{00000000-0005-0000-0000-00007F0D0000}"/>
    <cellStyle name="표준 47" xfId="3127" xr:uid="{00000000-0005-0000-0000-0000800D0000}"/>
    <cellStyle name="표준 48" xfId="3071" xr:uid="{00000000-0005-0000-0000-0000810D0000}"/>
    <cellStyle name="표준 49" xfId="3170" xr:uid="{00000000-0005-0000-0000-0000820D0000}"/>
    <cellStyle name="표준 5" xfId="3072" xr:uid="{00000000-0005-0000-0000-0000830D0000}"/>
    <cellStyle name="표준 5 2" xfId="3073" xr:uid="{00000000-0005-0000-0000-0000840D0000}"/>
    <cellStyle name="표준 5 3" xfId="3074" xr:uid="{00000000-0005-0000-0000-0000850D0000}"/>
    <cellStyle name="표준 5 4" xfId="3075" xr:uid="{00000000-0005-0000-0000-0000860D0000}"/>
    <cellStyle name="표준 5 5" xfId="3076" xr:uid="{00000000-0005-0000-0000-0000870D0000}"/>
    <cellStyle name="표준 5 6" xfId="3077" xr:uid="{00000000-0005-0000-0000-0000880D0000}"/>
    <cellStyle name="표준 5 7" xfId="3078" xr:uid="{00000000-0005-0000-0000-0000890D0000}"/>
    <cellStyle name="표준 5 8" xfId="3079" xr:uid="{00000000-0005-0000-0000-00008A0D0000}"/>
    <cellStyle name="표준 5 9" xfId="3080" xr:uid="{00000000-0005-0000-0000-00008B0D0000}"/>
    <cellStyle name="표준 50" xfId="3081" xr:uid="{00000000-0005-0000-0000-00008C0D0000}"/>
    <cellStyle name="표준 51" xfId="3082" xr:uid="{00000000-0005-0000-0000-00008D0D0000}"/>
    <cellStyle name="표준 52" xfId="3083" xr:uid="{00000000-0005-0000-0000-00008E0D0000}"/>
    <cellStyle name="표준 52 2" xfId="3084" xr:uid="{00000000-0005-0000-0000-00008F0D0000}"/>
    <cellStyle name="표준 52 3" xfId="3085" xr:uid="{00000000-0005-0000-0000-0000900D0000}"/>
    <cellStyle name="표준 52 4" xfId="3086" xr:uid="{00000000-0005-0000-0000-0000910D0000}"/>
    <cellStyle name="표준 52 5" xfId="3087" xr:uid="{00000000-0005-0000-0000-0000920D0000}"/>
    <cellStyle name="표준 52 6" xfId="3088" xr:uid="{00000000-0005-0000-0000-0000930D0000}"/>
    <cellStyle name="표준 52 7" xfId="3089" xr:uid="{00000000-0005-0000-0000-0000940D0000}"/>
    <cellStyle name="표준 53" xfId="3171" xr:uid="{00000000-0005-0000-0000-0000950D0000}"/>
    <cellStyle name="표준 54" xfId="3173" xr:uid="{00000000-0005-0000-0000-0000960D0000}"/>
    <cellStyle name="표준 55" xfId="3172" xr:uid="{00000000-0005-0000-0000-0000970D0000}"/>
    <cellStyle name="표준 55 2" xfId="3190" xr:uid="{00000000-0005-0000-0000-0000980D0000}"/>
    <cellStyle name="표준 55 2 2" xfId="3211" xr:uid="{00000000-0005-0000-0000-0000990D0000}"/>
    <cellStyle name="표준 55 2 2 2" xfId="3271" xr:uid="{00000000-0005-0000-0000-00009A0D0000}"/>
    <cellStyle name="표준 55 2 2 2 2" xfId="3383" xr:uid="{00000000-0005-0000-0000-00009B0D0000}"/>
    <cellStyle name="표준 55 2 2 2 2 2" xfId="3712" xr:uid="{00000000-0005-0000-0000-00009C0D0000}"/>
    <cellStyle name="표준 55 2 2 2 3" xfId="3492" xr:uid="{00000000-0005-0000-0000-00009D0D0000}"/>
    <cellStyle name="표준 55 2 2 2 3 2" xfId="3821" xr:uid="{00000000-0005-0000-0000-00009E0D0000}"/>
    <cellStyle name="표준 55 2 2 2 4" xfId="3604" xr:uid="{00000000-0005-0000-0000-00009F0D0000}"/>
    <cellStyle name="표준 55 2 2 3" xfId="3329" xr:uid="{00000000-0005-0000-0000-0000A00D0000}"/>
    <cellStyle name="표준 55 2 2 3 2" xfId="3658" xr:uid="{00000000-0005-0000-0000-0000A10D0000}"/>
    <cellStyle name="표준 55 2 2 4" xfId="3438" xr:uid="{00000000-0005-0000-0000-0000A20D0000}"/>
    <cellStyle name="표준 55 2 2 4 2" xfId="3767" xr:uid="{00000000-0005-0000-0000-0000A30D0000}"/>
    <cellStyle name="표준 55 2 2 5" xfId="3550" xr:uid="{00000000-0005-0000-0000-0000A40D0000}"/>
    <cellStyle name="표준 55 2 3" xfId="3233" xr:uid="{00000000-0005-0000-0000-0000A50D0000}"/>
    <cellStyle name="표준 55 2 3 2" xfId="3291" xr:uid="{00000000-0005-0000-0000-0000A60D0000}"/>
    <cellStyle name="표준 55 2 3 2 2" xfId="3403" xr:uid="{00000000-0005-0000-0000-0000A70D0000}"/>
    <cellStyle name="표준 55 2 3 2 2 2" xfId="3732" xr:uid="{00000000-0005-0000-0000-0000A80D0000}"/>
    <cellStyle name="표준 55 2 3 2 3" xfId="3512" xr:uid="{00000000-0005-0000-0000-0000A90D0000}"/>
    <cellStyle name="표준 55 2 3 2 3 2" xfId="3841" xr:uid="{00000000-0005-0000-0000-0000AA0D0000}"/>
    <cellStyle name="표준 55 2 3 2 4" xfId="3624" xr:uid="{00000000-0005-0000-0000-0000AB0D0000}"/>
    <cellStyle name="표준 55 2 3 3" xfId="3349" xr:uid="{00000000-0005-0000-0000-0000AC0D0000}"/>
    <cellStyle name="표준 55 2 3 3 2" xfId="3678" xr:uid="{00000000-0005-0000-0000-0000AD0D0000}"/>
    <cellStyle name="표준 55 2 3 4" xfId="3458" xr:uid="{00000000-0005-0000-0000-0000AE0D0000}"/>
    <cellStyle name="표준 55 2 3 4 2" xfId="3787" xr:uid="{00000000-0005-0000-0000-0000AF0D0000}"/>
    <cellStyle name="표준 55 2 3 5" xfId="3570" xr:uid="{00000000-0005-0000-0000-0000B00D0000}"/>
    <cellStyle name="표준 55 2 4" xfId="3254" xr:uid="{00000000-0005-0000-0000-0000B10D0000}"/>
    <cellStyle name="표준 55 2 4 2" xfId="3366" xr:uid="{00000000-0005-0000-0000-0000B20D0000}"/>
    <cellStyle name="표준 55 2 4 2 2" xfId="3695" xr:uid="{00000000-0005-0000-0000-0000B30D0000}"/>
    <cellStyle name="표준 55 2 4 3" xfId="3475" xr:uid="{00000000-0005-0000-0000-0000B40D0000}"/>
    <cellStyle name="표준 55 2 4 3 2" xfId="3804" xr:uid="{00000000-0005-0000-0000-0000B50D0000}"/>
    <cellStyle name="표준 55 2 4 4" xfId="3587" xr:uid="{00000000-0005-0000-0000-0000B60D0000}"/>
    <cellStyle name="표준 55 2 5" xfId="3312" xr:uid="{00000000-0005-0000-0000-0000B70D0000}"/>
    <cellStyle name="표준 55 2 5 2" xfId="3641" xr:uid="{00000000-0005-0000-0000-0000B80D0000}"/>
    <cellStyle name="표준 55 2 6" xfId="3421" xr:uid="{00000000-0005-0000-0000-0000B90D0000}"/>
    <cellStyle name="표준 55 2 6 2" xfId="3750" xr:uid="{00000000-0005-0000-0000-0000BA0D0000}"/>
    <cellStyle name="표준 55 2 7" xfId="3533" xr:uid="{00000000-0005-0000-0000-0000BB0D0000}"/>
    <cellStyle name="표준 55 3" xfId="3201" xr:uid="{00000000-0005-0000-0000-0000BC0D0000}"/>
    <cellStyle name="표준 55 3 2" xfId="3261" xr:uid="{00000000-0005-0000-0000-0000BD0D0000}"/>
    <cellStyle name="표준 55 3 2 2" xfId="3373" xr:uid="{00000000-0005-0000-0000-0000BE0D0000}"/>
    <cellStyle name="표준 55 3 2 2 2" xfId="3702" xr:uid="{00000000-0005-0000-0000-0000BF0D0000}"/>
    <cellStyle name="표준 55 3 2 3" xfId="3482" xr:uid="{00000000-0005-0000-0000-0000C00D0000}"/>
    <cellStyle name="표준 55 3 2 3 2" xfId="3811" xr:uid="{00000000-0005-0000-0000-0000C10D0000}"/>
    <cellStyle name="표준 55 3 2 4" xfId="3594" xr:uid="{00000000-0005-0000-0000-0000C20D0000}"/>
    <cellStyle name="표준 55 3 3" xfId="3319" xr:uid="{00000000-0005-0000-0000-0000C30D0000}"/>
    <cellStyle name="표준 55 3 3 2" xfId="3648" xr:uid="{00000000-0005-0000-0000-0000C40D0000}"/>
    <cellStyle name="표준 55 3 4" xfId="3428" xr:uid="{00000000-0005-0000-0000-0000C50D0000}"/>
    <cellStyle name="표준 55 3 4 2" xfId="3757" xr:uid="{00000000-0005-0000-0000-0000C60D0000}"/>
    <cellStyle name="표준 55 3 5" xfId="3540" xr:uid="{00000000-0005-0000-0000-0000C70D0000}"/>
    <cellStyle name="표준 55 4" xfId="3223" xr:uid="{00000000-0005-0000-0000-0000C80D0000}"/>
    <cellStyle name="표준 55 4 2" xfId="3281" xr:uid="{00000000-0005-0000-0000-0000C90D0000}"/>
    <cellStyle name="표준 55 4 2 2" xfId="3393" xr:uid="{00000000-0005-0000-0000-0000CA0D0000}"/>
    <cellStyle name="표준 55 4 2 2 2" xfId="3722" xr:uid="{00000000-0005-0000-0000-0000CB0D0000}"/>
    <cellStyle name="표준 55 4 2 3" xfId="3502" xr:uid="{00000000-0005-0000-0000-0000CC0D0000}"/>
    <cellStyle name="표준 55 4 2 3 2" xfId="3831" xr:uid="{00000000-0005-0000-0000-0000CD0D0000}"/>
    <cellStyle name="표준 55 4 2 4" xfId="3614" xr:uid="{00000000-0005-0000-0000-0000CE0D0000}"/>
    <cellStyle name="표준 55 4 3" xfId="3339" xr:uid="{00000000-0005-0000-0000-0000CF0D0000}"/>
    <cellStyle name="표준 55 4 3 2" xfId="3668" xr:uid="{00000000-0005-0000-0000-0000D00D0000}"/>
    <cellStyle name="표준 55 4 4" xfId="3448" xr:uid="{00000000-0005-0000-0000-0000D10D0000}"/>
    <cellStyle name="표준 55 4 4 2" xfId="3777" xr:uid="{00000000-0005-0000-0000-0000D20D0000}"/>
    <cellStyle name="표준 55 4 5" xfId="3560" xr:uid="{00000000-0005-0000-0000-0000D30D0000}"/>
    <cellStyle name="표준 55 5" xfId="3244" xr:uid="{00000000-0005-0000-0000-0000D40D0000}"/>
    <cellStyle name="표준 55 5 2" xfId="3356" xr:uid="{00000000-0005-0000-0000-0000D50D0000}"/>
    <cellStyle name="표준 55 5 2 2" xfId="3685" xr:uid="{00000000-0005-0000-0000-0000D60D0000}"/>
    <cellStyle name="표준 55 5 3" xfId="3465" xr:uid="{00000000-0005-0000-0000-0000D70D0000}"/>
    <cellStyle name="표준 55 5 3 2" xfId="3794" xr:uid="{00000000-0005-0000-0000-0000D80D0000}"/>
    <cellStyle name="표준 55 5 4" xfId="3577" xr:uid="{00000000-0005-0000-0000-0000D90D0000}"/>
    <cellStyle name="표준 55 6" xfId="3302" xr:uid="{00000000-0005-0000-0000-0000DA0D0000}"/>
    <cellStyle name="표준 55 6 2" xfId="3631" xr:uid="{00000000-0005-0000-0000-0000DB0D0000}"/>
    <cellStyle name="표준 55 7" xfId="3411" xr:uid="{00000000-0005-0000-0000-0000DC0D0000}"/>
    <cellStyle name="표준 55 7 2" xfId="3740" xr:uid="{00000000-0005-0000-0000-0000DD0D0000}"/>
    <cellStyle name="표준 55 8" xfId="3523" xr:uid="{00000000-0005-0000-0000-0000DE0D0000}"/>
    <cellStyle name="표준 56" xfId="3177" xr:uid="{00000000-0005-0000-0000-0000DF0D0000}"/>
    <cellStyle name="표준 56 2" xfId="3191" xr:uid="{00000000-0005-0000-0000-0000E00D0000}"/>
    <cellStyle name="표준 56 2 2" xfId="3212" xr:uid="{00000000-0005-0000-0000-0000E10D0000}"/>
    <cellStyle name="표준 56 2 2 2" xfId="3272" xr:uid="{00000000-0005-0000-0000-0000E20D0000}"/>
    <cellStyle name="표준 56 2 2 2 2" xfId="3384" xr:uid="{00000000-0005-0000-0000-0000E30D0000}"/>
    <cellStyle name="표준 56 2 2 2 2 2" xfId="3713" xr:uid="{00000000-0005-0000-0000-0000E40D0000}"/>
    <cellStyle name="표준 56 2 2 2 3" xfId="3493" xr:uid="{00000000-0005-0000-0000-0000E50D0000}"/>
    <cellStyle name="표준 56 2 2 2 3 2" xfId="3822" xr:uid="{00000000-0005-0000-0000-0000E60D0000}"/>
    <cellStyle name="표준 56 2 2 2 4" xfId="3605" xr:uid="{00000000-0005-0000-0000-0000E70D0000}"/>
    <cellStyle name="표준 56 2 2 3" xfId="3330" xr:uid="{00000000-0005-0000-0000-0000E80D0000}"/>
    <cellStyle name="표준 56 2 2 3 2" xfId="3659" xr:uid="{00000000-0005-0000-0000-0000E90D0000}"/>
    <cellStyle name="표준 56 2 2 4" xfId="3439" xr:uid="{00000000-0005-0000-0000-0000EA0D0000}"/>
    <cellStyle name="표준 56 2 2 4 2" xfId="3768" xr:uid="{00000000-0005-0000-0000-0000EB0D0000}"/>
    <cellStyle name="표준 56 2 2 5" xfId="3551" xr:uid="{00000000-0005-0000-0000-0000EC0D0000}"/>
    <cellStyle name="표준 56 2 3" xfId="3234" xr:uid="{00000000-0005-0000-0000-0000ED0D0000}"/>
    <cellStyle name="표준 56 2 3 2" xfId="3292" xr:uid="{00000000-0005-0000-0000-0000EE0D0000}"/>
    <cellStyle name="표준 56 2 3 2 2" xfId="3404" xr:uid="{00000000-0005-0000-0000-0000EF0D0000}"/>
    <cellStyle name="표준 56 2 3 2 2 2" xfId="3733" xr:uid="{00000000-0005-0000-0000-0000F00D0000}"/>
    <cellStyle name="표준 56 2 3 2 3" xfId="3513" xr:uid="{00000000-0005-0000-0000-0000F10D0000}"/>
    <cellStyle name="표준 56 2 3 2 3 2" xfId="3842" xr:uid="{00000000-0005-0000-0000-0000F20D0000}"/>
    <cellStyle name="표준 56 2 3 2 4" xfId="3625" xr:uid="{00000000-0005-0000-0000-0000F30D0000}"/>
    <cellStyle name="표준 56 2 3 3" xfId="3350" xr:uid="{00000000-0005-0000-0000-0000F40D0000}"/>
    <cellStyle name="표준 56 2 3 3 2" xfId="3679" xr:uid="{00000000-0005-0000-0000-0000F50D0000}"/>
    <cellStyle name="표준 56 2 3 4" xfId="3459" xr:uid="{00000000-0005-0000-0000-0000F60D0000}"/>
    <cellStyle name="표준 56 2 3 4 2" xfId="3788" xr:uid="{00000000-0005-0000-0000-0000F70D0000}"/>
    <cellStyle name="표준 56 2 3 5" xfId="3571" xr:uid="{00000000-0005-0000-0000-0000F80D0000}"/>
    <cellStyle name="표준 56 2 4" xfId="3255" xr:uid="{00000000-0005-0000-0000-0000F90D0000}"/>
    <cellStyle name="표준 56 2 4 2" xfId="3367" xr:uid="{00000000-0005-0000-0000-0000FA0D0000}"/>
    <cellStyle name="표준 56 2 4 2 2" xfId="3696" xr:uid="{00000000-0005-0000-0000-0000FB0D0000}"/>
    <cellStyle name="표준 56 2 4 3" xfId="3476" xr:uid="{00000000-0005-0000-0000-0000FC0D0000}"/>
    <cellStyle name="표준 56 2 4 3 2" xfId="3805" xr:uid="{00000000-0005-0000-0000-0000FD0D0000}"/>
    <cellStyle name="표준 56 2 4 4" xfId="3588" xr:uid="{00000000-0005-0000-0000-0000FE0D0000}"/>
    <cellStyle name="표준 56 2 5" xfId="3313" xr:uid="{00000000-0005-0000-0000-0000FF0D0000}"/>
    <cellStyle name="표준 56 2 5 2" xfId="3642" xr:uid="{00000000-0005-0000-0000-0000000E0000}"/>
    <cellStyle name="표준 56 2 6" xfId="3422" xr:uid="{00000000-0005-0000-0000-0000010E0000}"/>
    <cellStyle name="표준 56 2 6 2" xfId="3751" xr:uid="{00000000-0005-0000-0000-0000020E0000}"/>
    <cellStyle name="표준 56 2 7" xfId="3534" xr:uid="{00000000-0005-0000-0000-0000030E0000}"/>
    <cellStyle name="표준 56 3" xfId="3202" xr:uid="{00000000-0005-0000-0000-0000040E0000}"/>
    <cellStyle name="표준 56 3 2" xfId="3262" xr:uid="{00000000-0005-0000-0000-0000050E0000}"/>
    <cellStyle name="표준 56 3 2 2" xfId="3374" xr:uid="{00000000-0005-0000-0000-0000060E0000}"/>
    <cellStyle name="표준 56 3 2 2 2" xfId="3703" xr:uid="{00000000-0005-0000-0000-0000070E0000}"/>
    <cellStyle name="표준 56 3 2 3" xfId="3483" xr:uid="{00000000-0005-0000-0000-0000080E0000}"/>
    <cellStyle name="표준 56 3 2 3 2" xfId="3812" xr:uid="{00000000-0005-0000-0000-0000090E0000}"/>
    <cellStyle name="표준 56 3 2 4" xfId="3595" xr:uid="{00000000-0005-0000-0000-00000A0E0000}"/>
    <cellStyle name="표준 56 3 3" xfId="3320" xr:uid="{00000000-0005-0000-0000-00000B0E0000}"/>
    <cellStyle name="표준 56 3 3 2" xfId="3649" xr:uid="{00000000-0005-0000-0000-00000C0E0000}"/>
    <cellStyle name="표준 56 3 4" xfId="3429" xr:uid="{00000000-0005-0000-0000-00000D0E0000}"/>
    <cellStyle name="표준 56 3 4 2" xfId="3758" xr:uid="{00000000-0005-0000-0000-00000E0E0000}"/>
    <cellStyle name="표준 56 3 5" xfId="3541" xr:uid="{00000000-0005-0000-0000-00000F0E0000}"/>
    <cellStyle name="표준 56 4" xfId="3224" xr:uid="{00000000-0005-0000-0000-0000100E0000}"/>
    <cellStyle name="표준 56 4 2" xfId="3282" xr:uid="{00000000-0005-0000-0000-0000110E0000}"/>
    <cellStyle name="표준 56 4 2 2" xfId="3394" xr:uid="{00000000-0005-0000-0000-0000120E0000}"/>
    <cellStyle name="표준 56 4 2 2 2" xfId="3723" xr:uid="{00000000-0005-0000-0000-0000130E0000}"/>
    <cellStyle name="표준 56 4 2 3" xfId="3503" xr:uid="{00000000-0005-0000-0000-0000140E0000}"/>
    <cellStyle name="표준 56 4 2 3 2" xfId="3832" xr:uid="{00000000-0005-0000-0000-0000150E0000}"/>
    <cellStyle name="표준 56 4 2 4" xfId="3615" xr:uid="{00000000-0005-0000-0000-0000160E0000}"/>
    <cellStyle name="표준 56 4 3" xfId="3340" xr:uid="{00000000-0005-0000-0000-0000170E0000}"/>
    <cellStyle name="표준 56 4 3 2" xfId="3669" xr:uid="{00000000-0005-0000-0000-0000180E0000}"/>
    <cellStyle name="표준 56 4 4" xfId="3449" xr:uid="{00000000-0005-0000-0000-0000190E0000}"/>
    <cellStyle name="표준 56 4 4 2" xfId="3778" xr:uid="{00000000-0005-0000-0000-00001A0E0000}"/>
    <cellStyle name="표준 56 4 5" xfId="3561" xr:uid="{00000000-0005-0000-0000-00001B0E0000}"/>
    <cellStyle name="표준 56 5" xfId="3245" xr:uid="{00000000-0005-0000-0000-00001C0E0000}"/>
    <cellStyle name="표준 56 5 2" xfId="3357" xr:uid="{00000000-0005-0000-0000-00001D0E0000}"/>
    <cellStyle name="표준 56 5 2 2" xfId="3686" xr:uid="{00000000-0005-0000-0000-00001E0E0000}"/>
    <cellStyle name="표준 56 5 3" xfId="3466" xr:uid="{00000000-0005-0000-0000-00001F0E0000}"/>
    <cellStyle name="표준 56 5 3 2" xfId="3795" xr:uid="{00000000-0005-0000-0000-0000200E0000}"/>
    <cellStyle name="표준 56 5 4" xfId="3578" xr:uid="{00000000-0005-0000-0000-0000210E0000}"/>
    <cellStyle name="표준 56 6" xfId="3303" xr:uid="{00000000-0005-0000-0000-0000220E0000}"/>
    <cellStyle name="표준 56 6 2" xfId="3632" xr:uid="{00000000-0005-0000-0000-0000230E0000}"/>
    <cellStyle name="표준 56 7" xfId="3412" xr:uid="{00000000-0005-0000-0000-0000240E0000}"/>
    <cellStyle name="표준 56 7 2" xfId="3741" xr:uid="{00000000-0005-0000-0000-0000250E0000}"/>
    <cellStyle name="표준 56 8" xfId="3524" xr:uid="{00000000-0005-0000-0000-0000260E0000}"/>
    <cellStyle name="표준 57" xfId="3181" xr:uid="{00000000-0005-0000-0000-0000270E0000}"/>
    <cellStyle name="표준 58" xfId="3180" xr:uid="{00000000-0005-0000-0000-0000280E0000}"/>
    <cellStyle name="표준 58 2" xfId="3205" xr:uid="{00000000-0005-0000-0000-0000290E0000}"/>
    <cellStyle name="표준 58 2 2" xfId="3265" xr:uid="{00000000-0005-0000-0000-00002A0E0000}"/>
    <cellStyle name="표준 58 2 2 2" xfId="3377" xr:uid="{00000000-0005-0000-0000-00002B0E0000}"/>
    <cellStyle name="표준 58 2 2 2 2" xfId="3706" xr:uid="{00000000-0005-0000-0000-00002C0E0000}"/>
    <cellStyle name="표준 58 2 2 3" xfId="3486" xr:uid="{00000000-0005-0000-0000-00002D0E0000}"/>
    <cellStyle name="표준 58 2 2 3 2" xfId="3815" xr:uid="{00000000-0005-0000-0000-00002E0E0000}"/>
    <cellStyle name="표준 58 2 2 4" xfId="3598" xr:uid="{00000000-0005-0000-0000-00002F0E0000}"/>
    <cellStyle name="표준 58 2 3" xfId="3323" xr:uid="{00000000-0005-0000-0000-0000300E0000}"/>
    <cellStyle name="표준 58 2 3 2" xfId="3652" xr:uid="{00000000-0005-0000-0000-0000310E0000}"/>
    <cellStyle name="표준 58 2 4" xfId="3432" xr:uid="{00000000-0005-0000-0000-0000320E0000}"/>
    <cellStyle name="표준 58 2 4 2" xfId="3761" xr:uid="{00000000-0005-0000-0000-0000330E0000}"/>
    <cellStyle name="표준 58 2 5" xfId="3544" xr:uid="{00000000-0005-0000-0000-0000340E0000}"/>
    <cellStyle name="표준 58 3" xfId="3227" xr:uid="{00000000-0005-0000-0000-0000350E0000}"/>
    <cellStyle name="표준 58 3 2" xfId="3285" xr:uid="{00000000-0005-0000-0000-0000360E0000}"/>
    <cellStyle name="표준 58 3 2 2" xfId="3397" xr:uid="{00000000-0005-0000-0000-0000370E0000}"/>
    <cellStyle name="표준 58 3 2 2 2" xfId="3726" xr:uid="{00000000-0005-0000-0000-0000380E0000}"/>
    <cellStyle name="표준 58 3 2 3" xfId="3506" xr:uid="{00000000-0005-0000-0000-0000390E0000}"/>
    <cellStyle name="표준 58 3 2 3 2" xfId="3835" xr:uid="{00000000-0005-0000-0000-00003A0E0000}"/>
    <cellStyle name="표준 58 3 2 4" xfId="3618" xr:uid="{00000000-0005-0000-0000-00003B0E0000}"/>
    <cellStyle name="표준 58 3 3" xfId="3343" xr:uid="{00000000-0005-0000-0000-00003C0E0000}"/>
    <cellStyle name="표준 58 3 3 2" xfId="3672" xr:uid="{00000000-0005-0000-0000-00003D0E0000}"/>
    <cellStyle name="표준 58 3 4" xfId="3452" xr:uid="{00000000-0005-0000-0000-00003E0E0000}"/>
    <cellStyle name="표준 58 3 4 2" xfId="3781" xr:uid="{00000000-0005-0000-0000-00003F0E0000}"/>
    <cellStyle name="표준 58 3 5" xfId="3564" xr:uid="{00000000-0005-0000-0000-0000400E0000}"/>
    <cellStyle name="표준 58 4" xfId="3248" xr:uid="{00000000-0005-0000-0000-0000410E0000}"/>
    <cellStyle name="표준 58 4 2" xfId="3360" xr:uid="{00000000-0005-0000-0000-0000420E0000}"/>
    <cellStyle name="표준 58 4 2 2" xfId="3689" xr:uid="{00000000-0005-0000-0000-0000430E0000}"/>
    <cellStyle name="표준 58 4 3" xfId="3469" xr:uid="{00000000-0005-0000-0000-0000440E0000}"/>
    <cellStyle name="표준 58 4 3 2" xfId="3798" xr:uid="{00000000-0005-0000-0000-0000450E0000}"/>
    <cellStyle name="표준 58 4 4" xfId="3581" xr:uid="{00000000-0005-0000-0000-0000460E0000}"/>
    <cellStyle name="표준 58 5" xfId="3306" xr:uid="{00000000-0005-0000-0000-0000470E0000}"/>
    <cellStyle name="표준 58 5 2" xfId="3635" xr:uid="{00000000-0005-0000-0000-0000480E0000}"/>
    <cellStyle name="표준 58 6" xfId="3415" xr:uid="{00000000-0005-0000-0000-0000490E0000}"/>
    <cellStyle name="표준 58 6 2" xfId="3744" xr:uid="{00000000-0005-0000-0000-00004A0E0000}"/>
    <cellStyle name="표준 58 7" xfId="3527" xr:uid="{00000000-0005-0000-0000-00004B0E0000}"/>
    <cellStyle name="표준 59" xfId="3187" xr:uid="{00000000-0005-0000-0000-00004C0E0000}"/>
    <cellStyle name="표준 59 2" xfId="3208" xr:uid="{00000000-0005-0000-0000-00004D0E0000}"/>
    <cellStyle name="표준 59 2 2" xfId="3268" xr:uid="{00000000-0005-0000-0000-00004E0E0000}"/>
    <cellStyle name="표준 59 2 2 2" xfId="3380" xr:uid="{00000000-0005-0000-0000-00004F0E0000}"/>
    <cellStyle name="표준 59 2 2 2 2" xfId="3709" xr:uid="{00000000-0005-0000-0000-0000500E0000}"/>
    <cellStyle name="표준 59 2 2 3" xfId="3489" xr:uid="{00000000-0005-0000-0000-0000510E0000}"/>
    <cellStyle name="표준 59 2 2 3 2" xfId="3818" xr:uid="{00000000-0005-0000-0000-0000520E0000}"/>
    <cellStyle name="표준 59 2 2 4" xfId="3601" xr:uid="{00000000-0005-0000-0000-0000530E0000}"/>
    <cellStyle name="표준 59 2 3" xfId="3326" xr:uid="{00000000-0005-0000-0000-0000540E0000}"/>
    <cellStyle name="표준 59 2 3 2" xfId="3655" xr:uid="{00000000-0005-0000-0000-0000550E0000}"/>
    <cellStyle name="표준 59 2 4" xfId="3435" xr:uid="{00000000-0005-0000-0000-0000560E0000}"/>
    <cellStyle name="표준 59 2 4 2" xfId="3764" xr:uid="{00000000-0005-0000-0000-0000570E0000}"/>
    <cellStyle name="표준 59 2 5" xfId="3547" xr:uid="{00000000-0005-0000-0000-0000580E0000}"/>
    <cellStyle name="표준 59 3" xfId="3230" xr:uid="{00000000-0005-0000-0000-0000590E0000}"/>
    <cellStyle name="표준 59 3 2" xfId="3288" xr:uid="{00000000-0005-0000-0000-00005A0E0000}"/>
    <cellStyle name="표준 59 3 2 2" xfId="3400" xr:uid="{00000000-0005-0000-0000-00005B0E0000}"/>
    <cellStyle name="표준 59 3 2 2 2" xfId="3729" xr:uid="{00000000-0005-0000-0000-00005C0E0000}"/>
    <cellStyle name="표준 59 3 2 3" xfId="3509" xr:uid="{00000000-0005-0000-0000-00005D0E0000}"/>
    <cellStyle name="표준 59 3 2 3 2" xfId="3838" xr:uid="{00000000-0005-0000-0000-00005E0E0000}"/>
    <cellStyle name="표준 59 3 2 4" xfId="3621" xr:uid="{00000000-0005-0000-0000-00005F0E0000}"/>
    <cellStyle name="표준 59 3 3" xfId="3346" xr:uid="{00000000-0005-0000-0000-0000600E0000}"/>
    <cellStyle name="표준 59 3 3 2" xfId="3675" xr:uid="{00000000-0005-0000-0000-0000610E0000}"/>
    <cellStyle name="표준 59 3 4" xfId="3455" xr:uid="{00000000-0005-0000-0000-0000620E0000}"/>
    <cellStyle name="표준 59 3 4 2" xfId="3784" xr:uid="{00000000-0005-0000-0000-0000630E0000}"/>
    <cellStyle name="표준 59 3 5" xfId="3567" xr:uid="{00000000-0005-0000-0000-0000640E0000}"/>
    <cellStyle name="표준 59 4" xfId="3251" xr:uid="{00000000-0005-0000-0000-0000650E0000}"/>
    <cellStyle name="표준 59 4 2" xfId="3363" xr:uid="{00000000-0005-0000-0000-0000660E0000}"/>
    <cellStyle name="표준 59 4 2 2" xfId="3692" xr:uid="{00000000-0005-0000-0000-0000670E0000}"/>
    <cellStyle name="표준 59 4 3" xfId="3472" xr:uid="{00000000-0005-0000-0000-0000680E0000}"/>
    <cellStyle name="표준 59 4 3 2" xfId="3801" xr:uid="{00000000-0005-0000-0000-0000690E0000}"/>
    <cellStyle name="표준 59 4 4" xfId="3584" xr:uid="{00000000-0005-0000-0000-00006A0E0000}"/>
    <cellStyle name="표준 59 5" xfId="3309" xr:uid="{00000000-0005-0000-0000-00006B0E0000}"/>
    <cellStyle name="표준 59 5 2" xfId="3638" xr:uid="{00000000-0005-0000-0000-00006C0E0000}"/>
    <cellStyle name="표준 59 6" xfId="3418" xr:uid="{00000000-0005-0000-0000-00006D0E0000}"/>
    <cellStyle name="표준 59 6 2" xfId="3747" xr:uid="{00000000-0005-0000-0000-00006E0E0000}"/>
    <cellStyle name="표준 59 7" xfId="3530" xr:uid="{00000000-0005-0000-0000-00006F0E0000}"/>
    <cellStyle name="표준 6" xfId="3090" xr:uid="{00000000-0005-0000-0000-0000700E0000}"/>
    <cellStyle name="표준 6 2" xfId="3091" xr:uid="{00000000-0005-0000-0000-0000710E0000}"/>
    <cellStyle name="표준 60" xfId="3182" xr:uid="{00000000-0005-0000-0000-0000720E0000}"/>
    <cellStyle name="표준 60 2" xfId="3206" xr:uid="{00000000-0005-0000-0000-0000730E0000}"/>
    <cellStyle name="표준 60 2 2" xfId="3266" xr:uid="{00000000-0005-0000-0000-0000740E0000}"/>
    <cellStyle name="표준 60 2 2 2" xfId="3378" xr:uid="{00000000-0005-0000-0000-0000750E0000}"/>
    <cellStyle name="표준 60 2 2 2 2" xfId="3707" xr:uid="{00000000-0005-0000-0000-0000760E0000}"/>
    <cellStyle name="표준 60 2 2 3" xfId="3487" xr:uid="{00000000-0005-0000-0000-0000770E0000}"/>
    <cellStyle name="표준 60 2 2 3 2" xfId="3816" xr:uid="{00000000-0005-0000-0000-0000780E0000}"/>
    <cellStyle name="표준 60 2 2 4" xfId="3599" xr:uid="{00000000-0005-0000-0000-0000790E0000}"/>
    <cellStyle name="표준 60 2 3" xfId="3324" xr:uid="{00000000-0005-0000-0000-00007A0E0000}"/>
    <cellStyle name="표준 60 2 3 2" xfId="3653" xr:uid="{00000000-0005-0000-0000-00007B0E0000}"/>
    <cellStyle name="표준 60 2 4" xfId="3433" xr:uid="{00000000-0005-0000-0000-00007C0E0000}"/>
    <cellStyle name="표준 60 2 4 2" xfId="3762" xr:uid="{00000000-0005-0000-0000-00007D0E0000}"/>
    <cellStyle name="표준 60 2 5" xfId="3545" xr:uid="{00000000-0005-0000-0000-00007E0E0000}"/>
    <cellStyle name="표준 60 3" xfId="3228" xr:uid="{00000000-0005-0000-0000-00007F0E0000}"/>
    <cellStyle name="표준 60 3 2" xfId="3286" xr:uid="{00000000-0005-0000-0000-0000800E0000}"/>
    <cellStyle name="표준 60 3 2 2" xfId="3398" xr:uid="{00000000-0005-0000-0000-0000810E0000}"/>
    <cellStyle name="표준 60 3 2 2 2" xfId="3727" xr:uid="{00000000-0005-0000-0000-0000820E0000}"/>
    <cellStyle name="표준 60 3 2 3" xfId="3507" xr:uid="{00000000-0005-0000-0000-0000830E0000}"/>
    <cellStyle name="표준 60 3 2 3 2" xfId="3836" xr:uid="{00000000-0005-0000-0000-0000840E0000}"/>
    <cellStyle name="표준 60 3 2 4" xfId="3619" xr:uid="{00000000-0005-0000-0000-0000850E0000}"/>
    <cellStyle name="표준 60 3 3" xfId="3344" xr:uid="{00000000-0005-0000-0000-0000860E0000}"/>
    <cellStyle name="표준 60 3 3 2" xfId="3673" xr:uid="{00000000-0005-0000-0000-0000870E0000}"/>
    <cellStyle name="표준 60 3 4" xfId="3453" xr:uid="{00000000-0005-0000-0000-0000880E0000}"/>
    <cellStyle name="표준 60 3 4 2" xfId="3782" xr:uid="{00000000-0005-0000-0000-0000890E0000}"/>
    <cellStyle name="표준 60 3 5" xfId="3565" xr:uid="{00000000-0005-0000-0000-00008A0E0000}"/>
    <cellStyle name="표준 60 4" xfId="3249" xr:uid="{00000000-0005-0000-0000-00008B0E0000}"/>
    <cellStyle name="표준 60 4 2" xfId="3361" xr:uid="{00000000-0005-0000-0000-00008C0E0000}"/>
    <cellStyle name="표준 60 4 2 2" xfId="3690" xr:uid="{00000000-0005-0000-0000-00008D0E0000}"/>
    <cellStyle name="표준 60 4 3" xfId="3470" xr:uid="{00000000-0005-0000-0000-00008E0E0000}"/>
    <cellStyle name="표준 60 4 3 2" xfId="3799" xr:uid="{00000000-0005-0000-0000-00008F0E0000}"/>
    <cellStyle name="표준 60 4 4" xfId="3582" xr:uid="{00000000-0005-0000-0000-0000900E0000}"/>
    <cellStyle name="표준 60 5" xfId="3307" xr:uid="{00000000-0005-0000-0000-0000910E0000}"/>
    <cellStyle name="표준 60 5 2" xfId="3636" xr:uid="{00000000-0005-0000-0000-0000920E0000}"/>
    <cellStyle name="표준 60 6" xfId="3416" xr:uid="{00000000-0005-0000-0000-0000930E0000}"/>
    <cellStyle name="표준 60 6 2" xfId="3745" xr:uid="{00000000-0005-0000-0000-0000940E0000}"/>
    <cellStyle name="표준 60 7" xfId="3528" xr:uid="{00000000-0005-0000-0000-0000950E0000}"/>
    <cellStyle name="표준 61" xfId="3186" xr:uid="{00000000-0005-0000-0000-0000960E0000}"/>
    <cellStyle name="표준 61 2" xfId="3207" xr:uid="{00000000-0005-0000-0000-0000970E0000}"/>
    <cellStyle name="표준 61 2 2" xfId="3267" xr:uid="{00000000-0005-0000-0000-0000980E0000}"/>
    <cellStyle name="표준 61 2 2 2" xfId="3379" xr:uid="{00000000-0005-0000-0000-0000990E0000}"/>
    <cellStyle name="표준 61 2 2 2 2" xfId="3708" xr:uid="{00000000-0005-0000-0000-00009A0E0000}"/>
    <cellStyle name="표준 61 2 2 3" xfId="3488" xr:uid="{00000000-0005-0000-0000-00009B0E0000}"/>
    <cellStyle name="표준 61 2 2 3 2" xfId="3817" xr:uid="{00000000-0005-0000-0000-00009C0E0000}"/>
    <cellStyle name="표준 61 2 2 4" xfId="3600" xr:uid="{00000000-0005-0000-0000-00009D0E0000}"/>
    <cellStyle name="표준 61 2 3" xfId="3325" xr:uid="{00000000-0005-0000-0000-00009E0E0000}"/>
    <cellStyle name="표준 61 2 3 2" xfId="3654" xr:uid="{00000000-0005-0000-0000-00009F0E0000}"/>
    <cellStyle name="표준 61 2 4" xfId="3434" xr:uid="{00000000-0005-0000-0000-0000A00E0000}"/>
    <cellStyle name="표준 61 2 4 2" xfId="3763" xr:uid="{00000000-0005-0000-0000-0000A10E0000}"/>
    <cellStyle name="표준 61 2 5" xfId="3546" xr:uid="{00000000-0005-0000-0000-0000A20E0000}"/>
    <cellStyle name="표준 61 3" xfId="3229" xr:uid="{00000000-0005-0000-0000-0000A30E0000}"/>
    <cellStyle name="표준 61 3 2" xfId="3287" xr:uid="{00000000-0005-0000-0000-0000A40E0000}"/>
    <cellStyle name="표준 61 3 2 2" xfId="3399" xr:uid="{00000000-0005-0000-0000-0000A50E0000}"/>
    <cellStyle name="표준 61 3 2 2 2" xfId="3728" xr:uid="{00000000-0005-0000-0000-0000A60E0000}"/>
    <cellStyle name="표준 61 3 2 3" xfId="3508" xr:uid="{00000000-0005-0000-0000-0000A70E0000}"/>
    <cellStyle name="표준 61 3 2 3 2" xfId="3837" xr:uid="{00000000-0005-0000-0000-0000A80E0000}"/>
    <cellStyle name="표준 61 3 2 4" xfId="3620" xr:uid="{00000000-0005-0000-0000-0000A90E0000}"/>
    <cellStyle name="표준 61 3 3" xfId="3345" xr:uid="{00000000-0005-0000-0000-0000AA0E0000}"/>
    <cellStyle name="표준 61 3 3 2" xfId="3674" xr:uid="{00000000-0005-0000-0000-0000AB0E0000}"/>
    <cellStyle name="표준 61 3 4" xfId="3454" xr:uid="{00000000-0005-0000-0000-0000AC0E0000}"/>
    <cellStyle name="표준 61 3 4 2" xfId="3783" xr:uid="{00000000-0005-0000-0000-0000AD0E0000}"/>
    <cellStyle name="표준 61 3 5" xfId="3566" xr:uid="{00000000-0005-0000-0000-0000AE0E0000}"/>
    <cellStyle name="표준 61 4" xfId="3250" xr:uid="{00000000-0005-0000-0000-0000AF0E0000}"/>
    <cellStyle name="표준 61 4 2" xfId="3362" xr:uid="{00000000-0005-0000-0000-0000B00E0000}"/>
    <cellStyle name="표준 61 4 2 2" xfId="3691" xr:uid="{00000000-0005-0000-0000-0000B10E0000}"/>
    <cellStyle name="표준 61 4 3" xfId="3471" xr:uid="{00000000-0005-0000-0000-0000B20E0000}"/>
    <cellStyle name="표준 61 4 3 2" xfId="3800" xr:uid="{00000000-0005-0000-0000-0000B30E0000}"/>
    <cellStyle name="표준 61 4 4" xfId="3583" xr:uid="{00000000-0005-0000-0000-0000B40E0000}"/>
    <cellStyle name="표준 61 5" xfId="3308" xr:uid="{00000000-0005-0000-0000-0000B50E0000}"/>
    <cellStyle name="표준 61 5 2" xfId="3637" xr:uid="{00000000-0005-0000-0000-0000B60E0000}"/>
    <cellStyle name="표준 61 6" xfId="3417" xr:uid="{00000000-0005-0000-0000-0000B70E0000}"/>
    <cellStyle name="표준 61 6 2" xfId="3746" xr:uid="{00000000-0005-0000-0000-0000B80E0000}"/>
    <cellStyle name="표준 61 7" xfId="3529" xr:uid="{00000000-0005-0000-0000-0000B90E0000}"/>
    <cellStyle name="표준 62" xfId="3195" xr:uid="{00000000-0005-0000-0000-0000BA0E0000}"/>
    <cellStyle name="표준 63" xfId="3194" xr:uid="{00000000-0005-0000-0000-0000BB0E0000}"/>
    <cellStyle name="표준 63 2" xfId="3258" xr:uid="{00000000-0005-0000-0000-0000BC0E0000}"/>
    <cellStyle name="표준 63 2 2" xfId="3370" xr:uid="{00000000-0005-0000-0000-0000BD0E0000}"/>
    <cellStyle name="표준 63 2 2 2" xfId="3699" xr:uid="{00000000-0005-0000-0000-0000BE0E0000}"/>
    <cellStyle name="표준 63 2 3" xfId="3479" xr:uid="{00000000-0005-0000-0000-0000BF0E0000}"/>
    <cellStyle name="표준 63 2 3 2" xfId="3808" xr:uid="{00000000-0005-0000-0000-0000C00E0000}"/>
    <cellStyle name="표준 63 2 4" xfId="3591" xr:uid="{00000000-0005-0000-0000-0000C10E0000}"/>
    <cellStyle name="표준 63 3" xfId="3316" xr:uid="{00000000-0005-0000-0000-0000C20E0000}"/>
    <cellStyle name="표준 63 3 2" xfId="3645" xr:uid="{00000000-0005-0000-0000-0000C30E0000}"/>
    <cellStyle name="표준 63 4" xfId="3425" xr:uid="{00000000-0005-0000-0000-0000C40E0000}"/>
    <cellStyle name="표준 63 4 2" xfId="3754" xr:uid="{00000000-0005-0000-0000-0000C50E0000}"/>
    <cellStyle name="표준 63 5" xfId="3537" xr:uid="{00000000-0005-0000-0000-0000C60E0000}"/>
    <cellStyle name="표준 64" xfId="3215" xr:uid="{00000000-0005-0000-0000-0000C70E0000}"/>
    <cellStyle name="표준 64 2" xfId="3275" xr:uid="{00000000-0005-0000-0000-0000C80E0000}"/>
    <cellStyle name="표준 64 2 2" xfId="3387" xr:uid="{00000000-0005-0000-0000-0000C90E0000}"/>
    <cellStyle name="표준 64 2 2 2" xfId="3716" xr:uid="{00000000-0005-0000-0000-0000CA0E0000}"/>
    <cellStyle name="표준 64 2 3" xfId="3496" xr:uid="{00000000-0005-0000-0000-0000CB0E0000}"/>
    <cellStyle name="표준 64 2 3 2" xfId="3825" xr:uid="{00000000-0005-0000-0000-0000CC0E0000}"/>
    <cellStyle name="표준 64 2 4" xfId="3608" xr:uid="{00000000-0005-0000-0000-0000CD0E0000}"/>
    <cellStyle name="표준 64 3" xfId="3333" xr:uid="{00000000-0005-0000-0000-0000CE0E0000}"/>
    <cellStyle name="표준 64 3 2" xfId="3662" xr:uid="{00000000-0005-0000-0000-0000CF0E0000}"/>
    <cellStyle name="표준 64 4" xfId="3442" xr:uid="{00000000-0005-0000-0000-0000D00E0000}"/>
    <cellStyle name="표준 64 4 2" xfId="3771" xr:uid="{00000000-0005-0000-0000-0000D10E0000}"/>
    <cellStyle name="표준 64 5" xfId="3554" xr:uid="{00000000-0005-0000-0000-0000D20E0000}"/>
    <cellStyle name="표준 65" xfId="3220" xr:uid="{00000000-0005-0000-0000-0000D30E0000}"/>
    <cellStyle name="표준 65 2" xfId="3278" xr:uid="{00000000-0005-0000-0000-0000D40E0000}"/>
    <cellStyle name="표준 65 2 2" xfId="3390" xr:uid="{00000000-0005-0000-0000-0000D50E0000}"/>
    <cellStyle name="표준 65 2 2 2" xfId="3719" xr:uid="{00000000-0005-0000-0000-0000D60E0000}"/>
    <cellStyle name="표준 65 2 3" xfId="3499" xr:uid="{00000000-0005-0000-0000-0000D70E0000}"/>
    <cellStyle name="표준 65 2 3 2" xfId="3828" xr:uid="{00000000-0005-0000-0000-0000D80E0000}"/>
    <cellStyle name="표준 65 2 4" xfId="3611" xr:uid="{00000000-0005-0000-0000-0000D90E0000}"/>
    <cellStyle name="표준 65 3" xfId="3336" xr:uid="{00000000-0005-0000-0000-0000DA0E0000}"/>
    <cellStyle name="표준 65 3 2" xfId="3665" xr:uid="{00000000-0005-0000-0000-0000DB0E0000}"/>
    <cellStyle name="표준 65 4" xfId="3445" xr:uid="{00000000-0005-0000-0000-0000DC0E0000}"/>
    <cellStyle name="표준 65 4 2" xfId="3774" xr:uid="{00000000-0005-0000-0000-0000DD0E0000}"/>
    <cellStyle name="표준 65 5" xfId="3557" xr:uid="{00000000-0005-0000-0000-0000DE0E0000}"/>
    <cellStyle name="표준 66" xfId="3238" xr:uid="{00000000-0005-0000-0000-0000DF0E0000}"/>
    <cellStyle name="표준 67" xfId="3237" xr:uid="{00000000-0005-0000-0000-0000E00E0000}"/>
    <cellStyle name="표준 67 2" xfId="3353" xr:uid="{00000000-0005-0000-0000-0000E10E0000}"/>
    <cellStyle name="표준 67 2 2" xfId="3682" xr:uid="{00000000-0005-0000-0000-0000E20E0000}"/>
    <cellStyle name="표준 67 3" xfId="3462" xr:uid="{00000000-0005-0000-0000-0000E30E0000}"/>
    <cellStyle name="표준 67 3 2" xfId="3791" xr:uid="{00000000-0005-0000-0000-0000E40E0000}"/>
    <cellStyle name="표준 67 4" xfId="3574" xr:uid="{00000000-0005-0000-0000-0000E50E0000}"/>
    <cellStyle name="표준 68" xfId="3296" xr:uid="{00000000-0005-0000-0000-0000E60E0000}"/>
    <cellStyle name="표준 69" xfId="3295" xr:uid="{00000000-0005-0000-0000-0000E70E0000}"/>
    <cellStyle name="표준 69 2" xfId="3628" xr:uid="{00000000-0005-0000-0000-0000E80E0000}"/>
    <cellStyle name="표준 7" xfId="3092" xr:uid="{00000000-0005-0000-0000-0000E90E0000}"/>
    <cellStyle name="표준 7 2" xfId="3093" xr:uid="{00000000-0005-0000-0000-0000EA0E0000}"/>
    <cellStyle name="표준 7 3" xfId="3094" xr:uid="{00000000-0005-0000-0000-0000EB0E0000}"/>
    <cellStyle name="표준 7 4" xfId="3095" xr:uid="{00000000-0005-0000-0000-0000EC0E0000}"/>
    <cellStyle name="표준 7 5" xfId="3096" xr:uid="{00000000-0005-0000-0000-0000ED0E0000}"/>
    <cellStyle name="표준 7 6" xfId="3097" xr:uid="{00000000-0005-0000-0000-0000EE0E0000}"/>
    <cellStyle name="표준 7 7" xfId="3098" xr:uid="{00000000-0005-0000-0000-0000EF0E0000}"/>
    <cellStyle name="표준 70" xfId="3407" xr:uid="{00000000-0005-0000-0000-0000F00E0000}"/>
    <cellStyle name="표준 70 2" xfId="3736" xr:uid="{00000000-0005-0000-0000-0000F10E0000}"/>
    <cellStyle name="표준 71" xfId="3408" xr:uid="{00000000-0005-0000-0000-0000F20E0000}"/>
    <cellStyle name="표준 71 2" xfId="3737" xr:uid="{00000000-0005-0000-0000-0000F30E0000}"/>
    <cellStyle name="표준 72" xfId="3517" xr:uid="{00000000-0005-0000-0000-0000F40E0000}"/>
    <cellStyle name="표준 73" xfId="3516" xr:uid="{00000000-0005-0000-0000-0000F50E0000}"/>
    <cellStyle name="표준 74" xfId="9" xr:uid="{00000000-0005-0000-0000-0000F60E0000}"/>
    <cellStyle name="표준 8" xfId="3099" xr:uid="{00000000-0005-0000-0000-0000F70E0000}"/>
    <cellStyle name="표준 8 2" xfId="3100" xr:uid="{00000000-0005-0000-0000-0000F80E0000}"/>
    <cellStyle name="표준 8 3" xfId="3101" xr:uid="{00000000-0005-0000-0000-0000F90E0000}"/>
    <cellStyle name="표준 8 4" xfId="3102" xr:uid="{00000000-0005-0000-0000-0000FA0E0000}"/>
    <cellStyle name="표준 9" xfId="3113" xr:uid="{00000000-0005-0000-0000-0000FB0E0000}"/>
    <cellStyle name="표준 9 2" xfId="3103" xr:uid="{00000000-0005-0000-0000-0000FC0E0000}"/>
    <cellStyle name="표준 9 3" xfId="3104" xr:uid="{00000000-0005-0000-0000-0000FD0E0000}"/>
    <cellStyle name="표준 9 4" xfId="3105" xr:uid="{00000000-0005-0000-0000-0000FE0E0000}"/>
    <cellStyle name="표준 9 5" xfId="3106" xr:uid="{00000000-0005-0000-0000-0000FF0E0000}"/>
    <cellStyle name="표준 9 6" xfId="3107" xr:uid="{00000000-0005-0000-0000-0000000F0000}"/>
    <cellStyle name="표준 9 7" xfId="3108" xr:uid="{00000000-0005-0000-0000-0000010F0000}"/>
    <cellStyle name="표준 9 8" xfId="3109" xr:uid="{00000000-0005-0000-0000-0000020F0000}"/>
    <cellStyle name="標準_Sheet1" xfId="3110" xr:uid="{00000000-0005-0000-0000-0000030F0000}"/>
    <cellStyle name="桁区切り 15" xfId="3111" xr:uid="{00000000-0005-0000-0000-0000040F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'01'!$D$6:$D$31</c:f>
              <c:strCache>
                <c:ptCount val="26"/>
                <c:pt idx="0">
                  <c:v>ADAPTER</c:v>
                </c:pt>
                <c:pt idx="1">
                  <c:v>ADAPTER</c:v>
                </c:pt>
                <c:pt idx="2">
                  <c:v>SLIDER</c:v>
                </c:pt>
                <c:pt idx="4">
                  <c:v>COVER</c:v>
                </c:pt>
                <c:pt idx="5">
                  <c:v>LATCH</c:v>
                </c:pt>
                <c:pt idx="6">
                  <c:v>ADAPTER</c:v>
                </c:pt>
                <c:pt idx="7">
                  <c:v>BASE</c:v>
                </c:pt>
                <c:pt idx="8">
                  <c:v>TOP</c:v>
                </c:pt>
                <c:pt idx="9">
                  <c:v>TOP</c:v>
                </c:pt>
                <c:pt idx="10">
                  <c:v>BASE</c:v>
                </c:pt>
                <c:pt idx="11">
                  <c:v>ADAPTER</c:v>
                </c:pt>
                <c:pt idx="13">
                  <c:v>COVER</c:v>
                </c:pt>
                <c:pt idx="14">
                  <c:v>BASE</c:v>
                </c:pt>
                <c:pt idx="15">
                  <c:v>BASE</c:v>
                </c:pt>
                <c:pt idx="16">
                  <c:v>BASE</c:v>
                </c:pt>
                <c:pt idx="17">
                  <c:v>BASE</c:v>
                </c:pt>
                <c:pt idx="22">
                  <c:v>LEAD GUIDER</c:v>
                </c:pt>
                <c:pt idx="23">
                  <c:v>SLIDER</c:v>
                </c:pt>
                <c:pt idx="24">
                  <c:v>COVER</c:v>
                </c:pt>
                <c:pt idx="25">
                  <c:v>BASE</c:v>
                </c:pt>
              </c:strCache>
            </c:strRef>
          </c:cat>
          <c:val>
            <c:numRef>
              <c:f>'01'!$L$6:$L$31</c:f>
              <c:numCache>
                <c:formatCode>_(* #,##0_);_(* \(#,##0\);_(* "-"_);_(@_)</c:formatCode>
                <c:ptCount val="26"/>
                <c:pt idx="1">
                  <c:v>11518</c:v>
                </c:pt>
                <c:pt idx="2">
                  <c:v>11780</c:v>
                </c:pt>
                <c:pt idx="3">
                  <c:v>9554</c:v>
                </c:pt>
                <c:pt idx="4">
                  <c:v>5338</c:v>
                </c:pt>
                <c:pt idx="5">
                  <c:v>2822</c:v>
                </c:pt>
                <c:pt idx="6">
                  <c:v>2203</c:v>
                </c:pt>
                <c:pt idx="7">
                  <c:v>5547</c:v>
                </c:pt>
                <c:pt idx="8">
                  <c:v>1100</c:v>
                </c:pt>
                <c:pt idx="9">
                  <c:v>846</c:v>
                </c:pt>
                <c:pt idx="10">
                  <c:v>391</c:v>
                </c:pt>
                <c:pt idx="12">
                  <c:v>10788</c:v>
                </c:pt>
                <c:pt idx="13">
                  <c:v>21252</c:v>
                </c:pt>
                <c:pt idx="14">
                  <c:v>3888</c:v>
                </c:pt>
                <c:pt idx="15">
                  <c:v>9112</c:v>
                </c:pt>
                <c:pt idx="16">
                  <c:v>3176</c:v>
                </c:pt>
                <c:pt idx="17">
                  <c:v>10988</c:v>
                </c:pt>
                <c:pt idx="18">
                  <c:v>27376</c:v>
                </c:pt>
                <c:pt idx="19">
                  <c:v>29876</c:v>
                </c:pt>
                <c:pt idx="20">
                  <c:v>353460</c:v>
                </c:pt>
                <c:pt idx="22">
                  <c:v>29324</c:v>
                </c:pt>
                <c:pt idx="23">
                  <c:v>28600</c:v>
                </c:pt>
                <c:pt idx="25">
                  <c:v>19566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F-4310-B293-FC4DF6AAC0C5}"/>
            </c:ext>
          </c:extLst>
        </c:ser>
        <c:ser>
          <c:idx val="1"/>
          <c:order val="1"/>
          <c:tx>
            <c:v>계획</c:v>
          </c:tx>
          <c:cat>
            <c:strRef>
              <c:f>'01'!$D$6:$D$31</c:f>
              <c:strCache>
                <c:ptCount val="26"/>
                <c:pt idx="0">
                  <c:v>ADAPTER</c:v>
                </c:pt>
                <c:pt idx="1">
                  <c:v>ADAPTER</c:v>
                </c:pt>
                <c:pt idx="2">
                  <c:v>SLIDER</c:v>
                </c:pt>
                <c:pt idx="4">
                  <c:v>COVER</c:v>
                </c:pt>
                <c:pt idx="5">
                  <c:v>LATCH</c:v>
                </c:pt>
                <c:pt idx="6">
                  <c:v>ADAPTER</c:v>
                </c:pt>
                <c:pt idx="7">
                  <c:v>BASE</c:v>
                </c:pt>
                <c:pt idx="8">
                  <c:v>TOP</c:v>
                </c:pt>
                <c:pt idx="9">
                  <c:v>TOP</c:v>
                </c:pt>
                <c:pt idx="10">
                  <c:v>BASE</c:v>
                </c:pt>
                <c:pt idx="11">
                  <c:v>ADAPTER</c:v>
                </c:pt>
                <c:pt idx="13">
                  <c:v>COVER</c:v>
                </c:pt>
                <c:pt idx="14">
                  <c:v>BASE</c:v>
                </c:pt>
                <c:pt idx="15">
                  <c:v>BASE</c:v>
                </c:pt>
                <c:pt idx="16">
                  <c:v>BASE</c:v>
                </c:pt>
                <c:pt idx="17">
                  <c:v>BASE</c:v>
                </c:pt>
                <c:pt idx="22">
                  <c:v>LEAD GUIDER</c:v>
                </c:pt>
                <c:pt idx="23">
                  <c:v>SLIDER</c:v>
                </c:pt>
                <c:pt idx="24">
                  <c:v>COVER</c:v>
                </c:pt>
                <c:pt idx="25">
                  <c:v>BASE</c:v>
                </c:pt>
              </c:strCache>
            </c:strRef>
          </c:cat>
          <c:val>
            <c:numRef>
              <c:f>'01'!$J$6:$J$31</c:f>
              <c:numCache>
                <c:formatCode>_(* #,##0_);_(* \(#,##0\);_(* "-"_);_(@_)</c:formatCode>
                <c:ptCount val="26"/>
                <c:pt idx="0">
                  <c:v>2771</c:v>
                </c:pt>
                <c:pt idx="1">
                  <c:v>11518</c:v>
                </c:pt>
                <c:pt idx="2">
                  <c:v>11780</c:v>
                </c:pt>
                <c:pt idx="3">
                  <c:v>9554</c:v>
                </c:pt>
                <c:pt idx="4">
                  <c:v>5338</c:v>
                </c:pt>
                <c:pt idx="5">
                  <c:v>2822</c:v>
                </c:pt>
                <c:pt idx="6">
                  <c:v>2203</c:v>
                </c:pt>
                <c:pt idx="7">
                  <c:v>5547</c:v>
                </c:pt>
                <c:pt idx="8">
                  <c:v>1100</c:v>
                </c:pt>
                <c:pt idx="9">
                  <c:v>846</c:v>
                </c:pt>
                <c:pt idx="10">
                  <c:v>391</c:v>
                </c:pt>
                <c:pt idx="11">
                  <c:v>4832</c:v>
                </c:pt>
                <c:pt idx="12">
                  <c:v>10788</c:v>
                </c:pt>
                <c:pt idx="13">
                  <c:v>21252</c:v>
                </c:pt>
                <c:pt idx="14">
                  <c:v>3888</c:v>
                </c:pt>
                <c:pt idx="15">
                  <c:v>9112</c:v>
                </c:pt>
                <c:pt idx="16">
                  <c:v>3176</c:v>
                </c:pt>
                <c:pt idx="17">
                  <c:v>10988</c:v>
                </c:pt>
                <c:pt idx="18">
                  <c:v>27376</c:v>
                </c:pt>
                <c:pt idx="19">
                  <c:v>29876</c:v>
                </c:pt>
                <c:pt idx="20">
                  <c:v>353460</c:v>
                </c:pt>
                <c:pt idx="21">
                  <c:v>0</c:v>
                </c:pt>
                <c:pt idx="22">
                  <c:v>29324</c:v>
                </c:pt>
                <c:pt idx="23">
                  <c:v>28600</c:v>
                </c:pt>
                <c:pt idx="24">
                  <c:v>26944</c:v>
                </c:pt>
                <c:pt idx="25">
                  <c:v>19566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BF-4310-B293-FC4DF6AAC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총괄!$A$25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0D05-4B05-BE78-83FAB4A9C1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총괄!$B$25:$AG$25</c:f>
              <c:numCache>
                <c:formatCode>0%</c:formatCode>
                <c:ptCount val="32"/>
                <c:pt idx="0">
                  <c:v>0.59455128205128216</c:v>
                </c:pt>
                <c:pt idx="1">
                  <c:v>0.64666666666666672</c:v>
                </c:pt>
                <c:pt idx="2">
                  <c:v>0.53166666666666662</c:v>
                </c:pt>
                <c:pt idx="3">
                  <c:v>0.46376811594202894</c:v>
                </c:pt>
                <c:pt idx="5">
                  <c:v>0.47159090909090912</c:v>
                </c:pt>
                <c:pt idx="6">
                  <c:v>0.40705128205128205</c:v>
                </c:pt>
                <c:pt idx="7">
                  <c:v>0.3737847222222222</c:v>
                </c:pt>
                <c:pt idx="8">
                  <c:v>0.56310012437810952</c:v>
                </c:pt>
                <c:pt idx="9">
                  <c:v>0.55862000713761029</c:v>
                </c:pt>
                <c:pt idx="12">
                  <c:v>0.60416666666666652</c:v>
                </c:pt>
                <c:pt idx="13">
                  <c:v>0.42129629629629628</c:v>
                </c:pt>
                <c:pt idx="14">
                  <c:v>0.50666666666666671</c:v>
                </c:pt>
                <c:pt idx="15">
                  <c:v>0.58333333333333337</c:v>
                </c:pt>
                <c:pt idx="16">
                  <c:v>0.6382575757575758</c:v>
                </c:pt>
                <c:pt idx="22">
                  <c:v>0.58876811594202916</c:v>
                </c:pt>
                <c:pt idx="23">
                  <c:v>0.67424242424242431</c:v>
                </c:pt>
                <c:pt idx="26">
                  <c:v>0.40909090909090901</c:v>
                </c:pt>
                <c:pt idx="27">
                  <c:v>0.47463768115942034</c:v>
                </c:pt>
                <c:pt idx="28">
                  <c:v>0.43840579710144922</c:v>
                </c:pt>
                <c:pt idx="29">
                  <c:v>0.61413043478260865</c:v>
                </c:pt>
                <c:pt idx="31">
                  <c:v>0.35212652257487181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5-4B05-BE78-83FAB4A9C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0D05-4B05-BE78-83FAB4A9C14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총괄!$B$26:$AG$26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05-4B05-BE78-83FAB4A9C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총괄!$A$25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D5B5-4963-9667-D1FF96BCB4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총괄!$B$25:$AG$25</c:f>
              <c:numCache>
                <c:formatCode>0%</c:formatCode>
                <c:ptCount val="32"/>
                <c:pt idx="0">
                  <c:v>0.59455128205128216</c:v>
                </c:pt>
                <c:pt idx="1">
                  <c:v>0.64666666666666672</c:v>
                </c:pt>
                <c:pt idx="2">
                  <c:v>0.53166666666666662</c:v>
                </c:pt>
                <c:pt idx="3">
                  <c:v>0.46376811594202894</c:v>
                </c:pt>
                <c:pt idx="5">
                  <c:v>0.47159090909090912</c:v>
                </c:pt>
                <c:pt idx="6">
                  <c:v>0.40705128205128205</c:v>
                </c:pt>
                <c:pt idx="7">
                  <c:v>0.3737847222222222</c:v>
                </c:pt>
                <c:pt idx="8">
                  <c:v>0.56310012437810952</c:v>
                </c:pt>
                <c:pt idx="9">
                  <c:v>0.55862000713761029</c:v>
                </c:pt>
                <c:pt idx="12">
                  <c:v>0.60416666666666652</c:v>
                </c:pt>
                <c:pt idx="13">
                  <c:v>0.42129629629629628</c:v>
                </c:pt>
                <c:pt idx="14">
                  <c:v>0.50666666666666671</c:v>
                </c:pt>
                <c:pt idx="15">
                  <c:v>0.58333333333333337</c:v>
                </c:pt>
                <c:pt idx="16">
                  <c:v>0.6382575757575758</c:v>
                </c:pt>
                <c:pt idx="22">
                  <c:v>0.58876811594202916</c:v>
                </c:pt>
                <c:pt idx="23">
                  <c:v>0.67424242424242431</c:v>
                </c:pt>
                <c:pt idx="26">
                  <c:v>0.40909090909090901</c:v>
                </c:pt>
                <c:pt idx="27">
                  <c:v>0.47463768115942034</c:v>
                </c:pt>
                <c:pt idx="28">
                  <c:v>0.43840579710144922</c:v>
                </c:pt>
                <c:pt idx="29">
                  <c:v>0.61413043478260865</c:v>
                </c:pt>
                <c:pt idx="31">
                  <c:v>0.35212652257487181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B5-4963-9667-D1FF96BCB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D5B5-4963-9667-D1FF96BCB41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총괄!$B$26:$AG$26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B5-4963-9667-D1FF96BCB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latin typeface="굴림체" pitchFamily="49" charset="-127"/>
              </a:defRPr>
            </a:pPr>
            <a:r>
              <a:rPr lang="en-US" altLang="ko-KR" baseline="0">
                <a:latin typeface="굴림체" pitchFamily="49" charset="-127"/>
              </a:rPr>
              <a:t>09</a:t>
            </a:r>
            <a:r>
              <a:rPr lang="ko-KR" altLang="en-US" baseline="0">
                <a:latin typeface="굴림체" pitchFamily="49" charset="-127"/>
              </a:rPr>
              <a:t>월 평균</a:t>
            </a:r>
          </a:p>
        </c:rich>
      </c:tx>
      <c:layout>
        <c:manualLayout>
          <c:xMode val="edge"/>
          <c:yMode val="edge"/>
          <c:x val="0.41320477502295683"/>
          <c:y val="5.203252032520325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총괄!$A$25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총괄!$B$25:$AG$25</c:f>
              <c:numCache>
                <c:formatCode>0%</c:formatCode>
                <c:ptCount val="32"/>
                <c:pt idx="0">
                  <c:v>0.59455128205128216</c:v>
                </c:pt>
                <c:pt idx="1">
                  <c:v>0.64666666666666672</c:v>
                </c:pt>
                <c:pt idx="2">
                  <c:v>0.53166666666666662</c:v>
                </c:pt>
                <c:pt idx="3">
                  <c:v>0.46376811594202894</c:v>
                </c:pt>
                <c:pt idx="5">
                  <c:v>0.47159090909090912</c:v>
                </c:pt>
                <c:pt idx="6">
                  <c:v>0.40705128205128205</c:v>
                </c:pt>
                <c:pt idx="7">
                  <c:v>0.3737847222222222</c:v>
                </c:pt>
                <c:pt idx="8">
                  <c:v>0.56310012437810952</c:v>
                </c:pt>
                <c:pt idx="9">
                  <c:v>0.55862000713761029</c:v>
                </c:pt>
                <c:pt idx="12">
                  <c:v>0.60416666666666652</c:v>
                </c:pt>
                <c:pt idx="13">
                  <c:v>0.42129629629629628</c:v>
                </c:pt>
                <c:pt idx="14">
                  <c:v>0.50666666666666671</c:v>
                </c:pt>
                <c:pt idx="15">
                  <c:v>0.58333333333333337</c:v>
                </c:pt>
                <c:pt idx="16">
                  <c:v>0.6382575757575758</c:v>
                </c:pt>
                <c:pt idx="22">
                  <c:v>0.58876811594202916</c:v>
                </c:pt>
                <c:pt idx="23">
                  <c:v>0.67424242424242431</c:v>
                </c:pt>
                <c:pt idx="26">
                  <c:v>0.40909090909090901</c:v>
                </c:pt>
                <c:pt idx="27">
                  <c:v>0.47463768115942034</c:v>
                </c:pt>
                <c:pt idx="28">
                  <c:v>0.43840579710144922</c:v>
                </c:pt>
                <c:pt idx="29">
                  <c:v>0.61413043478260865</c:v>
                </c:pt>
                <c:pt idx="31">
                  <c:v>0.35212652257487181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0-496B-970C-08F0C2E1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482880"/>
        <c:axId val="35070182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val>
            <c:numRef>
              <c:f>총괄!$B$26:$AG$26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70-496B-970C-08F0C2E1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82880"/>
        <c:axId val="350701824"/>
      </c:lineChart>
      <c:catAx>
        <c:axId val="199482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0701824"/>
        <c:crosses val="autoZero"/>
        <c:auto val="1"/>
        <c:lblAlgn val="ctr"/>
        <c:lblOffset val="100"/>
        <c:noMultiLvlLbl val="0"/>
      </c:catAx>
      <c:valAx>
        <c:axId val="3507018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9482880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09</a:t>
            </a:r>
            <a:r>
              <a:rPr lang="ko-KR" altLang="en-US"/>
              <a:t>월 호기별 가동율</a:t>
            </a:r>
          </a:p>
        </c:rich>
      </c:tx>
      <c:layout>
        <c:manualLayout>
          <c:xMode val="edge"/>
          <c:yMode val="edge"/>
          <c:x val="0.35088156426374495"/>
          <c:y val="3.902439024390243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총괄!$AG$2</c:f>
              <c:strCache>
                <c:ptCount val="1"/>
                <c:pt idx="0">
                  <c:v>평균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총괄!$A$3:$A$24</c:f>
              <c:strCache>
                <c:ptCount val="22"/>
                <c:pt idx="0">
                  <c:v>1호기</c:v>
                </c:pt>
                <c:pt idx="1">
                  <c:v>2호기</c:v>
                </c:pt>
                <c:pt idx="2">
                  <c:v>3호기</c:v>
                </c:pt>
                <c:pt idx="3">
                  <c:v>4호기</c:v>
                </c:pt>
                <c:pt idx="4">
                  <c:v>5호기</c:v>
                </c:pt>
                <c:pt idx="5">
                  <c:v>6호기</c:v>
                </c:pt>
                <c:pt idx="6">
                  <c:v>7호기</c:v>
                </c:pt>
                <c:pt idx="7">
                  <c:v>8호기</c:v>
                </c:pt>
                <c:pt idx="8">
                  <c:v>9호기</c:v>
                </c:pt>
                <c:pt idx="9">
                  <c:v>10호기</c:v>
                </c:pt>
                <c:pt idx="10">
                  <c:v>11호기</c:v>
                </c:pt>
                <c:pt idx="11">
                  <c:v>12호기</c:v>
                </c:pt>
                <c:pt idx="12">
                  <c:v>13호기</c:v>
                </c:pt>
                <c:pt idx="13">
                  <c:v>14호기</c:v>
                </c:pt>
                <c:pt idx="14">
                  <c:v>15호기</c:v>
                </c:pt>
                <c:pt idx="15">
                  <c:v>16호기</c:v>
                </c:pt>
                <c:pt idx="16">
                  <c:v>31호기</c:v>
                </c:pt>
                <c:pt idx="17">
                  <c:v>32호기</c:v>
                </c:pt>
                <c:pt idx="18">
                  <c:v>33호기</c:v>
                </c:pt>
                <c:pt idx="19">
                  <c:v>34호기</c:v>
                </c:pt>
                <c:pt idx="20">
                  <c:v>35호기</c:v>
                </c:pt>
                <c:pt idx="21">
                  <c:v>36호기</c:v>
                </c:pt>
              </c:strCache>
            </c:strRef>
          </c:cat>
          <c:val>
            <c:numRef>
              <c:f>총괄!$AG$3:$AG$24</c:f>
              <c:numCache>
                <c:formatCode>0%</c:formatCode>
                <c:ptCount val="22"/>
                <c:pt idx="0">
                  <c:v>0.20555555555555555</c:v>
                </c:pt>
                <c:pt idx="1">
                  <c:v>0.6513888888888888</c:v>
                </c:pt>
                <c:pt idx="2">
                  <c:v>0.45555555555555571</c:v>
                </c:pt>
                <c:pt idx="3">
                  <c:v>0.6069444444444444</c:v>
                </c:pt>
                <c:pt idx="4">
                  <c:v>0.38750000000000007</c:v>
                </c:pt>
                <c:pt idx="5">
                  <c:v>0.4</c:v>
                </c:pt>
                <c:pt idx="6">
                  <c:v>0.6166666666666667</c:v>
                </c:pt>
                <c:pt idx="7">
                  <c:v>0.4819444444444444</c:v>
                </c:pt>
                <c:pt idx="8">
                  <c:v>3.0555555555555558E-2</c:v>
                </c:pt>
                <c:pt idx="9">
                  <c:v>0.34166666666666667</c:v>
                </c:pt>
                <c:pt idx="10">
                  <c:v>0.54980565920398006</c:v>
                </c:pt>
                <c:pt idx="11">
                  <c:v>0.48236111111111113</c:v>
                </c:pt>
                <c:pt idx="12">
                  <c:v>0.45416666666666661</c:v>
                </c:pt>
                <c:pt idx="13">
                  <c:v>0.4375</c:v>
                </c:pt>
                <c:pt idx="14">
                  <c:v>0.47361111111111115</c:v>
                </c:pt>
                <c:pt idx="15">
                  <c:v>0.59550711682119939</c:v>
                </c:pt>
                <c:pt idx="16">
                  <c:v>0.44305555555555559</c:v>
                </c:pt>
                <c:pt idx="17">
                  <c:v>0</c:v>
                </c:pt>
                <c:pt idx="18">
                  <c:v>0.18611111111111114</c:v>
                </c:pt>
                <c:pt idx="19">
                  <c:v>0.18611111111111114</c:v>
                </c:pt>
                <c:pt idx="20">
                  <c:v>0</c:v>
                </c:pt>
                <c:pt idx="21">
                  <c:v>0.37777777777777782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D-4D4E-BB8E-38D090473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531008"/>
        <c:axId val="350704128"/>
      </c:barChart>
      <c:catAx>
        <c:axId val="19953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0704128"/>
        <c:crosses val="autoZero"/>
        <c:auto val="1"/>
        <c:lblAlgn val="ctr"/>
        <c:lblOffset val="100"/>
        <c:noMultiLvlLbl val="0"/>
      </c:catAx>
      <c:valAx>
        <c:axId val="3507041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9531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'03'!$D$6:$D$30</c:f>
              <c:strCache>
                <c:ptCount val="25"/>
                <c:pt idx="0">
                  <c:v>F/A</c:v>
                </c:pt>
                <c:pt idx="1">
                  <c:v>ADAPTER</c:v>
                </c:pt>
                <c:pt idx="2">
                  <c:v>SLIDER</c:v>
                </c:pt>
                <c:pt idx="4">
                  <c:v>COVER</c:v>
                </c:pt>
                <c:pt idx="5">
                  <c:v>BASE</c:v>
                </c:pt>
                <c:pt idx="6">
                  <c:v>STOPPER</c:v>
                </c:pt>
                <c:pt idx="7">
                  <c:v>ACTUATOR</c:v>
                </c:pt>
                <c:pt idx="8">
                  <c:v>BASE</c:v>
                </c:pt>
                <c:pt idx="9">
                  <c:v>BOTTOM</c:v>
                </c:pt>
                <c:pt idx="10">
                  <c:v>BASE</c:v>
                </c:pt>
                <c:pt idx="11">
                  <c:v>FLOATING</c:v>
                </c:pt>
                <c:pt idx="13">
                  <c:v>FLOATING</c:v>
                </c:pt>
                <c:pt idx="14">
                  <c:v>PUSHER PLATE</c:v>
                </c:pt>
                <c:pt idx="15">
                  <c:v>BASE</c:v>
                </c:pt>
                <c:pt idx="16">
                  <c:v>BASE</c:v>
                </c:pt>
                <c:pt idx="17">
                  <c:v>BASE</c:v>
                </c:pt>
                <c:pt idx="21">
                  <c:v>LEAD GUIDER</c:v>
                </c:pt>
                <c:pt idx="22">
                  <c:v>SLIDER</c:v>
                </c:pt>
                <c:pt idx="23">
                  <c:v>COVER</c:v>
                </c:pt>
                <c:pt idx="24">
                  <c:v>BASE</c:v>
                </c:pt>
              </c:strCache>
            </c:strRef>
          </c:cat>
          <c:val>
            <c:numRef>
              <c:f>'03'!$L$6:$L$30</c:f>
              <c:numCache>
                <c:formatCode>_(* #,##0_);_(* \(#,##0\);_(* "-"_);_(@_)</c:formatCode>
                <c:ptCount val="25"/>
                <c:pt idx="0">
                  <c:v>3519</c:v>
                </c:pt>
                <c:pt idx="1">
                  <c:v>7112</c:v>
                </c:pt>
                <c:pt idx="2">
                  <c:v>2367</c:v>
                </c:pt>
                <c:pt idx="3">
                  <c:v>12404</c:v>
                </c:pt>
                <c:pt idx="4">
                  <c:v>5744</c:v>
                </c:pt>
                <c:pt idx="5">
                  <c:v>1971</c:v>
                </c:pt>
                <c:pt idx="6">
                  <c:v>370</c:v>
                </c:pt>
                <c:pt idx="7">
                  <c:v>409</c:v>
                </c:pt>
                <c:pt idx="8">
                  <c:v>9738</c:v>
                </c:pt>
                <c:pt idx="9">
                  <c:v>4027</c:v>
                </c:pt>
                <c:pt idx="12">
                  <c:v>9134</c:v>
                </c:pt>
                <c:pt idx="13">
                  <c:v>1123</c:v>
                </c:pt>
                <c:pt idx="14">
                  <c:v>4364</c:v>
                </c:pt>
                <c:pt idx="15">
                  <c:v>12128</c:v>
                </c:pt>
                <c:pt idx="16">
                  <c:v>1060</c:v>
                </c:pt>
                <c:pt idx="17">
                  <c:v>10896</c:v>
                </c:pt>
                <c:pt idx="18">
                  <c:v>54476</c:v>
                </c:pt>
                <c:pt idx="19">
                  <c:v>465060</c:v>
                </c:pt>
                <c:pt idx="24">
                  <c:v>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E-4B90-8A4D-668EBECFBDAE}"/>
            </c:ext>
          </c:extLst>
        </c:ser>
        <c:ser>
          <c:idx val="1"/>
          <c:order val="1"/>
          <c:tx>
            <c:v>계획</c:v>
          </c:tx>
          <c:cat>
            <c:strRef>
              <c:f>'03'!$D$6:$D$30</c:f>
              <c:strCache>
                <c:ptCount val="25"/>
                <c:pt idx="0">
                  <c:v>F/A</c:v>
                </c:pt>
                <c:pt idx="1">
                  <c:v>ADAPTER</c:v>
                </c:pt>
                <c:pt idx="2">
                  <c:v>SLIDER</c:v>
                </c:pt>
                <c:pt idx="4">
                  <c:v>COVER</c:v>
                </c:pt>
                <c:pt idx="5">
                  <c:v>BASE</c:v>
                </c:pt>
                <c:pt idx="6">
                  <c:v>STOPPER</c:v>
                </c:pt>
                <c:pt idx="7">
                  <c:v>ACTUATOR</c:v>
                </c:pt>
                <c:pt idx="8">
                  <c:v>BASE</c:v>
                </c:pt>
                <c:pt idx="9">
                  <c:v>BOTTOM</c:v>
                </c:pt>
                <c:pt idx="10">
                  <c:v>BASE</c:v>
                </c:pt>
                <c:pt idx="11">
                  <c:v>FLOATING</c:v>
                </c:pt>
                <c:pt idx="13">
                  <c:v>FLOATING</c:v>
                </c:pt>
                <c:pt idx="14">
                  <c:v>PUSHER PLATE</c:v>
                </c:pt>
                <c:pt idx="15">
                  <c:v>BASE</c:v>
                </c:pt>
                <c:pt idx="16">
                  <c:v>BASE</c:v>
                </c:pt>
                <c:pt idx="17">
                  <c:v>BASE</c:v>
                </c:pt>
                <c:pt idx="21">
                  <c:v>LEAD GUIDER</c:v>
                </c:pt>
                <c:pt idx="22">
                  <c:v>SLIDER</c:v>
                </c:pt>
                <c:pt idx="23">
                  <c:v>COVER</c:v>
                </c:pt>
                <c:pt idx="24">
                  <c:v>BASE</c:v>
                </c:pt>
              </c:strCache>
            </c:strRef>
          </c:cat>
          <c:val>
            <c:numRef>
              <c:f>'03'!$J$6:$J$30</c:f>
              <c:numCache>
                <c:formatCode>_(* #,##0_);_(* \(#,##0\);_(* "-"_);_(@_)</c:formatCode>
                <c:ptCount val="25"/>
                <c:pt idx="0">
                  <c:v>3519</c:v>
                </c:pt>
                <c:pt idx="1">
                  <c:v>7112</c:v>
                </c:pt>
                <c:pt idx="2">
                  <c:v>2367</c:v>
                </c:pt>
                <c:pt idx="3">
                  <c:v>12404</c:v>
                </c:pt>
                <c:pt idx="4">
                  <c:v>5744</c:v>
                </c:pt>
                <c:pt idx="5">
                  <c:v>1971</c:v>
                </c:pt>
                <c:pt idx="6">
                  <c:v>370</c:v>
                </c:pt>
                <c:pt idx="7">
                  <c:v>409</c:v>
                </c:pt>
                <c:pt idx="8">
                  <c:v>9738</c:v>
                </c:pt>
                <c:pt idx="9">
                  <c:v>4027</c:v>
                </c:pt>
                <c:pt idx="10">
                  <c:v>391</c:v>
                </c:pt>
                <c:pt idx="11">
                  <c:v>1490</c:v>
                </c:pt>
                <c:pt idx="12">
                  <c:v>9134</c:v>
                </c:pt>
                <c:pt idx="13">
                  <c:v>1123</c:v>
                </c:pt>
                <c:pt idx="14">
                  <c:v>4364</c:v>
                </c:pt>
                <c:pt idx="15">
                  <c:v>12128</c:v>
                </c:pt>
                <c:pt idx="16">
                  <c:v>1060</c:v>
                </c:pt>
                <c:pt idx="17">
                  <c:v>10896</c:v>
                </c:pt>
                <c:pt idx="18">
                  <c:v>54476</c:v>
                </c:pt>
                <c:pt idx="19">
                  <c:v>465060</c:v>
                </c:pt>
                <c:pt idx="20">
                  <c:v>0</c:v>
                </c:pt>
                <c:pt idx="21">
                  <c:v>31996</c:v>
                </c:pt>
                <c:pt idx="22">
                  <c:v>28802</c:v>
                </c:pt>
                <c:pt idx="23">
                  <c:v>26944</c:v>
                </c:pt>
                <c:pt idx="24">
                  <c:v>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6E-4B90-8A4D-668EBECFB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'03'!$AD$6:$AD$30</c:f>
              <c:strCache>
                <c:ptCount val="25"/>
                <c:pt idx="0">
                  <c:v>63%</c:v>
                </c:pt>
                <c:pt idx="1">
                  <c:v>79%</c:v>
                </c:pt>
                <c:pt idx="2">
                  <c:v>50%</c:v>
                </c:pt>
                <c:pt idx="3">
                  <c:v>100%</c:v>
                </c:pt>
                <c:pt idx="4">
                  <c:v>100%</c:v>
                </c:pt>
                <c:pt idx="5">
                  <c:v>42%</c:v>
                </c:pt>
                <c:pt idx="6">
                  <c:v>13%</c:v>
                </c:pt>
                <c:pt idx="7">
                  <c:v>13%</c:v>
                </c:pt>
                <c:pt idx="8">
                  <c:v>100%</c:v>
                </c:pt>
                <c:pt idx="9">
                  <c:v>96%</c:v>
                </c:pt>
                <c:pt idx="10">
                  <c:v>0%</c:v>
                </c:pt>
                <c:pt idx="11">
                  <c:v>0%</c:v>
                </c:pt>
                <c:pt idx="12">
                  <c:v>83%</c:v>
                </c:pt>
                <c:pt idx="13">
                  <c:v>29%</c:v>
                </c:pt>
                <c:pt idx="14">
                  <c:v>50%</c:v>
                </c:pt>
                <c:pt idx="15">
                  <c:v>100%</c:v>
                </c:pt>
                <c:pt idx="16">
                  <c:v>79%</c:v>
                </c:pt>
                <c:pt idx="17">
                  <c:v>100%</c:v>
                </c:pt>
                <c:pt idx="18">
                  <c:v>88%</c:v>
                </c:pt>
                <c:pt idx="19">
                  <c:v>100%</c:v>
                </c:pt>
                <c:pt idx="20">
                  <c:v>0%</c:v>
                </c:pt>
                <c:pt idx="21">
                  <c:v>0%</c:v>
                </c:pt>
                <c:pt idx="22">
                  <c:v>0%</c:v>
                </c:pt>
                <c:pt idx="23">
                  <c:v>0%</c:v>
                </c:pt>
                <c:pt idx="24">
                  <c:v>46%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'03'!$D$6:$D$30</c:f>
              <c:strCache>
                <c:ptCount val="25"/>
                <c:pt idx="0">
                  <c:v>F/A</c:v>
                </c:pt>
                <c:pt idx="1">
                  <c:v>ADAPTER</c:v>
                </c:pt>
                <c:pt idx="2">
                  <c:v>SLIDER</c:v>
                </c:pt>
                <c:pt idx="4">
                  <c:v>COVER</c:v>
                </c:pt>
                <c:pt idx="5">
                  <c:v>BASE</c:v>
                </c:pt>
                <c:pt idx="6">
                  <c:v>STOPPER</c:v>
                </c:pt>
                <c:pt idx="7">
                  <c:v>ACTUATOR</c:v>
                </c:pt>
                <c:pt idx="8">
                  <c:v>BASE</c:v>
                </c:pt>
                <c:pt idx="9">
                  <c:v>BOTTOM</c:v>
                </c:pt>
                <c:pt idx="10">
                  <c:v>BASE</c:v>
                </c:pt>
                <c:pt idx="11">
                  <c:v>FLOATING</c:v>
                </c:pt>
                <c:pt idx="13">
                  <c:v>FLOATING</c:v>
                </c:pt>
                <c:pt idx="14">
                  <c:v>PUSHER PLATE</c:v>
                </c:pt>
                <c:pt idx="15">
                  <c:v>BASE</c:v>
                </c:pt>
                <c:pt idx="16">
                  <c:v>BASE</c:v>
                </c:pt>
                <c:pt idx="17">
                  <c:v>BASE</c:v>
                </c:pt>
                <c:pt idx="21">
                  <c:v>LEAD GUIDER</c:v>
                </c:pt>
                <c:pt idx="22">
                  <c:v>SLIDER</c:v>
                </c:pt>
                <c:pt idx="23">
                  <c:v>COVER</c:v>
                </c:pt>
                <c:pt idx="24">
                  <c:v>BASE</c:v>
                </c:pt>
              </c:strCache>
            </c:strRef>
          </c:cat>
          <c:val>
            <c:numRef>
              <c:f>'03'!$AD$6:$AD$30</c:f>
              <c:numCache>
                <c:formatCode>0%</c:formatCode>
                <c:ptCount val="25"/>
                <c:pt idx="0">
                  <c:v>0.625</c:v>
                </c:pt>
                <c:pt idx="1">
                  <c:v>0.79166666666666663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0.41666666666666669</c:v>
                </c:pt>
                <c:pt idx="6">
                  <c:v>0.125</c:v>
                </c:pt>
                <c:pt idx="7">
                  <c:v>0.125</c:v>
                </c:pt>
                <c:pt idx="8">
                  <c:v>1</c:v>
                </c:pt>
                <c:pt idx="9">
                  <c:v>0.95833333333333337</c:v>
                </c:pt>
                <c:pt idx="10">
                  <c:v>0</c:v>
                </c:pt>
                <c:pt idx="11">
                  <c:v>0</c:v>
                </c:pt>
                <c:pt idx="12">
                  <c:v>0.83333333333333337</c:v>
                </c:pt>
                <c:pt idx="13">
                  <c:v>0.29166666666666669</c:v>
                </c:pt>
                <c:pt idx="14">
                  <c:v>0.5</c:v>
                </c:pt>
                <c:pt idx="15">
                  <c:v>1</c:v>
                </c:pt>
                <c:pt idx="16">
                  <c:v>0.79166666666666663</c:v>
                </c:pt>
                <c:pt idx="17">
                  <c:v>1</c:v>
                </c:pt>
                <c:pt idx="18">
                  <c:v>0.875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0.45833333333333331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2-438A-914D-9CC043316086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72-438A-914D-9CC04331608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'03'!$D$6:$D$30</c:f>
              <c:strCache>
                <c:ptCount val="25"/>
                <c:pt idx="0">
                  <c:v>F/A</c:v>
                </c:pt>
                <c:pt idx="1">
                  <c:v>ADAPTER</c:v>
                </c:pt>
                <c:pt idx="2">
                  <c:v>SLIDER</c:v>
                </c:pt>
                <c:pt idx="4">
                  <c:v>COVER</c:v>
                </c:pt>
                <c:pt idx="5">
                  <c:v>BASE</c:v>
                </c:pt>
                <c:pt idx="6">
                  <c:v>STOPPER</c:v>
                </c:pt>
                <c:pt idx="7">
                  <c:v>ACTUATOR</c:v>
                </c:pt>
                <c:pt idx="8">
                  <c:v>BASE</c:v>
                </c:pt>
                <c:pt idx="9">
                  <c:v>BOTTOM</c:v>
                </c:pt>
                <c:pt idx="10">
                  <c:v>BASE</c:v>
                </c:pt>
                <c:pt idx="11">
                  <c:v>FLOATING</c:v>
                </c:pt>
                <c:pt idx="13">
                  <c:v>FLOATING</c:v>
                </c:pt>
                <c:pt idx="14">
                  <c:v>PUSHER PLATE</c:v>
                </c:pt>
                <c:pt idx="15">
                  <c:v>BASE</c:v>
                </c:pt>
                <c:pt idx="16">
                  <c:v>BASE</c:v>
                </c:pt>
                <c:pt idx="17">
                  <c:v>BASE</c:v>
                </c:pt>
                <c:pt idx="21">
                  <c:v>LEAD GUIDER</c:v>
                </c:pt>
                <c:pt idx="22">
                  <c:v>SLIDER</c:v>
                </c:pt>
                <c:pt idx="23">
                  <c:v>COVER</c:v>
                </c:pt>
                <c:pt idx="24">
                  <c:v>BASE</c:v>
                </c:pt>
              </c:strCache>
            </c:strRef>
          </c:cat>
          <c:val>
            <c:numRef>
              <c:f>'03'!$AE$6:$AE$30</c:f>
              <c:numCache>
                <c:formatCode>0%</c:formatCode>
                <c:ptCount val="25"/>
                <c:pt idx="0">
                  <c:v>0.53166666666666662</c:v>
                </c:pt>
                <c:pt idx="1">
                  <c:v>0.53166666666666662</c:v>
                </c:pt>
                <c:pt idx="2">
                  <c:v>0.53166666666666662</c:v>
                </c:pt>
                <c:pt idx="3">
                  <c:v>0.53166666666666662</c:v>
                </c:pt>
                <c:pt idx="4">
                  <c:v>0.53166666666666662</c:v>
                </c:pt>
                <c:pt idx="5">
                  <c:v>0.53166666666666662</c:v>
                </c:pt>
                <c:pt idx="6">
                  <c:v>0.53166666666666662</c:v>
                </c:pt>
                <c:pt idx="7">
                  <c:v>0.53166666666666662</c:v>
                </c:pt>
                <c:pt idx="8">
                  <c:v>0.53166666666666662</c:v>
                </c:pt>
                <c:pt idx="9">
                  <c:v>0.53166666666666662</c:v>
                </c:pt>
                <c:pt idx="10">
                  <c:v>0.53166666666666662</c:v>
                </c:pt>
                <c:pt idx="11">
                  <c:v>0.53166666666666662</c:v>
                </c:pt>
                <c:pt idx="12">
                  <c:v>0.53166666666666662</c:v>
                </c:pt>
                <c:pt idx="13">
                  <c:v>0.53166666666666662</c:v>
                </c:pt>
                <c:pt idx="14">
                  <c:v>0.53166666666666662</c:v>
                </c:pt>
                <c:pt idx="15">
                  <c:v>0.53166666666666662</c:v>
                </c:pt>
                <c:pt idx="16">
                  <c:v>0.53166666666666662</c:v>
                </c:pt>
                <c:pt idx="17">
                  <c:v>0.53166666666666662</c:v>
                </c:pt>
                <c:pt idx="18">
                  <c:v>0.53166666666666662</c:v>
                </c:pt>
                <c:pt idx="19">
                  <c:v>0.53166666666666662</c:v>
                </c:pt>
                <c:pt idx="20">
                  <c:v>0.53166666666666662</c:v>
                </c:pt>
                <c:pt idx="21">
                  <c:v>0.53166666666666662</c:v>
                </c:pt>
                <c:pt idx="22">
                  <c:v>0.53166666666666662</c:v>
                </c:pt>
                <c:pt idx="23">
                  <c:v>0.53166666666666662</c:v>
                </c:pt>
                <c:pt idx="24">
                  <c:v>0.53166666666666662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72-438A-914D-9CC043316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'03'!$D$6:$D$30</c:f>
              <c:strCache>
                <c:ptCount val="25"/>
                <c:pt idx="0">
                  <c:v>F/A</c:v>
                </c:pt>
                <c:pt idx="1">
                  <c:v>ADAPTER</c:v>
                </c:pt>
                <c:pt idx="2">
                  <c:v>SLIDER</c:v>
                </c:pt>
                <c:pt idx="4">
                  <c:v>COVER</c:v>
                </c:pt>
                <c:pt idx="5">
                  <c:v>BASE</c:v>
                </c:pt>
                <c:pt idx="6">
                  <c:v>STOPPER</c:v>
                </c:pt>
                <c:pt idx="7">
                  <c:v>ACTUATOR</c:v>
                </c:pt>
                <c:pt idx="8">
                  <c:v>BASE</c:v>
                </c:pt>
                <c:pt idx="9">
                  <c:v>BOTTOM</c:v>
                </c:pt>
                <c:pt idx="10">
                  <c:v>BASE</c:v>
                </c:pt>
                <c:pt idx="11">
                  <c:v>FLOATING</c:v>
                </c:pt>
                <c:pt idx="13">
                  <c:v>FLOATING</c:v>
                </c:pt>
                <c:pt idx="14">
                  <c:v>PUSHER PLATE</c:v>
                </c:pt>
                <c:pt idx="15">
                  <c:v>BASE</c:v>
                </c:pt>
                <c:pt idx="16">
                  <c:v>BASE</c:v>
                </c:pt>
                <c:pt idx="17">
                  <c:v>BASE</c:v>
                </c:pt>
                <c:pt idx="21">
                  <c:v>LEAD GUIDER</c:v>
                </c:pt>
                <c:pt idx="22">
                  <c:v>SLIDER</c:v>
                </c:pt>
                <c:pt idx="23">
                  <c:v>COVER</c:v>
                </c:pt>
                <c:pt idx="24">
                  <c:v>BASE</c:v>
                </c:pt>
              </c:strCache>
            </c:strRef>
          </c:cat>
          <c:val>
            <c:numRef>
              <c:f>'03'!$L$6:$L$30</c:f>
              <c:numCache>
                <c:formatCode>_(* #,##0_);_(* \(#,##0\);_(* "-"_);_(@_)</c:formatCode>
                <c:ptCount val="25"/>
                <c:pt idx="0">
                  <c:v>3519</c:v>
                </c:pt>
                <c:pt idx="1">
                  <c:v>7112</c:v>
                </c:pt>
                <c:pt idx="2">
                  <c:v>2367</c:v>
                </c:pt>
                <c:pt idx="3">
                  <c:v>12404</c:v>
                </c:pt>
                <c:pt idx="4">
                  <c:v>5744</c:v>
                </c:pt>
                <c:pt idx="5">
                  <c:v>1971</c:v>
                </c:pt>
                <c:pt idx="6">
                  <c:v>370</c:v>
                </c:pt>
                <c:pt idx="7">
                  <c:v>409</c:v>
                </c:pt>
                <c:pt idx="8">
                  <c:v>9738</c:v>
                </c:pt>
                <c:pt idx="9">
                  <c:v>4027</c:v>
                </c:pt>
                <c:pt idx="12">
                  <c:v>9134</c:v>
                </c:pt>
                <c:pt idx="13">
                  <c:v>1123</c:v>
                </c:pt>
                <c:pt idx="14">
                  <c:v>4364</c:v>
                </c:pt>
                <c:pt idx="15">
                  <c:v>12128</c:v>
                </c:pt>
                <c:pt idx="16">
                  <c:v>1060</c:v>
                </c:pt>
                <c:pt idx="17">
                  <c:v>10896</c:v>
                </c:pt>
                <c:pt idx="18">
                  <c:v>54476</c:v>
                </c:pt>
                <c:pt idx="19">
                  <c:v>465060</c:v>
                </c:pt>
                <c:pt idx="24">
                  <c:v>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0-4FBF-9A61-3891430B75ED}"/>
            </c:ext>
          </c:extLst>
        </c:ser>
        <c:ser>
          <c:idx val="1"/>
          <c:order val="1"/>
          <c:tx>
            <c:v>계획</c:v>
          </c:tx>
          <c:cat>
            <c:strRef>
              <c:f>'03'!$D$6:$D$30</c:f>
              <c:strCache>
                <c:ptCount val="25"/>
                <c:pt idx="0">
                  <c:v>F/A</c:v>
                </c:pt>
                <c:pt idx="1">
                  <c:v>ADAPTER</c:v>
                </c:pt>
                <c:pt idx="2">
                  <c:v>SLIDER</c:v>
                </c:pt>
                <c:pt idx="4">
                  <c:v>COVER</c:v>
                </c:pt>
                <c:pt idx="5">
                  <c:v>BASE</c:v>
                </c:pt>
                <c:pt idx="6">
                  <c:v>STOPPER</c:v>
                </c:pt>
                <c:pt idx="7">
                  <c:v>ACTUATOR</c:v>
                </c:pt>
                <c:pt idx="8">
                  <c:v>BASE</c:v>
                </c:pt>
                <c:pt idx="9">
                  <c:v>BOTTOM</c:v>
                </c:pt>
                <c:pt idx="10">
                  <c:v>BASE</c:v>
                </c:pt>
                <c:pt idx="11">
                  <c:v>FLOATING</c:v>
                </c:pt>
                <c:pt idx="13">
                  <c:v>FLOATING</c:v>
                </c:pt>
                <c:pt idx="14">
                  <c:v>PUSHER PLATE</c:v>
                </c:pt>
                <c:pt idx="15">
                  <c:v>BASE</c:v>
                </c:pt>
                <c:pt idx="16">
                  <c:v>BASE</c:v>
                </c:pt>
                <c:pt idx="17">
                  <c:v>BASE</c:v>
                </c:pt>
                <c:pt idx="21">
                  <c:v>LEAD GUIDER</c:v>
                </c:pt>
                <c:pt idx="22">
                  <c:v>SLIDER</c:v>
                </c:pt>
                <c:pt idx="23">
                  <c:v>COVER</c:v>
                </c:pt>
                <c:pt idx="24">
                  <c:v>BASE</c:v>
                </c:pt>
              </c:strCache>
            </c:strRef>
          </c:cat>
          <c:val>
            <c:numRef>
              <c:f>'03'!$J$6:$J$30</c:f>
              <c:numCache>
                <c:formatCode>_(* #,##0_);_(* \(#,##0\);_(* "-"_);_(@_)</c:formatCode>
                <c:ptCount val="25"/>
                <c:pt idx="0">
                  <c:v>3519</c:v>
                </c:pt>
                <c:pt idx="1">
                  <c:v>7112</c:v>
                </c:pt>
                <c:pt idx="2">
                  <c:v>2367</c:v>
                </c:pt>
                <c:pt idx="3">
                  <c:v>12404</c:v>
                </c:pt>
                <c:pt idx="4">
                  <c:v>5744</c:v>
                </c:pt>
                <c:pt idx="5">
                  <c:v>1971</c:v>
                </c:pt>
                <c:pt idx="6">
                  <c:v>370</c:v>
                </c:pt>
                <c:pt idx="7">
                  <c:v>409</c:v>
                </c:pt>
                <c:pt idx="8">
                  <c:v>9738</c:v>
                </c:pt>
                <c:pt idx="9">
                  <c:v>4027</c:v>
                </c:pt>
                <c:pt idx="10">
                  <c:v>391</c:v>
                </c:pt>
                <c:pt idx="11">
                  <c:v>1490</c:v>
                </c:pt>
                <c:pt idx="12">
                  <c:v>9134</c:v>
                </c:pt>
                <c:pt idx="13">
                  <c:v>1123</c:v>
                </c:pt>
                <c:pt idx="14">
                  <c:v>4364</c:v>
                </c:pt>
                <c:pt idx="15">
                  <c:v>12128</c:v>
                </c:pt>
                <c:pt idx="16">
                  <c:v>1060</c:v>
                </c:pt>
                <c:pt idx="17">
                  <c:v>10896</c:v>
                </c:pt>
                <c:pt idx="18">
                  <c:v>54476</c:v>
                </c:pt>
                <c:pt idx="19">
                  <c:v>465060</c:v>
                </c:pt>
                <c:pt idx="20">
                  <c:v>0</c:v>
                </c:pt>
                <c:pt idx="21">
                  <c:v>31996</c:v>
                </c:pt>
                <c:pt idx="22">
                  <c:v>28802</c:v>
                </c:pt>
                <c:pt idx="23">
                  <c:v>26944</c:v>
                </c:pt>
                <c:pt idx="24">
                  <c:v>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0-4FBF-9A61-3891430B7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'03'!$AD$6:$AD$30</c:f>
              <c:strCache>
                <c:ptCount val="25"/>
                <c:pt idx="0">
                  <c:v>63%</c:v>
                </c:pt>
                <c:pt idx="1">
                  <c:v>79%</c:v>
                </c:pt>
                <c:pt idx="2">
                  <c:v>50%</c:v>
                </c:pt>
                <c:pt idx="3">
                  <c:v>100%</c:v>
                </c:pt>
                <c:pt idx="4">
                  <c:v>100%</c:v>
                </c:pt>
                <c:pt idx="5">
                  <c:v>42%</c:v>
                </c:pt>
                <c:pt idx="6">
                  <c:v>13%</c:v>
                </c:pt>
                <c:pt idx="7">
                  <c:v>13%</c:v>
                </c:pt>
                <c:pt idx="8">
                  <c:v>100%</c:v>
                </c:pt>
                <c:pt idx="9">
                  <c:v>96%</c:v>
                </c:pt>
                <c:pt idx="10">
                  <c:v>0%</c:v>
                </c:pt>
                <c:pt idx="11">
                  <c:v>0%</c:v>
                </c:pt>
                <c:pt idx="12">
                  <c:v>83%</c:v>
                </c:pt>
                <c:pt idx="13">
                  <c:v>29%</c:v>
                </c:pt>
                <c:pt idx="14">
                  <c:v>50%</c:v>
                </c:pt>
                <c:pt idx="15">
                  <c:v>100%</c:v>
                </c:pt>
                <c:pt idx="16">
                  <c:v>79%</c:v>
                </c:pt>
                <c:pt idx="17">
                  <c:v>100%</c:v>
                </c:pt>
                <c:pt idx="18">
                  <c:v>88%</c:v>
                </c:pt>
                <c:pt idx="19">
                  <c:v>100%</c:v>
                </c:pt>
                <c:pt idx="20">
                  <c:v>0%</c:v>
                </c:pt>
                <c:pt idx="21">
                  <c:v>0%</c:v>
                </c:pt>
                <c:pt idx="22">
                  <c:v>0%</c:v>
                </c:pt>
                <c:pt idx="23">
                  <c:v>0%</c:v>
                </c:pt>
                <c:pt idx="24">
                  <c:v>46%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'03'!$D$6:$D$30</c:f>
              <c:strCache>
                <c:ptCount val="25"/>
                <c:pt idx="0">
                  <c:v>F/A</c:v>
                </c:pt>
                <c:pt idx="1">
                  <c:v>ADAPTER</c:v>
                </c:pt>
                <c:pt idx="2">
                  <c:v>SLIDER</c:v>
                </c:pt>
                <c:pt idx="4">
                  <c:v>COVER</c:v>
                </c:pt>
                <c:pt idx="5">
                  <c:v>BASE</c:v>
                </c:pt>
                <c:pt idx="6">
                  <c:v>STOPPER</c:v>
                </c:pt>
                <c:pt idx="7">
                  <c:v>ACTUATOR</c:v>
                </c:pt>
                <c:pt idx="8">
                  <c:v>BASE</c:v>
                </c:pt>
                <c:pt idx="9">
                  <c:v>BOTTOM</c:v>
                </c:pt>
                <c:pt idx="10">
                  <c:v>BASE</c:v>
                </c:pt>
                <c:pt idx="11">
                  <c:v>FLOATING</c:v>
                </c:pt>
                <c:pt idx="13">
                  <c:v>FLOATING</c:v>
                </c:pt>
                <c:pt idx="14">
                  <c:v>PUSHER PLATE</c:v>
                </c:pt>
                <c:pt idx="15">
                  <c:v>BASE</c:v>
                </c:pt>
                <c:pt idx="16">
                  <c:v>BASE</c:v>
                </c:pt>
                <c:pt idx="17">
                  <c:v>BASE</c:v>
                </c:pt>
                <c:pt idx="21">
                  <c:v>LEAD GUIDER</c:v>
                </c:pt>
                <c:pt idx="22">
                  <c:v>SLIDER</c:v>
                </c:pt>
                <c:pt idx="23">
                  <c:v>COVER</c:v>
                </c:pt>
                <c:pt idx="24">
                  <c:v>BASE</c:v>
                </c:pt>
              </c:strCache>
            </c:strRef>
          </c:cat>
          <c:val>
            <c:numRef>
              <c:f>'03'!$AD$6:$AD$30</c:f>
              <c:numCache>
                <c:formatCode>0%</c:formatCode>
                <c:ptCount val="25"/>
                <c:pt idx="0">
                  <c:v>0.625</c:v>
                </c:pt>
                <c:pt idx="1">
                  <c:v>0.79166666666666663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0.41666666666666669</c:v>
                </c:pt>
                <c:pt idx="6">
                  <c:v>0.125</c:v>
                </c:pt>
                <c:pt idx="7">
                  <c:v>0.125</c:v>
                </c:pt>
                <c:pt idx="8">
                  <c:v>1</c:v>
                </c:pt>
                <c:pt idx="9">
                  <c:v>0.95833333333333337</c:v>
                </c:pt>
                <c:pt idx="10">
                  <c:v>0</c:v>
                </c:pt>
                <c:pt idx="11">
                  <c:v>0</c:v>
                </c:pt>
                <c:pt idx="12">
                  <c:v>0.83333333333333337</c:v>
                </c:pt>
                <c:pt idx="13">
                  <c:v>0.29166666666666669</c:v>
                </c:pt>
                <c:pt idx="14">
                  <c:v>0.5</c:v>
                </c:pt>
                <c:pt idx="15">
                  <c:v>1</c:v>
                </c:pt>
                <c:pt idx="16">
                  <c:v>0.79166666666666663</c:v>
                </c:pt>
                <c:pt idx="17">
                  <c:v>1</c:v>
                </c:pt>
                <c:pt idx="18">
                  <c:v>0.875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0.45833333333333331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6-4CAC-BA6F-A56419C753ED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46-4CAC-BA6F-A56419C753E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'03'!$D$6:$D$30</c:f>
              <c:strCache>
                <c:ptCount val="25"/>
                <c:pt idx="0">
                  <c:v>F/A</c:v>
                </c:pt>
                <c:pt idx="1">
                  <c:v>ADAPTER</c:v>
                </c:pt>
                <c:pt idx="2">
                  <c:v>SLIDER</c:v>
                </c:pt>
                <c:pt idx="4">
                  <c:v>COVER</c:v>
                </c:pt>
                <c:pt idx="5">
                  <c:v>BASE</c:v>
                </c:pt>
                <c:pt idx="6">
                  <c:v>STOPPER</c:v>
                </c:pt>
                <c:pt idx="7">
                  <c:v>ACTUATOR</c:v>
                </c:pt>
                <c:pt idx="8">
                  <c:v>BASE</c:v>
                </c:pt>
                <c:pt idx="9">
                  <c:v>BOTTOM</c:v>
                </c:pt>
                <c:pt idx="10">
                  <c:v>BASE</c:v>
                </c:pt>
                <c:pt idx="11">
                  <c:v>FLOATING</c:v>
                </c:pt>
                <c:pt idx="13">
                  <c:v>FLOATING</c:v>
                </c:pt>
                <c:pt idx="14">
                  <c:v>PUSHER PLATE</c:v>
                </c:pt>
                <c:pt idx="15">
                  <c:v>BASE</c:v>
                </c:pt>
                <c:pt idx="16">
                  <c:v>BASE</c:v>
                </c:pt>
                <c:pt idx="17">
                  <c:v>BASE</c:v>
                </c:pt>
                <c:pt idx="21">
                  <c:v>LEAD GUIDER</c:v>
                </c:pt>
                <c:pt idx="22">
                  <c:v>SLIDER</c:v>
                </c:pt>
                <c:pt idx="23">
                  <c:v>COVER</c:v>
                </c:pt>
                <c:pt idx="24">
                  <c:v>BASE</c:v>
                </c:pt>
              </c:strCache>
            </c:strRef>
          </c:cat>
          <c:val>
            <c:numRef>
              <c:f>'03'!$AE$6:$AE$30</c:f>
              <c:numCache>
                <c:formatCode>0%</c:formatCode>
                <c:ptCount val="25"/>
                <c:pt idx="0">
                  <c:v>0.53166666666666662</c:v>
                </c:pt>
                <c:pt idx="1">
                  <c:v>0.53166666666666662</c:v>
                </c:pt>
                <c:pt idx="2">
                  <c:v>0.53166666666666662</c:v>
                </c:pt>
                <c:pt idx="3">
                  <c:v>0.53166666666666662</c:v>
                </c:pt>
                <c:pt idx="4">
                  <c:v>0.53166666666666662</c:v>
                </c:pt>
                <c:pt idx="5">
                  <c:v>0.53166666666666662</c:v>
                </c:pt>
                <c:pt idx="6">
                  <c:v>0.53166666666666662</c:v>
                </c:pt>
                <c:pt idx="7">
                  <c:v>0.53166666666666662</c:v>
                </c:pt>
                <c:pt idx="8">
                  <c:v>0.53166666666666662</c:v>
                </c:pt>
                <c:pt idx="9">
                  <c:v>0.53166666666666662</c:v>
                </c:pt>
                <c:pt idx="10">
                  <c:v>0.53166666666666662</c:v>
                </c:pt>
                <c:pt idx="11">
                  <c:v>0.53166666666666662</c:v>
                </c:pt>
                <c:pt idx="12">
                  <c:v>0.53166666666666662</c:v>
                </c:pt>
                <c:pt idx="13">
                  <c:v>0.53166666666666662</c:v>
                </c:pt>
                <c:pt idx="14">
                  <c:v>0.53166666666666662</c:v>
                </c:pt>
                <c:pt idx="15">
                  <c:v>0.53166666666666662</c:v>
                </c:pt>
                <c:pt idx="16">
                  <c:v>0.53166666666666662</c:v>
                </c:pt>
                <c:pt idx="17">
                  <c:v>0.53166666666666662</c:v>
                </c:pt>
                <c:pt idx="18">
                  <c:v>0.53166666666666662</c:v>
                </c:pt>
                <c:pt idx="19">
                  <c:v>0.53166666666666662</c:v>
                </c:pt>
                <c:pt idx="20">
                  <c:v>0.53166666666666662</c:v>
                </c:pt>
                <c:pt idx="21">
                  <c:v>0.53166666666666662</c:v>
                </c:pt>
                <c:pt idx="22">
                  <c:v>0.53166666666666662</c:v>
                </c:pt>
                <c:pt idx="23">
                  <c:v>0.53166666666666662</c:v>
                </c:pt>
                <c:pt idx="24">
                  <c:v>0.53166666666666662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46-4CAC-BA6F-A56419C75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총괄!$A$25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905B-4018-B5C6-FBCBE7A642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총괄!$B$25:$AG$25</c:f>
              <c:numCache>
                <c:formatCode>0%</c:formatCode>
                <c:ptCount val="32"/>
                <c:pt idx="0">
                  <c:v>0.59455128205128216</c:v>
                </c:pt>
                <c:pt idx="1">
                  <c:v>0.64666666666666672</c:v>
                </c:pt>
                <c:pt idx="2">
                  <c:v>0.53166666666666662</c:v>
                </c:pt>
                <c:pt idx="3">
                  <c:v>0.46376811594202894</c:v>
                </c:pt>
                <c:pt idx="5">
                  <c:v>0.47159090909090912</c:v>
                </c:pt>
                <c:pt idx="6">
                  <c:v>0.40705128205128205</c:v>
                </c:pt>
                <c:pt idx="7">
                  <c:v>0.3737847222222222</c:v>
                </c:pt>
                <c:pt idx="8">
                  <c:v>0.56310012437810952</c:v>
                </c:pt>
                <c:pt idx="9">
                  <c:v>0.55862000713761029</c:v>
                </c:pt>
                <c:pt idx="12">
                  <c:v>0.60416666666666652</c:v>
                </c:pt>
                <c:pt idx="13">
                  <c:v>0.42129629629629628</c:v>
                </c:pt>
                <c:pt idx="14">
                  <c:v>0.50666666666666671</c:v>
                </c:pt>
                <c:pt idx="15">
                  <c:v>0.58333333333333337</c:v>
                </c:pt>
                <c:pt idx="16">
                  <c:v>0.6382575757575758</c:v>
                </c:pt>
                <c:pt idx="22">
                  <c:v>0.58876811594202916</c:v>
                </c:pt>
                <c:pt idx="23">
                  <c:v>0.67424242424242431</c:v>
                </c:pt>
                <c:pt idx="26">
                  <c:v>0.40909090909090901</c:v>
                </c:pt>
                <c:pt idx="27">
                  <c:v>0.47463768115942034</c:v>
                </c:pt>
                <c:pt idx="28">
                  <c:v>0.43840579710144922</c:v>
                </c:pt>
                <c:pt idx="29">
                  <c:v>0.61413043478260865</c:v>
                </c:pt>
                <c:pt idx="31">
                  <c:v>0.35212652257487181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5B-4018-B5C6-FBCBE7A64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05B-4018-B5C6-FBCBE7A642E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총괄!$B$26:$AG$26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5B-4018-B5C6-FBCBE7A64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'04'!$D$6:$D$28</c:f>
              <c:strCache>
                <c:ptCount val="23"/>
                <c:pt idx="0">
                  <c:v>F/A</c:v>
                </c:pt>
                <c:pt idx="1">
                  <c:v>ADAPTER</c:v>
                </c:pt>
                <c:pt idx="2">
                  <c:v>SLIDER</c:v>
                </c:pt>
                <c:pt idx="4">
                  <c:v>COVER</c:v>
                </c:pt>
                <c:pt idx="6">
                  <c:v>BASE</c:v>
                </c:pt>
                <c:pt idx="7">
                  <c:v>TOP</c:v>
                </c:pt>
                <c:pt idx="8">
                  <c:v>BOTTOM</c:v>
                </c:pt>
                <c:pt idx="9">
                  <c:v>BASE</c:v>
                </c:pt>
                <c:pt idx="10">
                  <c:v>FLOATING</c:v>
                </c:pt>
                <c:pt idx="12">
                  <c:v>SLIDER</c:v>
                </c:pt>
                <c:pt idx="13">
                  <c:v>BASE</c:v>
                </c:pt>
                <c:pt idx="14">
                  <c:v>BASE</c:v>
                </c:pt>
                <c:pt idx="15">
                  <c:v>BASE</c:v>
                </c:pt>
                <c:pt idx="19">
                  <c:v>LEAD GUIDER</c:v>
                </c:pt>
                <c:pt idx="20">
                  <c:v>SLIDER</c:v>
                </c:pt>
                <c:pt idx="21">
                  <c:v>COVER</c:v>
                </c:pt>
                <c:pt idx="22">
                  <c:v>BASE</c:v>
                </c:pt>
              </c:strCache>
            </c:strRef>
          </c:cat>
          <c:val>
            <c:numRef>
              <c:f>'04'!$L$6:$L$28</c:f>
              <c:numCache>
                <c:formatCode>_(* #,##0_);_(* \(#,##0\);_(* "-"_);_(@_)</c:formatCode>
                <c:ptCount val="23"/>
                <c:pt idx="1">
                  <c:v>9722</c:v>
                </c:pt>
                <c:pt idx="2">
                  <c:v>4983</c:v>
                </c:pt>
                <c:pt idx="3">
                  <c:v>10374</c:v>
                </c:pt>
                <c:pt idx="4">
                  <c:v>4980</c:v>
                </c:pt>
                <c:pt idx="5">
                  <c:v>3288</c:v>
                </c:pt>
                <c:pt idx="6">
                  <c:v>8082</c:v>
                </c:pt>
                <c:pt idx="7">
                  <c:v>1554</c:v>
                </c:pt>
                <c:pt idx="8">
                  <c:v>2113</c:v>
                </c:pt>
                <c:pt idx="11">
                  <c:v>10312</c:v>
                </c:pt>
                <c:pt idx="12">
                  <c:v>6408</c:v>
                </c:pt>
                <c:pt idx="13">
                  <c:v>9906</c:v>
                </c:pt>
                <c:pt idx="14">
                  <c:v>290</c:v>
                </c:pt>
                <c:pt idx="15">
                  <c:v>8170</c:v>
                </c:pt>
                <c:pt idx="16">
                  <c:v>54396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8-4BF2-9FD3-C1E655883A51}"/>
            </c:ext>
          </c:extLst>
        </c:ser>
        <c:ser>
          <c:idx val="1"/>
          <c:order val="1"/>
          <c:tx>
            <c:v>계획</c:v>
          </c:tx>
          <c:cat>
            <c:strRef>
              <c:f>'04'!$D$6:$D$28</c:f>
              <c:strCache>
                <c:ptCount val="23"/>
                <c:pt idx="0">
                  <c:v>F/A</c:v>
                </c:pt>
                <c:pt idx="1">
                  <c:v>ADAPTER</c:v>
                </c:pt>
                <c:pt idx="2">
                  <c:v>SLIDER</c:v>
                </c:pt>
                <c:pt idx="4">
                  <c:v>COVER</c:v>
                </c:pt>
                <c:pt idx="6">
                  <c:v>BASE</c:v>
                </c:pt>
                <c:pt idx="7">
                  <c:v>TOP</c:v>
                </c:pt>
                <c:pt idx="8">
                  <c:v>BOTTOM</c:v>
                </c:pt>
                <c:pt idx="9">
                  <c:v>BASE</c:v>
                </c:pt>
                <c:pt idx="10">
                  <c:v>FLOATING</c:v>
                </c:pt>
                <c:pt idx="12">
                  <c:v>SLIDER</c:v>
                </c:pt>
                <c:pt idx="13">
                  <c:v>BASE</c:v>
                </c:pt>
                <c:pt idx="14">
                  <c:v>BASE</c:v>
                </c:pt>
                <c:pt idx="15">
                  <c:v>BASE</c:v>
                </c:pt>
                <c:pt idx="19">
                  <c:v>LEAD GUIDER</c:v>
                </c:pt>
                <c:pt idx="20">
                  <c:v>SLIDER</c:v>
                </c:pt>
                <c:pt idx="21">
                  <c:v>COVER</c:v>
                </c:pt>
                <c:pt idx="22">
                  <c:v>BASE</c:v>
                </c:pt>
              </c:strCache>
            </c:strRef>
          </c:cat>
          <c:val>
            <c:numRef>
              <c:f>'04'!$J$6:$J$28</c:f>
              <c:numCache>
                <c:formatCode>_(* #,##0_);_(* \(#,##0\);_(* "-"_);_(@_)</c:formatCode>
                <c:ptCount val="23"/>
                <c:pt idx="0">
                  <c:v>3519</c:v>
                </c:pt>
                <c:pt idx="1">
                  <c:v>9722</c:v>
                </c:pt>
                <c:pt idx="2">
                  <c:v>4983</c:v>
                </c:pt>
                <c:pt idx="3">
                  <c:v>10374</c:v>
                </c:pt>
                <c:pt idx="4">
                  <c:v>4980</c:v>
                </c:pt>
                <c:pt idx="5">
                  <c:v>3288</c:v>
                </c:pt>
                <c:pt idx="6">
                  <c:v>8082</c:v>
                </c:pt>
                <c:pt idx="7">
                  <c:v>1554</c:v>
                </c:pt>
                <c:pt idx="8">
                  <c:v>2113</c:v>
                </c:pt>
                <c:pt idx="9">
                  <c:v>391</c:v>
                </c:pt>
                <c:pt idx="10">
                  <c:v>1490</c:v>
                </c:pt>
                <c:pt idx="11">
                  <c:v>10312</c:v>
                </c:pt>
                <c:pt idx="12">
                  <c:v>6408</c:v>
                </c:pt>
                <c:pt idx="13">
                  <c:v>9906</c:v>
                </c:pt>
                <c:pt idx="14">
                  <c:v>290</c:v>
                </c:pt>
                <c:pt idx="15">
                  <c:v>8170</c:v>
                </c:pt>
                <c:pt idx="16">
                  <c:v>54396</c:v>
                </c:pt>
                <c:pt idx="17">
                  <c:v>465060</c:v>
                </c:pt>
                <c:pt idx="18">
                  <c:v>0</c:v>
                </c:pt>
                <c:pt idx="19">
                  <c:v>31996</c:v>
                </c:pt>
                <c:pt idx="20">
                  <c:v>28802</c:v>
                </c:pt>
                <c:pt idx="21">
                  <c:v>26944</c:v>
                </c:pt>
                <c:pt idx="22">
                  <c:v>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8-4BF2-9FD3-C1E655883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'04'!$AD$6:$AD$28</c:f>
              <c:strCache>
                <c:ptCount val="23"/>
                <c:pt idx="0">
                  <c:v>0%</c:v>
                </c:pt>
                <c:pt idx="1">
                  <c:v>100%</c:v>
                </c:pt>
                <c:pt idx="2">
                  <c:v>100%</c:v>
                </c:pt>
                <c:pt idx="3">
                  <c:v>100%</c:v>
                </c:pt>
                <c:pt idx="4">
                  <c:v>100%</c:v>
                </c:pt>
                <c:pt idx="5">
                  <c:v>71%</c:v>
                </c:pt>
                <c:pt idx="6">
                  <c:v>100%</c:v>
                </c:pt>
                <c:pt idx="7">
                  <c:v>33%</c:v>
                </c:pt>
                <c:pt idx="8">
                  <c:v>33%</c:v>
                </c:pt>
                <c:pt idx="9">
                  <c:v>0%</c:v>
                </c:pt>
                <c:pt idx="10">
                  <c:v>0%</c:v>
                </c:pt>
                <c:pt idx="11">
                  <c:v>100%</c:v>
                </c:pt>
                <c:pt idx="12">
                  <c:v>29%</c:v>
                </c:pt>
                <c:pt idx="13">
                  <c:v>100%</c:v>
                </c:pt>
                <c:pt idx="14">
                  <c:v>17%</c:v>
                </c:pt>
                <c:pt idx="15">
                  <c:v>83%</c:v>
                </c:pt>
                <c:pt idx="16">
                  <c:v>100%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  <c:pt idx="22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'04'!$D$6:$D$28</c:f>
              <c:strCache>
                <c:ptCount val="23"/>
                <c:pt idx="0">
                  <c:v>F/A</c:v>
                </c:pt>
                <c:pt idx="1">
                  <c:v>ADAPTER</c:v>
                </c:pt>
                <c:pt idx="2">
                  <c:v>SLIDER</c:v>
                </c:pt>
                <c:pt idx="4">
                  <c:v>COVER</c:v>
                </c:pt>
                <c:pt idx="6">
                  <c:v>BASE</c:v>
                </c:pt>
                <c:pt idx="7">
                  <c:v>TOP</c:v>
                </c:pt>
                <c:pt idx="8">
                  <c:v>BOTTOM</c:v>
                </c:pt>
                <c:pt idx="9">
                  <c:v>BASE</c:v>
                </c:pt>
                <c:pt idx="10">
                  <c:v>FLOATING</c:v>
                </c:pt>
                <c:pt idx="12">
                  <c:v>SLIDER</c:v>
                </c:pt>
                <c:pt idx="13">
                  <c:v>BASE</c:v>
                </c:pt>
                <c:pt idx="14">
                  <c:v>BASE</c:v>
                </c:pt>
                <c:pt idx="15">
                  <c:v>BASE</c:v>
                </c:pt>
                <c:pt idx="19">
                  <c:v>LEAD GUIDER</c:v>
                </c:pt>
                <c:pt idx="20">
                  <c:v>SLIDER</c:v>
                </c:pt>
                <c:pt idx="21">
                  <c:v>COVER</c:v>
                </c:pt>
                <c:pt idx="22">
                  <c:v>BASE</c:v>
                </c:pt>
              </c:strCache>
            </c:strRef>
          </c:cat>
          <c:val>
            <c:numRef>
              <c:f>'04'!$AD$6:$AD$28</c:f>
              <c:numCache>
                <c:formatCode>0%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0.70833333333333337</c:v>
                </c:pt>
                <c:pt idx="6">
                  <c:v>1</c:v>
                </c:pt>
                <c:pt idx="7">
                  <c:v>0.33333333333333331</c:v>
                </c:pt>
                <c:pt idx="8">
                  <c:v>0.33333333333333331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0.29166666666666669</c:v>
                </c:pt>
                <c:pt idx="13">
                  <c:v>1</c:v>
                </c:pt>
                <c:pt idx="14">
                  <c:v>0.16666666666666666</c:v>
                </c:pt>
                <c:pt idx="15">
                  <c:v>0.83333333333333337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2-4D9C-B404-CC6705682D86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782-4D9C-B404-CC6705682D8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'04'!$D$6:$D$28</c:f>
              <c:strCache>
                <c:ptCount val="23"/>
                <c:pt idx="0">
                  <c:v>F/A</c:v>
                </c:pt>
                <c:pt idx="1">
                  <c:v>ADAPTER</c:v>
                </c:pt>
                <c:pt idx="2">
                  <c:v>SLIDER</c:v>
                </c:pt>
                <c:pt idx="4">
                  <c:v>COVER</c:v>
                </c:pt>
                <c:pt idx="6">
                  <c:v>BASE</c:v>
                </c:pt>
                <c:pt idx="7">
                  <c:v>TOP</c:v>
                </c:pt>
                <c:pt idx="8">
                  <c:v>BOTTOM</c:v>
                </c:pt>
                <c:pt idx="9">
                  <c:v>BASE</c:v>
                </c:pt>
                <c:pt idx="10">
                  <c:v>FLOATING</c:v>
                </c:pt>
                <c:pt idx="12">
                  <c:v>SLIDER</c:v>
                </c:pt>
                <c:pt idx="13">
                  <c:v>BASE</c:v>
                </c:pt>
                <c:pt idx="14">
                  <c:v>BASE</c:v>
                </c:pt>
                <c:pt idx="15">
                  <c:v>BASE</c:v>
                </c:pt>
                <c:pt idx="19">
                  <c:v>LEAD GUIDER</c:v>
                </c:pt>
                <c:pt idx="20">
                  <c:v>SLIDER</c:v>
                </c:pt>
                <c:pt idx="21">
                  <c:v>COVER</c:v>
                </c:pt>
                <c:pt idx="22">
                  <c:v>BASE</c:v>
                </c:pt>
              </c:strCache>
            </c:strRef>
          </c:cat>
          <c:val>
            <c:numRef>
              <c:f>'04'!$AE$6:$AE$28</c:f>
              <c:numCache>
                <c:formatCode>0%</c:formatCode>
                <c:ptCount val="23"/>
                <c:pt idx="0">
                  <c:v>0.46376811594202894</c:v>
                </c:pt>
                <c:pt idx="1">
                  <c:v>0.46376811594202894</c:v>
                </c:pt>
                <c:pt idx="2">
                  <c:v>0.46376811594202894</c:v>
                </c:pt>
                <c:pt idx="3">
                  <c:v>0.46376811594202894</c:v>
                </c:pt>
                <c:pt idx="4">
                  <c:v>0.46376811594202894</c:v>
                </c:pt>
                <c:pt idx="5">
                  <c:v>0.46376811594202894</c:v>
                </c:pt>
                <c:pt idx="6">
                  <c:v>0.46376811594202894</c:v>
                </c:pt>
                <c:pt idx="7">
                  <c:v>0.46376811594202894</c:v>
                </c:pt>
                <c:pt idx="8">
                  <c:v>0.46376811594202894</c:v>
                </c:pt>
                <c:pt idx="9">
                  <c:v>0.46376811594202894</c:v>
                </c:pt>
                <c:pt idx="10">
                  <c:v>0.46376811594202894</c:v>
                </c:pt>
                <c:pt idx="11">
                  <c:v>0.46376811594202894</c:v>
                </c:pt>
                <c:pt idx="12">
                  <c:v>0.46376811594202894</c:v>
                </c:pt>
                <c:pt idx="13">
                  <c:v>0.46376811594202894</c:v>
                </c:pt>
                <c:pt idx="14">
                  <c:v>0.46376811594202894</c:v>
                </c:pt>
                <c:pt idx="15">
                  <c:v>0.46376811594202894</c:v>
                </c:pt>
                <c:pt idx="16">
                  <c:v>0.46376811594202894</c:v>
                </c:pt>
                <c:pt idx="17">
                  <c:v>0.46376811594202894</c:v>
                </c:pt>
                <c:pt idx="18">
                  <c:v>0.46376811594202894</c:v>
                </c:pt>
                <c:pt idx="19">
                  <c:v>0.46376811594202894</c:v>
                </c:pt>
                <c:pt idx="20">
                  <c:v>0.46376811594202894</c:v>
                </c:pt>
                <c:pt idx="21">
                  <c:v>0.46376811594202894</c:v>
                </c:pt>
                <c:pt idx="22">
                  <c:v>0.46376811594202894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82-4D9C-B404-CC6705682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'04'!$D$6:$D$28</c:f>
              <c:strCache>
                <c:ptCount val="23"/>
                <c:pt idx="0">
                  <c:v>F/A</c:v>
                </c:pt>
                <c:pt idx="1">
                  <c:v>ADAPTER</c:v>
                </c:pt>
                <c:pt idx="2">
                  <c:v>SLIDER</c:v>
                </c:pt>
                <c:pt idx="4">
                  <c:v>COVER</c:v>
                </c:pt>
                <c:pt idx="6">
                  <c:v>BASE</c:v>
                </c:pt>
                <c:pt idx="7">
                  <c:v>TOP</c:v>
                </c:pt>
                <c:pt idx="8">
                  <c:v>BOTTOM</c:v>
                </c:pt>
                <c:pt idx="9">
                  <c:v>BASE</c:v>
                </c:pt>
                <c:pt idx="10">
                  <c:v>FLOATING</c:v>
                </c:pt>
                <c:pt idx="12">
                  <c:v>SLIDER</c:v>
                </c:pt>
                <c:pt idx="13">
                  <c:v>BASE</c:v>
                </c:pt>
                <c:pt idx="14">
                  <c:v>BASE</c:v>
                </c:pt>
                <c:pt idx="15">
                  <c:v>BASE</c:v>
                </c:pt>
                <c:pt idx="19">
                  <c:v>LEAD GUIDER</c:v>
                </c:pt>
                <c:pt idx="20">
                  <c:v>SLIDER</c:v>
                </c:pt>
                <c:pt idx="21">
                  <c:v>COVER</c:v>
                </c:pt>
                <c:pt idx="22">
                  <c:v>BASE</c:v>
                </c:pt>
              </c:strCache>
            </c:strRef>
          </c:cat>
          <c:val>
            <c:numRef>
              <c:f>'04'!$L$6:$L$28</c:f>
              <c:numCache>
                <c:formatCode>_(* #,##0_);_(* \(#,##0\);_(* "-"_);_(@_)</c:formatCode>
                <c:ptCount val="23"/>
                <c:pt idx="1">
                  <c:v>9722</c:v>
                </c:pt>
                <c:pt idx="2">
                  <c:v>4983</c:v>
                </c:pt>
                <c:pt idx="3">
                  <c:v>10374</c:v>
                </c:pt>
                <c:pt idx="4">
                  <c:v>4980</c:v>
                </c:pt>
                <c:pt idx="5">
                  <c:v>3288</c:v>
                </c:pt>
                <c:pt idx="6">
                  <c:v>8082</c:v>
                </c:pt>
                <c:pt idx="7">
                  <c:v>1554</c:v>
                </c:pt>
                <c:pt idx="8">
                  <c:v>2113</c:v>
                </c:pt>
                <c:pt idx="11">
                  <c:v>10312</c:v>
                </c:pt>
                <c:pt idx="12">
                  <c:v>6408</c:v>
                </c:pt>
                <c:pt idx="13">
                  <c:v>9906</c:v>
                </c:pt>
                <c:pt idx="14">
                  <c:v>290</c:v>
                </c:pt>
                <c:pt idx="15">
                  <c:v>8170</c:v>
                </c:pt>
                <c:pt idx="16">
                  <c:v>54396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F-447F-BC05-C351E71E024B}"/>
            </c:ext>
          </c:extLst>
        </c:ser>
        <c:ser>
          <c:idx val="1"/>
          <c:order val="1"/>
          <c:tx>
            <c:v>계획</c:v>
          </c:tx>
          <c:cat>
            <c:strRef>
              <c:f>'04'!$D$6:$D$28</c:f>
              <c:strCache>
                <c:ptCount val="23"/>
                <c:pt idx="0">
                  <c:v>F/A</c:v>
                </c:pt>
                <c:pt idx="1">
                  <c:v>ADAPTER</c:v>
                </c:pt>
                <c:pt idx="2">
                  <c:v>SLIDER</c:v>
                </c:pt>
                <c:pt idx="4">
                  <c:v>COVER</c:v>
                </c:pt>
                <c:pt idx="6">
                  <c:v>BASE</c:v>
                </c:pt>
                <c:pt idx="7">
                  <c:v>TOP</c:v>
                </c:pt>
                <c:pt idx="8">
                  <c:v>BOTTOM</c:v>
                </c:pt>
                <c:pt idx="9">
                  <c:v>BASE</c:v>
                </c:pt>
                <c:pt idx="10">
                  <c:v>FLOATING</c:v>
                </c:pt>
                <c:pt idx="12">
                  <c:v>SLIDER</c:v>
                </c:pt>
                <c:pt idx="13">
                  <c:v>BASE</c:v>
                </c:pt>
                <c:pt idx="14">
                  <c:v>BASE</c:v>
                </c:pt>
                <c:pt idx="15">
                  <c:v>BASE</c:v>
                </c:pt>
                <c:pt idx="19">
                  <c:v>LEAD GUIDER</c:v>
                </c:pt>
                <c:pt idx="20">
                  <c:v>SLIDER</c:v>
                </c:pt>
                <c:pt idx="21">
                  <c:v>COVER</c:v>
                </c:pt>
                <c:pt idx="22">
                  <c:v>BASE</c:v>
                </c:pt>
              </c:strCache>
            </c:strRef>
          </c:cat>
          <c:val>
            <c:numRef>
              <c:f>'04'!$J$6:$J$28</c:f>
              <c:numCache>
                <c:formatCode>_(* #,##0_);_(* \(#,##0\);_(* "-"_);_(@_)</c:formatCode>
                <c:ptCount val="23"/>
                <c:pt idx="0">
                  <c:v>3519</c:v>
                </c:pt>
                <c:pt idx="1">
                  <c:v>9722</c:v>
                </c:pt>
                <c:pt idx="2">
                  <c:v>4983</c:v>
                </c:pt>
                <c:pt idx="3">
                  <c:v>10374</c:v>
                </c:pt>
                <c:pt idx="4">
                  <c:v>4980</c:v>
                </c:pt>
                <c:pt idx="5">
                  <c:v>3288</c:v>
                </c:pt>
                <c:pt idx="6">
                  <c:v>8082</c:v>
                </c:pt>
                <c:pt idx="7">
                  <c:v>1554</c:v>
                </c:pt>
                <c:pt idx="8">
                  <c:v>2113</c:v>
                </c:pt>
                <c:pt idx="9">
                  <c:v>391</c:v>
                </c:pt>
                <c:pt idx="10">
                  <c:v>1490</c:v>
                </c:pt>
                <c:pt idx="11">
                  <c:v>10312</c:v>
                </c:pt>
                <c:pt idx="12">
                  <c:v>6408</c:v>
                </c:pt>
                <c:pt idx="13">
                  <c:v>9906</c:v>
                </c:pt>
                <c:pt idx="14">
                  <c:v>290</c:v>
                </c:pt>
                <c:pt idx="15">
                  <c:v>8170</c:v>
                </c:pt>
                <c:pt idx="16">
                  <c:v>54396</c:v>
                </c:pt>
                <c:pt idx="17">
                  <c:v>465060</c:v>
                </c:pt>
                <c:pt idx="18">
                  <c:v>0</c:v>
                </c:pt>
                <c:pt idx="19">
                  <c:v>31996</c:v>
                </c:pt>
                <c:pt idx="20">
                  <c:v>28802</c:v>
                </c:pt>
                <c:pt idx="21">
                  <c:v>26944</c:v>
                </c:pt>
                <c:pt idx="22">
                  <c:v>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8F-447F-BC05-C351E71E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'04'!$AD$6:$AD$28</c:f>
              <c:strCache>
                <c:ptCount val="23"/>
                <c:pt idx="0">
                  <c:v>0%</c:v>
                </c:pt>
                <c:pt idx="1">
                  <c:v>100%</c:v>
                </c:pt>
                <c:pt idx="2">
                  <c:v>100%</c:v>
                </c:pt>
                <c:pt idx="3">
                  <c:v>100%</c:v>
                </c:pt>
                <c:pt idx="4">
                  <c:v>100%</c:v>
                </c:pt>
                <c:pt idx="5">
                  <c:v>71%</c:v>
                </c:pt>
                <c:pt idx="6">
                  <c:v>100%</c:v>
                </c:pt>
                <c:pt idx="7">
                  <c:v>33%</c:v>
                </c:pt>
                <c:pt idx="8">
                  <c:v>33%</c:v>
                </c:pt>
                <c:pt idx="9">
                  <c:v>0%</c:v>
                </c:pt>
                <c:pt idx="10">
                  <c:v>0%</c:v>
                </c:pt>
                <c:pt idx="11">
                  <c:v>100%</c:v>
                </c:pt>
                <c:pt idx="12">
                  <c:v>29%</c:v>
                </c:pt>
                <c:pt idx="13">
                  <c:v>100%</c:v>
                </c:pt>
                <c:pt idx="14">
                  <c:v>17%</c:v>
                </c:pt>
                <c:pt idx="15">
                  <c:v>83%</c:v>
                </c:pt>
                <c:pt idx="16">
                  <c:v>100%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  <c:pt idx="22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'04'!$D$6:$D$28</c:f>
              <c:strCache>
                <c:ptCount val="23"/>
                <c:pt idx="0">
                  <c:v>F/A</c:v>
                </c:pt>
                <c:pt idx="1">
                  <c:v>ADAPTER</c:v>
                </c:pt>
                <c:pt idx="2">
                  <c:v>SLIDER</c:v>
                </c:pt>
                <c:pt idx="4">
                  <c:v>COVER</c:v>
                </c:pt>
                <c:pt idx="6">
                  <c:v>BASE</c:v>
                </c:pt>
                <c:pt idx="7">
                  <c:v>TOP</c:v>
                </c:pt>
                <c:pt idx="8">
                  <c:v>BOTTOM</c:v>
                </c:pt>
                <c:pt idx="9">
                  <c:v>BASE</c:v>
                </c:pt>
                <c:pt idx="10">
                  <c:v>FLOATING</c:v>
                </c:pt>
                <c:pt idx="12">
                  <c:v>SLIDER</c:v>
                </c:pt>
                <c:pt idx="13">
                  <c:v>BASE</c:v>
                </c:pt>
                <c:pt idx="14">
                  <c:v>BASE</c:v>
                </c:pt>
                <c:pt idx="15">
                  <c:v>BASE</c:v>
                </c:pt>
                <c:pt idx="19">
                  <c:v>LEAD GUIDER</c:v>
                </c:pt>
                <c:pt idx="20">
                  <c:v>SLIDER</c:v>
                </c:pt>
                <c:pt idx="21">
                  <c:v>COVER</c:v>
                </c:pt>
                <c:pt idx="22">
                  <c:v>BASE</c:v>
                </c:pt>
              </c:strCache>
            </c:strRef>
          </c:cat>
          <c:val>
            <c:numRef>
              <c:f>'04'!$AD$6:$AD$28</c:f>
              <c:numCache>
                <c:formatCode>0%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0.70833333333333337</c:v>
                </c:pt>
                <c:pt idx="6">
                  <c:v>1</c:v>
                </c:pt>
                <c:pt idx="7">
                  <c:v>0.33333333333333331</c:v>
                </c:pt>
                <c:pt idx="8">
                  <c:v>0.33333333333333331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0.29166666666666669</c:v>
                </c:pt>
                <c:pt idx="13">
                  <c:v>1</c:v>
                </c:pt>
                <c:pt idx="14">
                  <c:v>0.16666666666666666</c:v>
                </c:pt>
                <c:pt idx="15">
                  <c:v>0.83333333333333337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4-4A1D-9543-4EF1B82EBC6C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54-4A1D-9543-4EF1B82EBC6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'04'!$D$6:$D$28</c:f>
              <c:strCache>
                <c:ptCount val="23"/>
                <c:pt idx="0">
                  <c:v>F/A</c:v>
                </c:pt>
                <c:pt idx="1">
                  <c:v>ADAPTER</c:v>
                </c:pt>
                <c:pt idx="2">
                  <c:v>SLIDER</c:v>
                </c:pt>
                <c:pt idx="4">
                  <c:v>COVER</c:v>
                </c:pt>
                <c:pt idx="6">
                  <c:v>BASE</c:v>
                </c:pt>
                <c:pt idx="7">
                  <c:v>TOP</c:v>
                </c:pt>
                <c:pt idx="8">
                  <c:v>BOTTOM</c:v>
                </c:pt>
                <c:pt idx="9">
                  <c:v>BASE</c:v>
                </c:pt>
                <c:pt idx="10">
                  <c:v>FLOATING</c:v>
                </c:pt>
                <c:pt idx="12">
                  <c:v>SLIDER</c:v>
                </c:pt>
                <c:pt idx="13">
                  <c:v>BASE</c:v>
                </c:pt>
                <c:pt idx="14">
                  <c:v>BASE</c:v>
                </c:pt>
                <c:pt idx="15">
                  <c:v>BASE</c:v>
                </c:pt>
                <c:pt idx="19">
                  <c:v>LEAD GUIDER</c:v>
                </c:pt>
                <c:pt idx="20">
                  <c:v>SLIDER</c:v>
                </c:pt>
                <c:pt idx="21">
                  <c:v>COVER</c:v>
                </c:pt>
                <c:pt idx="22">
                  <c:v>BASE</c:v>
                </c:pt>
              </c:strCache>
            </c:strRef>
          </c:cat>
          <c:val>
            <c:numRef>
              <c:f>'04'!$AE$6:$AE$28</c:f>
              <c:numCache>
                <c:formatCode>0%</c:formatCode>
                <c:ptCount val="23"/>
                <c:pt idx="0">
                  <c:v>0.46376811594202894</c:v>
                </c:pt>
                <c:pt idx="1">
                  <c:v>0.46376811594202894</c:v>
                </c:pt>
                <c:pt idx="2">
                  <c:v>0.46376811594202894</c:v>
                </c:pt>
                <c:pt idx="3">
                  <c:v>0.46376811594202894</c:v>
                </c:pt>
                <c:pt idx="4">
                  <c:v>0.46376811594202894</c:v>
                </c:pt>
                <c:pt idx="5">
                  <c:v>0.46376811594202894</c:v>
                </c:pt>
                <c:pt idx="6">
                  <c:v>0.46376811594202894</c:v>
                </c:pt>
                <c:pt idx="7">
                  <c:v>0.46376811594202894</c:v>
                </c:pt>
                <c:pt idx="8">
                  <c:v>0.46376811594202894</c:v>
                </c:pt>
                <c:pt idx="9">
                  <c:v>0.46376811594202894</c:v>
                </c:pt>
                <c:pt idx="10">
                  <c:v>0.46376811594202894</c:v>
                </c:pt>
                <c:pt idx="11">
                  <c:v>0.46376811594202894</c:v>
                </c:pt>
                <c:pt idx="12">
                  <c:v>0.46376811594202894</c:v>
                </c:pt>
                <c:pt idx="13">
                  <c:v>0.46376811594202894</c:v>
                </c:pt>
                <c:pt idx="14">
                  <c:v>0.46376811594202894</c:v>
                </c:pt>
                <c:pt idx="15">
                  <c:v>0.46376811594202894</c:v>
                </c:pt>
                <c:pt idx="16">
                  <c:v>0.46376811594202894</c:v>
                </c:pt>
                <c:pt idx="17">
                  <c:v>0.46376811594202894</c:v>
                </c:pt>
                <c:pt idx="18">
                  <c:v>0.46376811594202894</c:v>
                </c:pt>
                <c:pt idx="19">
                  <c:v>0.46376811594202894</c:v>
                </c:pt>
                <c:pt idx="20">
                  <c:v>0.46376811594202894</c:v>
                </c:pt>
                <c:pt idx="21">
                  <c:v>0.46376811594202894</c:v>
                </c:pt>
                <c:pt idx="22">
                  <c:v>0.46376811594202894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4-4A1D-9543-4EF1B82EB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'01'!$AD$6:$AD$31</c:f>
              <c:strCache>
                <c:ptCount val="26"/>
                <c:pt idx="0">
                  <c:v>0%</c:v>
                </c:pt>
                <c:pt idx="1">
                  <c:v>100%</c:v>
                </c:pt>
                <c:pt idx="2">
                  <c:v>100%</c:v>
                </c:pt>
                <c:pt idx="3">
                  <c:v>79%</c:v>
                </c:pt>
                <c:pt idx="4">
                  <c:v>92%</c:v>
                </c:pt>
                <c:pt idx="5">
                  <c:v>33%</c:v>
                </c:pt>
                <c:pt idx="6">
                  <c:v>54%</c:v>
                </c:pt>
                <c:pt idx="7">
                  <c:v>100%</c:v>
                </c:pt>
                <c:pt idx="8">
                  <c:v>25%</c:v>
                </c:pt>
                <c:pt idx="9">
                  <c:v>25%</c:v>
                </c:pt>
                <c:pt idx="10">
                  <c:v>29%</c:v>
                </c:pt>
                <c:pt idx="11">
                  <c:v>0%</c:v>
                </c:pt>
                <c:pt idx="12">
                  <c:v>100%</c:v>
                </c:pt>
                <c:pt idx="13">
                  <c:v>100%</c:v>
                </c:pt>
                <c:pt idx="14">
                  <c:v>21%</c:v>
                </c:pt>
                <c:pt idx="15">
                  <c:v>71%</c:v>
                </c:pt>
                <c:pt idx="16">
                  <c:v>67%</c:v>
                </c:pt>
                <c:pt idx="17">
                  <c:v>100%</c:v>
                </c:pt>
                <c:pt idx="18">
                  <c:v>33%</c:v>
                </c:pt>
                <c:pt idx="19">
                  <c:v>58%</c:v>
                </c:pt>
                <c:pt idx="20">
                  <c:v>71%</c:v>
                </c:pt>
                <c:pt idx="21">
                  <c:v>0%</c:v>
                </c:pt>
                <c:pt idx="22">
                  <c:v>100%</c:v>
                </c:pt>
                <c:pt idx="23">
                  <c:v>100%</c:v>
                </c:pt>
                <c:pt idx="24">
                  <c:v>0%</c:v>
                </c:pt>
                <c:pt idx="25">
                  <c:v>88%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'01'!$D$6:$D$31</c:f>
              <c:strCache>
                <c:ptCount val="26"/>
                <c:pt idx="0">
                  <c:v>ADAPTER</c:v>
                </c:pt>
                <c:pt idx="1">
                  <c:v>ADAPTER</c:v>
                </c:pt>
                <c:pt idx="2">
                  <c:v>SLIDER</c:v>
                </c:pt>
                <c:pt idx="4">
                  <c:v>COVER</c:v>
                </c:pt>
                <c:pt idx="5">
                  <c:v>LATCH</c:v>
                </c:pt>
                <c:pt idx="6">
                  <c:v>ADAPTER</c:v>
                </c:pt>
                <c:pt idx="7">
                  <c:v>BASE</c:v>
                </c:pt>
                <c:pt idx="8">
                  <c:v>TOP</c:v>
                </c:pt>
                <c:pt idx="9">
                  <c:v>TOP</c:v>
                </c:pt>
                <c:pt idx="10">
                  <c:v>BASE</c:v>
                </c:pt>
                <c:pt idx="11">
                  <c:v>ADAPTER</c:v>
                </c:pt>
                <c:pt idx="13">
                  <c:v>COVER</c:v>
                </c:pt>
                <c:pt idx="14">
                  <c:v>BASE</c:v>
                </c:pt>
                <c:pt idx="15">
                  <c:v>BASE</c:v>
                </c:pt>
                <c:pt idx="16">
                  <c:v>BASE</c:v>
                </c:pt>
                <c:pt idx="17">
                  <c:v>BASE</c:v>
                </c:pt>
                <c:pt idx="22">
                  <c:v>LEAD GUIDER</c:v>
                </c:pt>
                <c:pt idx="23">
                  <c:v>SLIDER</c:v>
                </c:pt>
                <c:pt idx="24">
                  <c:v>COVER</c:v>
                </c:pt>
                <c:pt idx="25">
                  <c:v>BASE</c:v>
                </c:pt>
              </c:strCache>
            </c:strRef>
          </c:cat>
          <c:val>
            <c:numRef>
              <c:f>'01'!$AD$6:$AD$31</c:f>
              <c:numCache>
                <c:formatCode>0%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0.79166666666666663</c:v>
                </c:pt>
                <c:pt idx="4">
                  <c:v>0.91666666666666663</c:v>
                </c:pt>
                <c:pt idx="5">
                  <c:v>0.33333333333333331</c:v>
                </c:pt>
                <c:pt idx="6">
                  <c:v>0.54166666666666663</c:v>
                </c:pt>
                <c:pt idx="7">
                  <c:v>1</c:v>
                </c:pt>
                <c:pt idx="8">
                  <c:v>0.25</c:v>
                </c:pt>
                <c:pt idx="9">
                  <c:v>0.25</c:v>
                </c:pt>
                <c:pt idx="10">
                  <c:v>0.29166666666666669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0.20833333333333334</c:v>
                </c:pt>
                <c:pt idx="15">
                  <c:v>0.70833333333333337</c:v>
                </c:pt>
                <c:pt idx="16">
                  <c:v>0.66666666666666663</c:v>
                </c:pt>
                <c:pt idx="17">
                  <c:v>1</c:v>
                </c:pt>
                <c:pt idx="18">
                  <c:v>0.33333333333333331</c:v>
                </c:pt>
                <c:pt idx="19">
                  <c:v>0.58333333333333337</c:v>
                </c:pt>
                <c:pt idx="20">
                  <c:v>0.70833333333333337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5-4419-BBEF-39B57A24554B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B5-4419-BBEF-39B57A24554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'01'!$D$6:$D$31</c:f>
              <c:strCache>
                <c:ptCount val="26"/>
                <c:pt idx="0">
                  <c:v>ADAPTER</c:v>
                </c:pt>
                <c:pt idx="1">
                  <c:v>ADAPTER</c:v>
                </c:pt>
                <c:pt idx="2">
                  <c:v>SLIDER</c:v>
                </c:pt>
                <c:pt idx="4">
                  <c:v>COVER</c:v>
                </c:pt>
                <c:pt idx="5">
                  <c:v>LATCH</c:v>
                </c:pt>
                <c:pt idx="6">
                  <c:v>ADAPTER</c:v>
                </c:pt>
                <c:pt idx="7">
                  <c:v>BASE</c:v>
                </c:pt>
                <c:pt idx="8">
                  <c:v>TOP</c:v>
                </c:pt>
                <c:pt idx="9">
                  <c:v>TOP</c:v>
                </c:pt>
                <c:pt idx="10">
                  <c:v>BASE</c:v>
                </c:pt>
                <c:pt idx="11">
                  <c:v>ADAPTER</c:v>
                </c:pt>
                <c:pt idx="13">
                  <c:v>COVER</c:v>
                </c:pt>
                <c:pt idx="14">
                  <c:v>BASE</c:v>
                </c:pt>
                <c:pt idx="15">
                  <c:v>BASE</c:v>
                </c:pt>
                <c:pt idx="16">
                  <c:v>BASE</c:v>
                </c:pt>
                <c:pt idx="17">
                  <c:v>BASE</c:v>
                </c:pt>
                <c:pt idx="22">
                  <c:v>LEAD GUIDER</c:v>
                </c:pt>
                <c:pt idx="23">
                  <c:v>SLIDER</c:v>
                </c:pt>
                <c:pt idx="24">
                  <c:v>COVER</c:v>
                </c:pt>
                <c:pt idx="25">
                  <c:v>BASE</c:v>
                </c:pt>
              </c:strCache>
            </c:strRef>
          </c:cat>
          <c:val>
            <c:numRef>
              <c:f>'01'!$AE$6:$AE$31</c:f>
              <c:numCache>
                <c:formatCode>0%</c:formatCode>
                <c:ptCount val="26"/>
                <c:pt idx="0">
                  <c:v>0.59455128205128216</c:v>
                </c:pt>
                <c:pt idx="1">
                  <c:v>0.59455128205128216</c:v>
                </c:pt>
                <c:pt idx="2">
                  <c:v>0.59455128205128216</c:v>
                </c:pt>
                <c:pt idx="3">
                  <c:v>0.59455128205128216</c:v>
                </c:pt>
                <c:pt idx="4">
                  <c:v>0.59455128205128216</c:v>
                </c:pt>
                <c:pt idx="5">
                  <c:v>0.59455128205128216</c:v>
                </c:pt>
                <c:pt idx="6">
                  <c:v>0.59455128205128216</c:v>
                </c:pt>
                <c:pt idx="7">
                  <c:v>0.59455128205128216</c:v>
                </c:pt>
                <c:pt idx="8">
                  <c:v>0.59455128205128216</c:v>
                </c:pt>
                <c:pt idx="9">
                  <c:v>0.59455128205128216</c:v>
                </c:pt>
                <c:pt idx="10">
                  <c:v>0.59455128205128216</c:v>
                </c:pt>
                <c:pt idx="11">
                  <c:v>0.59455128205128216</c:v>
                </c:pt>
                <c:pt idx="12">
                  <c:v>0.59455128205128216</c:v>
                </c:pt>
                <c:pt idx="13">
                  <c:v>0.59455128205128216</c:v>
                </c:pt>
                <c:pt idx="14">
                  <c:v>0.59455128205128216</c:v>
                </c:pt>
                <c:pt idx="15">
                  <c:v>0.59455128205128216</c:v>
                </c:pt>
                <c:pt idx="16">
                  <c:v>0.59455128205128216</c:v>
                </c:pt>
                <c:pt idx="17">
                  <c:v>0.59455128205128216</c:v>
                </c:pt>
                <c:pt idx="18">
                  <c:v>0.59455128205128216</c:v>
                </c:pt>
                <c:pt idx="19">
                  <c:v>0.59455128205128216</c:v>
                </c:pt>
                <c:pt idx="20">
                  <c:v>0.59455128205128216</c:v>
                </c:pt>
                <c:pt idx="21">
                  <c:v>0.59455128205128216</c:v>
                </c:pt>
                <c:pt idx="22">
                  <c:v>0.59455128205128216</c:v>
                </c:pt>
                <c:pt idx="23">
                  <c:v>0.59455128205128216</c:v>
                </c:pt>
                <c:pt idx="24">
                  <c:v>0.59455128205128216</c:v>
                </c:pt>
                <c:pt idx="25">
                  <c:v>0.59455128205128216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B5-4419-BBEF-39B57A245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총괄!$A$25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50A5-4223-B1C3-16CC2C9A17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총괄!$B$25:$AG$25</c:f>
              <c:numCache>
                <c:formatCode>0%</c:formatCode>
                <c:ptCount val="32"/>
                <c:pt idx="0">
                  <c:v>0.59455128205128216</c:v>
                </c:pt>
                <c:pt idx="1">
                  <c:v>0.64666666666666672</c:v>
                </c:pt>
                <c:pt idx="2">
                  <c:v>0.53166666666666662</c:v>
                </c:pt>
                <c:pt idx="3">
                  <c:v>0.46376811594202894</c:v>
                </c:pt>
                <c:pt idx="5">
                  <c:v>0.47159090909090912</c:v>
                </c:pt>
                <c:pt idx="6">
                  <c:v>0.40705128205128205</c:v>
                </c:pt>
                <c:pt idx="7">
                  <c:v>0.3737847222222222</c:v>
                </c:pt>
                <c:pt idx="8">
                  <c:v>0.56310012437810952</c:v>
                </c:pt>
                <c:pt idx="9">
                  <c:v>0.55862000713761029</c:v>
                </c:pt>
                <c:pt idx="12">
                  <c:v>0.60416666666666652</c:v>
                </c:pt>
                <c:pt idx="13">
                  <c:v>0.42129629629629628</c:v>
                </c:pt>
                <c:pt idx="14">
                  <c:v>0.50666666666666671</c:v>
                </c:pt>
                <c:pt idx="15">
                  <c:v>0.58333333333333337</c:v>
                </c:pt>
                <c:pt idx="16">
                  <c:v>0.6382575757575758</c:v>
                </c:pt>
                <c:pt idx="22">
                  <c:v>0.58876811594202916</c:v>
                </c:pt>
                <c:pt idx="23">
                  <c:v>0.67424242424242431</c:v>
                </c:pt>
                <c:pt idx="26">
                  <c:v>0.40909090909090901</c:v>
                </c:pt>
                <c:pt idx="27">
                  <c:v>0.47463768115942034</c:v>
                </c:pt>
                <c:pt idx="28">
                  <c:v>0.43840579710144922</c:v>
                </c:pt>
                <c:pt idx="29">
                  <c:v>0.61413043478260865</c:v>
                </c:pt>
                <c:pt idx="31">
                  <c:v>0.35212652257487181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A5-4223-B1C3-16CC2C9A1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0A5-4223-B1C3-16CC2C9A17B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총괄!$B$26:$AG$26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A5-4223-B1C3-16CC2C9A1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'06'!$D$6:$D$27</c:f>
              <c:strCache>
                <c:ptCount val="22"/>
                <c:pt idx="0">
                  <c:v>SLIDER</c:v>
                </c:pt>
                <c:pt idx="1">
                  <c:v>ADAPTER</c:v>
                </c:pt>
                <c:pt idx="2">
                  <c:v>SLIDER</c:v>
                </c:pt>
                <c:pt idx="3">
                  <c:v>STOPPER</c:v>
                </c:pt>
                <c:pt idx="4">
                  <c:v>COVER</c:v>
                </c:pt>
                <c:pt idx="5">
                  <c:v>BASE</c:v>
                </c:pt>
                <c:pt idx="6">
                  <c:v>BASE</c:v>
                </c:pt>
                <c:pt idx="7">
                  <c:v>TOP</c:v>
                </c:pt>
                <c:pt idx="8">
                  <c:v>BASE</c:v>
                </c:pt>
                <c:pt idx="9">
                  <c:v>RIVET</c:v>
                </c:pt>
                <c:pt idx="10">
                  <c:v>STOPPER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  <c:pt idx="18">
                  <c:v>LEAD GUIDER</c:v>
                </c:pt>
                <c:pt idx="19">
                  <c:v>SLIDER</c:v>
                </c:pt>
                <c:pt idx="20">
                  <c:v>COVER</c:v>
                </c:pt>
                <c:pt idx="21">
                  <c:v>BASE</c:v>
                </c:pt>
              </c:strCache>
            </c:strRef>
          </c:cat>
          <c:val>
            <c:numRef>
              <c:f>'06'!$L$6:$L$27</c:f>
              <c:numCache>
                <c:formatCode>_(* #,##0_);_(* \(#,##0\);_(* "-"_);_(@_)</c:formatCode>
                <c:ptCount val="22"/>
                <c:pt idx="1">
                  <c:v>10964</c:v>
                </c:pt>
                <c:pt idx="2">
                  <c:v>6240</c:v>
                </c:pt>
                <c:pt idx="3">
                  <c:v>3954</c:v>
                </c:pt>
                <c:pt idx="4">
                  <c:v>3619</c:v>
                </c:pt>
                <c:pt idx="5">
                  <c:v>300</c:v>
                </c:pt>
                <c:pt idx="6">
                  <c:v>9034</c:v>
                </c:pt>
                <c:pt idx="7">
                  <c:v>3232</c:v>
                </c:pt>
                <c:pt idx="9">
                  <c:v>34980</c:v>
                </c:pt>
                <c:pt idx="10">
                  <c:v>3166</c:v>
                </c:pt>
                <c:pt idx="11">
                  <c:v>4266</c:v>
                </c:pt>
                <c:pt idx="12">
                  <c:v>11662</c:v>
                </c:pt>
                <c:pt idx="14">
                  <c:v>1188</c:v>
                </c:pt>
                <c:pt idx="15">
                  <c:v>57856</c:v>
                </c:pt>
                <c:pt idx="16">
                  <c:v>421290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D-4A14-8083-CE86EC7F097E}"/>
            </c:ext>
          </c:extLst>
        </c:ser>
        <c:ser>
          <c:idx val="1"/>
          <c:order val="1"/>
          <c:tx>
            <c:v>계획</c:v>
          </c:tx>
          <c:cat>
            <c:strRef>
              <c:f>'06'!$D$6:$D$27</c:f>
              <c:strCache>
                <c:ptCount val="22"/>
                <c:pt idx="0">
                  <c:v>SLIDER</c:v>
                </c:pt>
                <c:pt idx="1">
                  <c:v>ADAPTER</c:v>
                </c:pt>
                <c:pt idx="2">
                  <c:v>SLIDER</c:v>
                </c:pt>
                <c:pt idx="3">
                  <c:v>STOPPER</c:v>
                </c:pt>
                <c:pt idx="4">
                  <c:v>COVER</c:v>
                </c:pt>
                <c:pt idx="5">
                  <c:v>BASE</c:v>
                </c:pt>
                <c:pt idx="6">
                  <c:v>BASE</c:v>
                </c:pt>
                <c:pt idx="7">
                  <c:v>TOP</c:v>
                </c:pt>
                <c:pt idx="8">
                  <c:v>BASE</c:v>
                </c:pt>
                <c:pt idx="9">
                  <c:v>RIVET</c:v>
                </c:pt>
                <c:pt idx="10">
                  <c:v>STOPPER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  <c:pt idx="18">
                  <c:v>LEAD GUIDER</c:v>
                </c:pt>
                <c:pt idx="19">
                  <c:v>SLIDER</c:v>
                </c:pt>
                <c:pt idx="20">
                  <c:v>COVER</c:v>
                </c:pt>
                <c:pt idx="21">
                  <c:v>BASE</c:v>
                </c:pt>
              </c:strCache>
            </c:strRef>
          </c:cat>
          <c:val>
            <c:numRef>
              <c:f>'06'!$J$6:$J$27</c:f>
              <c:numCache>
                <c:formatCode>_(* #,##0_);_(* \(#,##0\);_(* "-"_);_(@_)</c:formatCode>
                <c:ptCount val="22"/>
                <c:pt idx="0">
                  <c:v>3519</c:v>
                </c:pt>
                <c:pt idx="1">
                  <c:v>10964</c:v>
                </c:pt>
                <c:pt idx="2">
                  <c:v>6240</c:v>
                </c:pt>
                <c:pt idx="3">
                  <c:v>3954</c:v>
                </c:pt>
                <c:pt idx="4">
                  <c:v>3619</c:v>
                </c:pt>
                <c:pt idx="5">
                  <c:v>300</c:v>
                </c:pt>
                <c:pt idx="6">
                  <c:v>9034</c:v>
                </c:pt>
                <c:pt idx="7">
                  <c:v>3232</c:v>
                </c:pt>
                <c:pt idx="8">
                  <c:v>391</c:v>
                </c:pt>
                <c:pt idx="9">
                  <c:v>34980</c:v>
                </c:pt>
                <c:pt idx="10">
                  <c:v>3166</c:v>
                </c:pt>
                <c:pt idx="11">
                  <c:v>4266</c:v>
                </c:pt>
                <c:pt idx="12">
                  <c:v>11662</c:v>
                </c:pt>
                <c:pt idx="13">
                  <c:v>290</c:v>
                </c:pt>
                <c:pt idx="14">
                  <c:v>1188</c:v>
                </c:pt>
                <c:pt idx="15">
                  <c:v>57856</c:v>
                </c:pt>
                <c:pt idx="16">
                  <c:v>421290</c:v>
                </c:pt>
                <c:pt idx="17">
                  <c:v>0</c:v>
                </c:pt>
                <c:pt idx="18">
                  <c:v>31996</c:v>
                </c:pt>
                <c:pt idx="19">
                  <c:v>28802</c:v>
                </c:pt>
                <c:pt idx="20">
                  <c:v>26944</c:v>
                </c:pt>
                <c:pt idx="21">
                  <c:v>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BD-4A14-8083-CE86EC7F0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'06'!$AD$6:$AD$27</c:f>
              <c:strCache>
                <c:ptCount val="22"/>
                <c:pt idx="0">
                  <c:v>0%</c:v>
                </c:pt>
                <c:pt idx="1">
                  <c:v>100%</c:v>
                </c:pt>
                <c:pt idx="2">
                  <c:v>54%</c:v>
                </c:pt>
                <c:pt idx="3">
                  <c:v>79%</c:v>
                </c:pt>
                <c:pt idx="4">
                  <c:v>83%</c:v>
                </c:pt>
                <c:pt idx="5">
                  <c:v>17%</c:v>
                </c:pt>
                <c:pt idx="6">
                  <c:v>100%</c:v>
                </c:pt>
                <c:pt idx="7">
                  <c:v>75%</c:v>
                </c:pt>
                <c:pt idx="8">
                  <c:v>0%</c:v>
                </c:pt>
                <c:pt idx="9">
                  <c:v>92%</c:v>
                </c:pt>
                <c:pt idx="10">
                  <c:v>38%</c:v>
                </c:pt>
                <c:pt idx="11">
                  <c:v>88%</c:v>
                </c:pt>
                <c:pt idx="12">
                  <c:v>100%</c:v>
                </c:pt>
                <c:pt idx="13">
                  <c:v>0%</c:v>
                </c:pt>
                <c:pt idx="14">
                  <c:v>13%</c:v>
                </c:pt>
                <c:pt idx="15">
                  <c:v>100%</c:v>
                </c:pt>
                <c:pt idx="16">
                  <c:v>100%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'06'!$D$6:$D$27</c:f>
              <c:strCache>
                <c:ptCount val="22"/>
                <c:pt idx="0">
                  <c:v>SLIDER</c:v>
                </c:pt>
                <c:pt idx="1">
                  <c:v>ADAPTER</c:v>
                </c:pt>
                <c:pt idx="2">
                  <c:v>SLIDER</c:v>
                </c:pt>
                <c:pt idx="3">
                  <c:v>STOPPER</c:v>
                </c:pt>
                <c:pt idx="4">
                  <c:v>COVER</c:v>
                </c:pt>
                <c:pt idx="5">
                  <c:v>BASE</c:v>
                </c:pt>
                <c:pt idx="6">
                  <c:v>BASE</c:v>
                </c:pt>
                <c:pt idx="7">
                  <c:v>TOP</c:v>
                </c:pt>
                <c:pt idx="8">
                  <c:v>BASE</c:v>
                </c:pt>
                <c:pt idx="9">
                  <c:v>RIVET</c:v>
                </c:pt>
                <c:pt idx="10">
                  <c:v>STOPPER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  <c:pt idx="18">
                  <c:v>LEAD GUIDER</c:v>
                </c:pt>
                <c:pt idx="19">
                  <c:v>SLIDER</c:v>
                </c:pt>
                <c:pt idx="20">
                  <c:v>COVER</c:v>
                </c:pt>
                <c:pt idx="21">
                  <c:v>BASE</c:v>
                </c:pt>
              </c:strCache>
            </c:strRef>
          </c:cat>
          <c:val>
            <c:numRef>
              <c:f>'06'!$AD$6:$AD$27</c:f>
              <c:numCache>
                <c:formatCode>0%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0.54166666666666663</c:v>
                </c:pt>
                <c:pt idx="3">
                  <c:v>0.79166666666666663</c:v>
                </c:pt>
                <c:pt idx="4">
                  <c:v>0.83333333333333337</c:v>
                </c:pt>
                <c:pt idx="5">
                  <c:v>0.16666666666666666</c:v>
                </c:pt>
                <c:pt idx="6">
                  <c:v>1</c:v>
                </c:pt>
                <c:pt idx="7">
                  <c:v>0.75</c:v>
                </c:pt>
                <c:pt idx="8">
                  <c:v>0</c:v>
                </c:pt>
                <c:pt idx="9">
                  <c:v>0.91666666666666663</c:v>
                </c:pt>
                <c:pt idx="10">
                  <c:v>0.375</c:v>
                </c:pt>
                <c:pt idx="11">
                  <c:v>0.875</c:v>
                </c:pt>
                <c:pt idx="12">
                  <c:v>1</c:v>
                </c:pt>
                <c:pt idx="13">
                  <c:v>0</c:v>
                </c:pt>
                <c:pt idx="14">
                  <c:v>0.125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4-4F89-BE83-5D0450669EC4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D4-4F89-BE83-5D0450669EC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'06'!$D$6:$D$27</c:f>
              <c:strCache>
                <c:ptCount val="22"/>
                <c:pt idx="0">
                  <c:v>SLIDER</c:v>
                </c:pt>
                <c:pt idx="1">
                  <c:v>ADAPTER</c:v>
                </c:pt>
                <c:pt idx="2">
                  <c:v>SLIDER</c:v>
                </c:pt>
                <c:pt idx="3">
                  <c:v>STOPPER</c:v>
                </c:pt>
                <c:pt idx="4">
                  <c:v>COVER</c:v>
                </c:pt>
                <c:pt idx="5">
                  <c:v>BASE</c:v>
                </c:pt>
                <c:pt idx="6">
                  <c:v>BASE</c:v>
                </c:pt>
                <c:pt idx="7">
                  <c:v>TOP</c:v>
                </c:pt>
                <c:pt idx="8">
                  <c:v>BASE</c:v>
                </c:pt>
                <c:pt idx="9">
                  <c:v>RIVET</c:v>
                </c:pt>
                <c:pt idx="10">
                  <c:v>STOPPER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  <c:pt idx="18">
                  <c:v>LEAD GUIDER</c:v>
                </c:pt>
                <c:pt idx="19">
                  <c:v>SLIDER</c:v>
                </c:pt>
                <c:pt idx="20">
                  <c:v>COVER</c:v>
                </c:pt>
                <c:pt idx="21">
                  <c:v>BASE</c:v>
                </c:pt>
              </c:strCache>
            </c:strRef>
          </c:cat>
          <c:val>
            <c:numRef>
              <c:f>'06'!$AE$6:$AE$27</c:f>
              <c:numCache>
                <c:formatCode>0%</c:formatCode>
                <c:ptCount val="22"/>
                <c:pt idx="0">
                  <c:v>0.47159090909090912</c:v>
                </c:pt>
                <c:pt idx="1">
                  <c:v>0.47159090909090912</c:v>
                </c:pt>
                <c:pt idx="2">
                  <c:v>0.47159090909090912</c:v>
                </c:pt>
                <c:pt idx="3">
                  <c:v>0.47159090909090912</c:v>
                </c:pt>
                <c:pt idx="4">
                  <c:v>0.47159090909090912</c:v>
                </c:pt>
                <c:pt idx="5">
                  <c:v>0.47159090909090912</c:v>
                </c:pt>
                <c:pt idx="6">
                  <c:v>0.47159090909090912</c:v>
                </c:pt>
                <c:pt idx="7">
                  <c:v>0.47159090909090912</c:v>
                </c:pt>
                <c:pt idx="8">
                  <c:v>0.47159090909090912</c:v>
                </c:pt>
                <c:pt idx="9">
                  <c:v>0.47159090909090912</c:v>
                </c:pt>
                <c:pt idx="10">
                  <c:v>0.47159090909090912</c:v>
                </c:pt>
                <c:pt idx="11">
                  <c:v>0.47159090909090912</c:v>
                </c:pt>
                <c:pt idx="12">
                  <c:v>0.47159090909090912</c:v>
                </c:pt>
                <c:pt idx="13">
                  <c:v>0.47159090909090912</c:v>
                </c:pt>
                <c:pt idx="14">
                  <c:v>0.47159090909090912</c:v>
                </c:pt>
                <c:pt idx="15">
                  <c:v>0.47159090909090912</c:v>
                </c:pt>
                <c:pt idx="16">
                  <c:v>0.47159090909090912</c:v>
                </c:pt>
                <c:pt idx="17">
                  <c:v>0.47159090909090912</c:v>
                </c:pt>
                <c:pt idx="18">
                  <c:v>0.47159090909090912</c:v>
                </c:pt>
                <c:pt idx="19">
                  <c:v>0.47159090909090912</c:v>
                </c:pt>
                <c:pt idx="20">
                  <c:v>0.47159090909090912</c:v>
                </c:pt>
                <c:pt idx="21">
                  <c:v>0.47159090909090912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D4-4F89-BE83-5D0450669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'06'!$D$6:$D$27</c:f>
              <c:strCache>
                <c:ptCount val="22"/>
                <c:pt idx="0">
                  <c:v>SLIDER</c:v>
                </c:pt>
                <c:pt idx="1">
                  <c:v>ADAPTER</c:v>
                </c:pt>
                <c:pt idx="2">
                  <c:v>SLIDER</c:v>
                </c:pt>
                <c:pt idx="3">
                  <c:v>STOPPER</c:v>
                </c:pt>
                <c:pt idx="4">
                  <c:v>COVER</c:v>
                </c:pt>
                <c:pt idx="5">
                  <c:v>BASE</c:v>
                </c:pt>
                <c:pt idx="6">
                  <c:v>BASE</c:v>
                </c:pt>
                <c:pt idx="7">
                  <c:v>TOP</c:v>
                </c:pt>
                <c:pt idx="8">
                  <c:v>BASE</c:v>
                </c:pt>
                <c:pt idx="9">
                  <c:v>RIVET</c:v>
                </c:pt>
                <c:pt idx="10">
                  <c:v>STOPPER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  <c:pt idx="18">
                  <c:v>LEAD GUIDER</c:v>
                </c:pt>
                <c:pt idx="19">
                  <c:v>SLIDER</c:v>
                </c:pt>
                <c:pt idx="20">
                  <c:v>COVER</c:v>
                </c:pt>
                <c:pt idx="21">
                  <c:v>BASE</c:v>
                </c:pt>
              </c:strCache>
            </c:strRef>
          </c:cat>
          <c:val>
            <c:numRef>
              <c:f>'06'!$L$6:$L$27</c:f>
              <c:numCache>
                <c:formatCode>_(* #,##0_);_(* \(#,##0\);_(* "-"_);_(@_)</c:formatCode>
                <c:ptCount val="22"/>
                <c:pt idx="1">
                  <c:v>10964</c:v>
                </c:pt>
                <c:pt idx="2">
                  <c:v>6240</c:v>
                </c:pt>
                <c:pt idx="3">
                  <c:v>3954</c:v>
                </c:pt>
                <c:pt idx="4">
                  <c:v>3619</c:v>
                </c:pt>
                <c:pt idx="5">
                  <c:v>300</c:v>
                </c:pt>
                <c:pt idx="6">
                  <c:v>9034</c:v>
                </c:pt>
                <c:pt idx="7">
                  <c:v>3232</c:v>
                </c:pt>
                <c:pt idx="9">
                  <c:v>34980</c:v>
                </c:pt>
                <c:pt idx="10">
                  <c:v>3166</c:v>
                </c:pt>
                <c:pt idx="11">
                  <c:v>4266</c:v>
                </c:pt>
                <c:pt idx="12">
                  <c:v>11662</c:v>
                </c:pt>
                <c:pt idx="14">
                  <c:v>1188</c:v>
                </c:pt>
                <c:pt idx="15">
                  <c:v>57856</c:v>
                </c:pt>
                <c:pt idx="16">
                  <c:v>421290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1-4F2C-BC79-52D127443C97}"/>
            </c:ext>
          </c:extLst>
        </c:ser>
        <c:ser>
          <c:idx val="1"/>
          <c:order val="1"/>
          <c:tx>
            <c:v>계획</c:v>
          </c:tx>
          <c:cat>
            <c:strRef>
              <c:f>'06'!$D$6:$D$27</c:f>
              <c:strCache>
                <c:ptCount val="22"/>
                <c:pt idx="0">
                  <c:v>SLIDER</c:v>
                </c:pt>
                <c:pt idx="1">
                  <c:v>ADAPTER</c:v>
                </c:pt>
                <c:pt idx="2">
                  <c:v>SLIDER</c:v>
                </c:pt>
                <c:pt idx="3">
                  <c:v>STOPPER</c:v>
                </c:pt>
                <c:pt idx="4">
                  <c:v>COVER</c:v>
                </c:pt>
                <c:pt idx="5">
                  <c:v>BASE</c:v>
                </c:pt>
                <c:pt idx="6">
                  <c:v>BASE</c:v>
                </c:pt>
                <c:pt idx="7">
                  <c:v>TOP</c:v>
                </c:pt>
                <c:pt idx="8">
                  <c:v>BASE</c:v>
                </c:pt>
                <c:pt idx="9">
                  <c:v>RIVET</c:v>
                </c:pt>
                <c:pt idx="10">
                  <c:v>STOPPER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  <c:pt idx="18">
                  <c:v>LEAD GUIDER</c:v>
                </c:pt>
                <c:pt idx="19">
                  <c:v>SLIDER</c:v>
                </c:pt>
                <c:pt idx="20">
                  <c:v>COVER</c:v>
                </c:pt>
                <c:pt idx="21">
                  <c:v>BASE</c:v>
                </c:pt>
              </c:strCache>
            </c:strRef>
          </c:cat>
          <c:val>
            <c:numRef>
              <c:f>'06'!$J$6:$J$27</c:f>
              <c:numCache>
                <c:formatCode>_(* #,##0_);_(* \(#,##0\);_(* "-"_);_(@_)</c:formatCode>
                <c:ptCount val="22"/>
                <c:pt idx="0">
                  <c:v>3519</c:v>
                </c:pt>
                <c:pt idx="1">
                  <c:v>10964</c:v>
                </c:pt>
                <c:pt idx="2">
                  <c:v>6240</c:v>
                </c:pt>
                <c:pt idx="3">
                  <c:v>3954</c:v>
                </c:pt>
                <c:pt idx="4">
                  <c:v>3619</c:v>
                </c:pt>
                <c:pt idx="5">
                  <c:v>300</c:v>
                </c:pt>
                <c:pt idx="6">
                  <c:v>9034</c:v>
                </c:pt>
                <c:pt idx="7">
                  <c:v>3232</c:v>
                </c:pt>
                <c:pt idx="8">
                  <c:v>391</c:v>
                </c:pt>
                <c:pt idx="9">
                  <c:v>34980</c:v>
                </c:pt>
                <c:pt idx="10">
                  <c:v>3166</c:v>
                </c:pt>
                <c:pt idx="11">
                  <c:v>4266</c:v>
                </c:pt>
                <c:pt idx="12">
                  <c:v>11662</c:v>
                </c:pt>
                <c:pt idx="13">
                  <c:v>290</c:v>
                </c:pt>
                <c:pt idx="14">
                  <c:v>1188</c:v>
                </c:pt>
                <c:pt idx="15">
                  <c:v>57856</c:v>
                </c:pt>
                <c:pt idx="16">
                  <c:v>421290</c:v>
                </c:pt>
                <c:pt idx="17">
                  <c:v>0</c:v>
                </c:pt>
                <c:pt idx="18">
                  <c:v>31996</c:v>
                </c:pt>
                <c:pt idx="19">
                  <c:v>28802</c:v>
                </c:pt>
                <c:pt idx="20">
                  <c:v>26944</c:v>
                </c:pt>
                <c:pt idx="21">
                  <c:v>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1-4F2C-BC79-52D127443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'06'!$AD$6:$AD$27</c:f>
              <c:strCache>
                <c:ptCount val="22"/>
                <c:pt idx="0">
                  <c:v>0%</c:v>
                </c:pt>
                <c:pt idx="1">
                  <c:v>100%</c:v>
                </c:pt>
                <c:pt idx="2">
                  <c:v>54%</c:v>
                </c:pt>
                <c:pt idx="3">
                  <c:v>79%</c:v>
                </c:pt>
                <c:pt idx="4">
                  <c:v>83%</c:v>
                </c:pt>
                <c:pt idx="5">
                  <c:v>17%</c:v>
                </c:pt>
                <c:pt idx="6">
                  <c:v>100%</c:v>
                </c:pt>
                <c:pt idx="7">
                  <c:v>75%</c:v>
                </c:pt>
                <c:pt idx="8">
                  <c:v>0%</c:v>
                </c:pt>
                <c:pt idx="9">
                  <c:v>92%</c:v>
                </c:pt>
                <c:pt idx="10">
                  <c:v>38%</c:v>
                </c:pt>
                <c:pt idx="11">
                  <c:v>88%</c:v>
                </c:pt>
                <c:pt idx="12">
                  <c:v>100%</c:v>
                </c:pt>
                <c:pt idx="13">
                  <c:v>0%</c:v>
                </c:pt>
                <c:pt idx="14">
                  <c:v>13%</c:v>
                </c:pt>
                <c:pt idx="15">
                  <c:v>100%</c:v>
                </c:pt>
                <c:pt idx="16">
                  <c:v>100%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'06'!$D$6:$D$27</c:f>
              <c:strCache>
                <c:ptCount val="22"/>
                <c:pt idx="0">
                  <c:v>SLIDER</c:v>
                </c:pt>
                <c:pt idx="1">
                  <c:v>ADAPTER</c:v>
                </c:pt>
                <c:pt idx="2">
                  <c:v>SLIDER</c:v>
                </c:pt>
                <c:pt idx="3">
                  <c:v>STOPPER</c:v>
                </c:pt>
                <c:pt idx="4">
                  <c:v>COVER</c:v>
                </c:pt>
                <c:pt idx="5">
                  <c:v>BASE</c:v>
                </c:pt>
                <c:pt idx="6">
                  <c:v>BASE</c:v>
                </c:pt>
                <c:pt idx="7">
                  <c:v>TOP</c:v>
                </c:pt>
                <c:pt idx="8">
                  <c:v>BASE</c:v>
                </c:pt>
                <c:pt idx="9">
                  <c:v>RIVET</c:v>
                </c:pt>
                <c:pt idx="10">
                  <c:v>STOPPER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  <c:pt idx="18">
                  <c:v>LEAD GUIDER</c:v>
                </c:pt>
                <c:pt idx="19">
                  <c:v>SLIDER</c:v>
                </c:pt>
                <c:pt idx="20">
                  <c:v>COVER</c:v>
                </c:pt>
                <c:pt idx="21">
                  <c:v>BASE</c:v>
                </c:pt>
              </c:strCache>
            </c:strRef>
          </c:cat>
          <c:val>
            <c:numRef>
              <c:f>'06'!$AD$6:$AD$27</c:f>
              <c:numCache>
                <c:formatCode>0%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0.54166666666666663</c:v>
                </c:pt>
                <c:pt idx="3">
                  <c:v>0.79166666666666663</c:v>
                </c:pt>
                <c:pt idx="4">
                  <c:v>0.83333333333333337</c:v>
                </c:pt>
                <c:pt idx="5">
                  <c:v>0.16666666666666666</c:v>
                </c:pt>
                <c:pt idx="6">
                  <c:v>1</c:v>
                </c:pt>
                <c:pt idx="7">
                  <c:v>0.75</c:v>
                </c:pt>
                <c:pt idx="8">
                  <c:v>0</c:v>
                </c:pt>
                <c:pt idx="9">
                  <c:v>0.91666666666666663</c:v>
                </c:pt>
                <c:pt idx="10">
                  <c:v>0.375</c:v>
                </c:pt>
                <c:pt idx="11">
                  <c:v>0.875</c:v>
                </c:pt>
                <c:pt idx="12">
                  <c:v>1</c:v>
                </c:pt>
                <c:pt idx="13">
                  <c:v>0</c:v>
                </c:pt>
                <c:pt idx="14">
                  <c:v>0.125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0-4A46-BA43-0AA6D64BCF99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A0-4A46-BA43-0AA6D64BCF9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'06'!$D$6:$D$27</c:f>
              <c:strCache>
                <c:ptCount val="22"/>
                <c:pt idx="0">
                  <c:v>SLIDER</c:v>
                </c:pt>
                <c:pt idx="1">
                  <c:v>ADAPTER</c:v>
                </c:pt>
                <c:pt idx="2">
                  <c:v>SLIDER</c:v>
                </c:pt>
                <c:pt idx="3">
                  <c:v>STOPPER</c:v>
                </c:pt>
                <c:pt idx="4">
                  <c:v>COVER</c:v>
                </c:pt>
                <c:pt idx="5">
                  <c:v>BASE</c:v>
                </c:pt>
                <c:pt idx="6">
                  <c:v>BASE</c:v>
                </c:pt>
                <c:pt idx="7">
                  <c:v>TOP</c:v>
                </c:pt>
                <c:pt idx="8">
                  <c:v>BASE</c:v>
                </c:pt>
                <c:pt idx="9">
                  <c:v>RIVET</c:v>
                </c:pt>
                <c:pt idx="10">
                  <c:v>STOPPER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BASE</c:v>
                </c:pt>
                <c:pt idx="18">
                  <c:v>LEAD GUIDER</c:v>
                </c:pt>
                <c:pt idx="19">
                  <c:v>SLIDER</c:v>
                </c:pt>
                <c:pt idx="20">
                  <c:v>COVER</c:v>
                </c:pt>
                <c:pt idx="21">
                  <c:v>BASE</c:v>
                </c:pt>
              </c:strCache>
            </c:strRef>
          </c:cat>
          <c:val>
            <c:numRef>
              <c:f>'06'!$AE$6:$AE$27</c:f>
              <c:numCache>
                <c:formatCode>0%</c:formatCode>
                <c:ptCount val="22"/>
                <c:pt idx="0">
                  <c:v>0.47159090909090912</c:v>
                </c:pt>
                <c:pt idx="1">
                  <c:v>0.47159090909090912</c:v>
                </c:pt>
                <c:pt idx="2">
                  <c:v>0.47159090909090912</c:v>
                </c:pt>
                <c:pt idx="3">
                  <c:v>0.47159090909090912</c:v>
                </c:pt>
                <c:pt idx="4">
                  <c:v>0.47159090909090912</c:v>
                </c:pt>
                <c:pt idx="5">
                  <c:v>0.47159090909090912</c:v>
                </c:pt>
                <c:pt idx="6">
                  <c:v>0.47159090909090912</c:v>
                </c:pt>
                <c:pt idx="7">
                  <c:v>0.47159090909090912</c:v>
                </c:pt>
                <c:pt idx="8">
                  <c:v>0.47159090909090912</c:v>
                </c:pt>
                <c:pt idx="9">
                  <c:v>0.47159090909090912</c:v>
                </c:pt>
                <c:pt idx="10">
                  <c:v>0.47159090909090912</c:v>
                </c:pt>
                <c:pt idx="11">
                  <c:v>0.47159090909090912</c:v>
                </c:pt>
                <c:pt idx="12">
                  <c:v>0.47159090909090912</c:v>
                </c:pt>
                <c:pt idx="13">
                  <c:v>0.47159090909090912</c:v>
                </c:pt>
                <c:pt idx="14">
                  <c:v>0.47159090909090912</c:v>
                </c:pt>
                <c:pt idx="15">
                  <c:v>0.47159090909090912</c:v>
                </c:pt>
                <c:pt idx="16">
                  <c:v>0.47159090909090912</c:v>
                </c:pt>
                <c:pt idx="17">
                  <c:v>0.47159090909090912</c:v>
                </c:pt>
                <c:pt idx="18">
                  <c:v>0.47159090909090912</c:v>
                </c:pt>
                <c:pt idx="19">
                  <c:v>0.47159090909090912</c:v>
                </c:pt>
                <c:pt idx="20">
                  <c:v>0.47159090909090912</c:v>
                </c:pt>
                <c:pt idx="21">
                  <c:v>0.47159090909090912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A0-4A46-BA43-0AA6D64BC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총괄!$A$25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41E7-4920-9DE8-723015689A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총괄!$B$25:$AG$25</c:f>
              <c:numCache>
                <c:formatCode>0%</c:formatCode>
                <c:ptCount val="32"/>
                <c:pt idx="0">
                  <c:v>0.59455128205128216</c:v>
                </c:pt>
                <c:pt idx="1">
                  <c:v>0.64666666666666672</c:v>
                </c:pt>
                <c:pt idx="2">
                  <c:v>0.53166666666666662</c:v>
                </c:pt>
                <c:pt idx="3">
                  <c:v>0.46376811594202894</c:v>
                </c:pt>
                <c:pt idx="5">
                  <c:v>0.47159090909090912</c:v>
                </c:pt>
                <c:pt idx="6">
                  <c:v>0.40705128205128205</c:v>
                </c:pt>
                <c:pt idx="7">
                  <c:v>0.3737847222222222</c:v>
                </c:pt>
                <c:pt idx="8">
                  <c:v>0.56310012437810952</c:v>
                </c:pt>
                <c:pt idx="9">
                  <c:v>0.55862000713761029</c:v>
                </c:pt>
                <c:pt idx="12">
                  <c:v>0.60416666666666652</c:v>
                </c:pt>
                <c:pt idx="13">
                  <c:v>0.42129629629629628</c:v>
                </c:pt>
                <c:pt idx="14">
                  <c:v>0.50666666666666671</c:v>
                </c:pt>
                <c:pt idx="15">
                  <c:v>0.58333333333333337</c:v>
                </c:pt>
                <c:pt idx="16">
                  <c:v>0.6382575757575758</c:v>
                </c:pt>
                <c:pt idx="22">
                  <c:v>0.58876811594202916</c:v>
                </c:pt>
                <c:pt idx="23">
                  <c:v>0.67424242424242431</c:v>
                </c:pt>
                <c:pt idx="26">
                  <c:v>0.40909090909090901</c:v>
                </c:pt>
                <c:pt idx="27">
                  <c:v>0.47463768115942034</c:v>
                </c:pt>
                <c:pt idx="28">
                  <c:v>0.43840579710144922</c:v>
                </c:pt>
                <c:pt idx="29">
                  <c:v>0.61413043478260865</c:v>
                </c:pt>
                <c:pt idx="31">
                  <c:v>0.35212652257487181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7-4920-9DE8-723015689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41E7-4920-9DE8-723015689A2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총괄!$B$26:$AG$26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E7-4920-9DE8-723015689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'07'!$D$6:$D$31</c:f>
              <c:strCache>
                <c:ptCount val="26"/>
                <c:pt idx="0">
                  <c:v>SLIDER</c:v>
                </c:pt>
                <c:pt idx="1">
                  <c:v>ADAPTER</c:v>
                </c:pt>
                <c:pt idx="2">
                  <c:v>SLIDER</c:v>
                </c:pt>
                <c:pt idx="3">
                  <c:v>STOPPER</c:v>
                </c:pt>
                <c:pt idx="4">
                  <c:v>STOPPER</c:v>
                </c:pt>
                <c:pt idx="5">
                  <c:v>COVER</c:v>
                </c:pt>
                <c:pt idx="6">
                  <c:v>LEAD GUIDER</c:v>
                </c:pt>
                <c:pt idx="7">
                  <c:v>BOTTOM</c:v>
                </c:pt>
                <c:pt idx="8">
                  <c:v>LATCH</c:v>
                </c:pt>
                <c:pt idx="9">
                  <c:v>BASE</c:v>
                </c:pt>
                <c:pt idx="10">
                  <c:v>TOP</c:v>
                </c:pt>
                <c:pt idx="11">
                  <c:v>BASE</c:v>
                </c:pt>
                <c:pt idx="12">
                  <c:v>RIVET</c:v>
                </c:pt>
                <c:pt idx="13">
                  <c:v>BASE</c:v>
                </c:pt>
                <c:pt idx="14">
                  <c:v>BASE</c:v>
                </c:pt>
                <c:pt idx="15">
                  <c:v>SLIDER</c:v>
                </c:pt>
                <c:pt idx="16">
                  <c:v>BASE</c:v>
                </c:pt>
                <c:pt idx="17">
                  <c:v>BASE</c:v>
                </c:pt>
                <c:pt idx="18">
                  <c:v>BASE</c:v>
                </c:pt>
                <c:pt idx="22">
                  <c:v>LEAD GUIDER</c:v>
                </c:pt>
                <c:pt idx="23">
                  <c:v>SLIDER</c:v>
                </c:pt>
                <c:pt idx="24">
                  <c:v>COVER</c:v>
                </c:pt>
                <c:pt idx="25">
                  <c:v>BASE</c:v>
                </c:pt>
              </c:strCache>
            </c:strRef>
          </c:cat>
          <c:val>
            <c:numRef>
              <c:f>'07'!$L$6:$L$31</c:f>
              <c:numCache>
                <c:formatCode>_(* #,##0_);_(* \(#,##0\);_(* "-"_);_(@_)</c:formatCode>
                <c:ptCount val="26"/>
                <c:pt idx="1">
                  <c:v>11352</c:v>
                </c:pt>
                <c:pt idx="2">
                  <c:v>3068</c:v>
                </c:pt>
                <c:pt idx="3">
                  <c:v>11403</c:v>
                </c:pt>
                <c:pt idx="4">
                  <c:v>360</c:v>
                </c:pt>
                <c:pt idx="6">
                  <c:v>900</c:v>
                </c:pt>
                <c:pt idx="7">
                  <c:v>498</c:v>
                </c:pt>
                <c:pt idx="8">
                  <c:v>6086</c:v>
                </c:pt>
                <c:pt idx="9">
                  <c:v>9324</c:v>
                </c:pt>
                <c:pt idx="10">
                  <c:v>3515</c:v>
                </c:pt>
                <c:pt idx="12">
                  <c:v>32440</c:v>
                </c:pt>
                <c:pt idx="13">
                  <c:v>200</c:v>
                </c:pt>
                <c:pt idx="14">
                  <c:v>4402</c:v>
                </c:pt>
                <c:pt idx="15">
                  <c:v>1650</c:v>
                </c:pt>
                <c:pt idx="16">
                  <c:v>11012</c:v>
                </c:pt>
                <c:pt idx="18">
                  <c:v>8544</c:v>
                </c:pt>
                <c:pt idx="19">
                  <c:v>63452</c:v>
                </c:pt>
                <c:pt idx="20">
                  <c:v>492180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1-48C5-8D41-5DF3D338F056}"/>
            </c:ext>
          </c:extLst>
        </c:ser>
        <c:ser>
          <c:idx val="1"/>
          <c:order val="1"/>
          <c:tx>
            <c:v>계획</c:v>
          </c:tx>
          <c:cat>
            <c:strRef>
              <c:f>'07'!$D$6:$D$31</c:f>
              <c:strCache>
                <c:ptCount val="26"/>
                <c:pt idx="0">
                  <c:v>SLIDER</c:v>
                </c:pt>
                <c:pt idx="1">
                  <c:v>ADAPTER</c:v>
                </c:pt>
                <c:pt idx="2">
                  <c:v>SLIDER</c:v>
                </c:pt>
                <c:pt idx="3">
                  <c:v>STOPPER</c:v>
                </c:pt>
                <c:pt idx="4">
                  <c:v>STOPPER</c:v>
                </c:pt>
                <c:pt idx="5">
                  <c:v>COVER</c:v>
                </c:pt>
                <c:pt idx="6">
                  <c:v>LEAD GUIDER</c:v>
                </c:pt>
                <c:pt idx="7">
                  <c:v>BOTTOM</c:v>
                </c:pt>
                <c:pt idx="8">
                  <c:v>LATCH</c:v>
                </c:pt>
                <c:pt idx="9">
                  <c:v>BASE</c:v>
                </c:pt>
                <c:pt idx="10">
                  <c:v>TOP</c:v>
                </c:pt>
                <c:pt idx="11">
                  <c:v>BASE</c:v>
                </c:pt>
                <c:pt idx="12">
                  <c:v>RIVET</c:v>
                </c:pt>
                <c:pt idx="13">
                  <c:v>BASE</c:v>
                </c:pt>
                <c:pt idx="14">
                  <c:v>BASE</c:v>
                </c:pt>
                <c:pt idx="15">
                  <c:v>SLIDER</c:v>
                </c:pt>
                <c:pt idx="16">
                  <c:v>BASE</c:v>
                </c:pt>
                <c:pt idx="17">
                  <c:v>BASE</c:v>
                </c:pt>
                <c:pt idx="18">
                  <c:v>BASE</c:v>
                </c:pt>
                <c:pt idx="22">
                  <c:v>LEAD GUIDER</c:v>
                </c:pt>
                <c:pt idx="23">
                  <c:v>SLIDER</c:v>
                </c:pt>
                <c:pt idx="24">
                  <c:v>COVER</c:v>
                </c:pt>
                <c:pt idx="25">
                  <c:v>BASE</c:v>
                </c:pt>
              </c:strCache>
            </c:strRef>
          </c:cat>
          <c:val>
            <c:numRef>
              <c:f>'07'!$J$6:$J$31</c:f>
              <c:numCache>
                <c:formatCode>_(* #,##0_);_(* \(#,##0\);_(* "-"_);_(@_)</c:formatCode>
                <c:ptCount val="26"/>
                <c:pt idx="0">
                  <c:v>3519</c:v>
                </c:pt>
                <c:pt idx="1">
                  <c:v>11352</c:v>
                </c:pt>
                <c:pt idx="2">
                  <c:v>3068</c:v>
                </c:pt>
                <c:pt idx="3">
                  <c:v>11403</c:v>
                </c:pt>
                <c:pt idx="4">
                  <c:v>360</c:v>
                </c:pt>
                <c:pt idx="5">
                  <c:v>3619</c:v>
                </c:pt>
                <c:pt idx="6">
                  <c:v>900</c:v>
                </c:pt>
                <c:pt idx="7">
                  <c:v>498</c:v>
                </c:pt>
                <c:pt idx="8">
                  <c:v>6086</c:v>
                </c:pt>
                <c:pt idx="9">
                  <c:v>9324</c:v>
                </c:pt>
                <c:pt idx="10">
                  <c:v>3515</c:v>
                </c:pt>
                <c:pt idx="11">
                  <c:v>391</c:v>
                </c:pt>
                <c:pt idx="12">
                  <c:v>32440</c:v>
                </c:pt>
                <c:pt idx="13">
                  <c:v>200</c:v>
                </c:pt>
                <c:pt idx="14">
                  <c:v>4402</c:v>
                </c:pt>
                <c:pt idx="15">
                  <c:v>1650</c:v>
                </c:pt>
                <c:pt idx="16">
                  <c:v>11012</c:v>
                </c:pt>
                <c:pt idx="17">
                  <c:v>290</c:v>
                </c:pt>
                <c:pt idx="18">
                  <c:v>8544</c:v>
                </c:pt>
                <c:pt idx="19">
                  <c:v>63452</c:v>
                </c:pt>
                <c:pt idx="20">
                  <c:v>492180</c:v>
                </c:pt>
                <c:pt idx="21">
                  <c:v>0</c:v>
                </c:pt>
                <c:pt idx="22">
                  <c:v>31996</c:v>
                </c:pt>
                <c:pt idx="23">
                  <c:v>28802</c:v>
                </c:pt>
                <c:pt idx="24">
                  <c:v>26944</c:v>
                </c:pt>
                <c:pt idx="25">
                  <c:v>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1-48C5-8D41-5DF3D338F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'07'!$AD$6:$AD$31</c:f>
              <c:strCache>
                <c:ptCount val="26"/>
                <c:pt idx="0">
                  <c:v>0%</c:v>
                </c:pt>
                <c:pt idx="1">
                  <c:v>100%</c:v>
                </c:pt>
                <c:pt idx="2">
                  <c:v>29%</c:v>
                </c:pt>
                <c:pt idx="3">
                  <c:v>63%</c:v>
                </c:pt>
                <c:pt idx="4">
                  <c:v>13%</c:v>
                </c:pt>
                <c:pt idx="5">
                  <c:v>0%</c:v>
                </c:pt>
                <c:pt idx="6">
                  <c:v>21%</c:v>
                </c:pt>
                <c:pt idx="7">
                  <c:v>13%</c:v>
                </c:pt>
                <c:pt idx="8">
                  <c:v>58%</c:v>
                </c:pt>
                <c:pt idx="9">
                  <c:v>100%</c:v>
                </c:pt>
                <c:pt idx="10">
                  <c:v>79%</c:v>
                </c:pt>
                <c:pt idx="11">
                  <c:v>0%</c:v>
                </c:pt>
                <c:pt idx="12">
                  <c:v>100%</c:v>
                </c:pt>
                <c:pt idx="13">
                  <c:v>17%</c:v>
                </c:pt>
                <c:pt idx="14">
                  <c:v>46%</c:v>
                </c:pt>
                <c:pt idx="15">
                  <c:v>38%</c:v>
                </c:pt>
                <c:pt idx="16">
                  <c:v>100%</c:v>
                </c:pt>
                <c:pt idx="17">
                  <c:v>0%</c:v>
                </c:pt>
                <c:pt idx="18">
                  <c:v>83%</c:v>
                </c:pt>
                <c:pt idx="19">
                  <c:v>100%</c:v>
                </c:pt>
                <c:pt idx="20">
                  <c:v>100%</c:v>
                </c:pt>
                <c:pt idx="21">
                  <c:v>0%</c:v>
                </c:pt>
                <c:pt idx="22">
                  <c:v>0%</c:v>
                </c:pt>
                <c:pt idx="23">
                  <c:v>0%</c:v>
                </c:pt>
                <c:pt idx="24">
                  <c:v>0%</c:v>
                </c:pt>
                <c:pt idx="2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'07'!$D$6:$D$31</c:f>
              <c:strCache>
                <c:ptCount val="26"/>
                <c:pt idx="0">
                  <c:v>SLIDER</c:v>
                </c:pt>
                <c:pt idx="1">
                  <c:v>ADAPTER</c:v>
                </c:pt>
                <c:pt idx="2">
                  <c:v>SLIDER</c:v>
                </c:pt>
                <c:pt idx="3">
                  <c:v>STOPPER</c:v>
                </c:pt>
                <c:pt idx="4">
                  <c:v>STOPPER</c:v>
                </c:pt>
                <c:pt idx="5">
                  <c:v>COVER</c:v>
                </c:pt>
                <c:pt idx="6">
                  <c:v>LEAD GUIDER</c:v>
                </c:pt>
                <c:pt idx="7">
                  <c:v>BOTTOM</c:v>
                </c:pt>
                <c:pt idx="8">
                  <c:v>LATCH</c:v>
                </c:pt>
                <c:pt idx="9">
                  <c:v>BASE</c:v>
                </c:pt>
                <c:pt idx="10">
                  <c:v>TOP</c:v>
                </c:pt>
                <c:pt idx="11">
                  <c:v>BASE</c:v>
                </c:pt>
                <c:pt idx="12">
                  <c:v>RIVET</c:v>
                </c:pt>
                <c:pt idx="13">
                  <c:v>BASE</c:v>
                </c:pt>
                <c:pt idx="14">
                  <c:v>BASE</c:v>
                </c:pt>
                <c:pt idx="15">
                  <c:v>SLIDER</c:v>
                </c:pt>
                <c:pt idx="16">
                  <c:v>BASE</c:v>
                </c:pt>
                <c:pt idx="17">
                  <c:v>BASE</c:v>
                </c:pt>
                <c:pt idx="18">
                  <c:v>BASE</c:v>
                </c:pt>
                <c:pt idx="22">
                  <c:v>LEAD GUIDER</c:v>
                </c:pt>
                <c:pt idx="23">
                  <c:v>SLIDER</c:v>
                </c:pt>
                <c:pt idx="24">
                  <c:v>COVER</c:v>
                </c:pt>
                <c:pt idx="25">
                  <c:v>BASE</c:v>
                </c:pt>
              </c:strCache>
            </c:strRef>
          </c:cat>
          <c:val>
            <c:numRef>
              <c:f>'07'!$AD$6:$AD$31</c:f>
              <c:numCache>
                <c:formatCode>0%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0.29166666666666669</c:v>
                </c:pt>
                <c:pt idx="3">
                  <c:v>0.625</c:v>
                </c:pt>
                <c:pt idx="4">
                  <c:v>0.125</c:v>
                </c:pt>
                <c:pt idx="5">
                  <c:v>0</c:v>
                </c:pt>
                <c:pt idx="6">
                  <c:v>0.20833333333333334</c:v>
                </c:pt>
                <c:pt idx="7">
                  <c:v>0.125</c:v>
                </c:pt>
                <c:pt idx="8">
                  <c:v>0.58333333333333337</c:v>
                </c:pt>
                <c:pt idx="9">
                  <c:v>1</c:v>
                </c:pt>
                <c:pt idx="10">
                  <c:v>0.79166666666666663</c:v>
                </c:pt>
                <c:pt idx="11">
                  <c:v>0</c:v>
                </c:pt>
                <c:pt idx="12">
                  <c:v>1</c:v>
                </c:pt>
                <c:pt idx="13">
                  <c:v>0.16666666666666666</c:v>
                </c:pt>
                <c:pt idx="14">
                  <c:v>0.45833333333333331</c:v>
                </c:pt>
                <c:pt idx="15">
                  <c:v>0.375</c:v>
                </c:pt>
                <c:pt idx="16">
                  <c:v>1</c:v>
                </c:pt>
                <c:pt idx="17">
                  <c:v>0</c:v>
                </c:pt>
                <c:pt idx="18">
                  <c:v>0.83333333333333337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C-48EA-B94A-27F150D2AA7F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FC-48EA-B94A-27F150D2AA7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'07'!$D$6:$D$31</c:f>
              <c:strCache>
                <c:ptCount val="26"/>
                <c:pt idx="0">
                  <c:v>SLIDER</c:v>
                </c:pt>
                <c:pt idx="1">
                  <c:v>ADAPTER</c:v>
                </c:pt>
                <c:pt idx="2">
                  <c:v>SLIDER</c:v>
                </c:pt>
                <c:pt idx="3">
                  <c:v>STOPPER</c:v>
                </c:pt>
                <c:pt idx="4">
                  <c:v>STOPPER</c:v>
                </c:pt>
                <c:pt idx="5">
                  <c:v>COVER</c:v>
                </c:pt>
                <c:pt idx="6">
                  <c:v>LEAD GUIDER</c:v>
                </c:pt>
                <c:pt idx="7">
                  <c:v>BOTTOM</c:v>
                </c:pt>
                <c:pt idx="8">
                  <c:v>LATCH</c:v>
                </c:pt>
                <c:pt idx="9">
                  <c:v>BASE</c:v>
                </c:pt>
                <c:pt idx="10">
                  <c:v>TOP</c:v>
                </c:pt>
                <c:pt idx="11">
                  <c:v>BASE</c:v>
                </c:pt>
                <c:pt idx="12">
                  <c:v>RIVET</c:v>
                </c:pt>
                <c:pt idx="13">
                  <c:v>BASE</c:v>
                </c:pt>
                <c:pt idx="14">
                  <c:v>BASE</c:v>
                </c:pt>
                <c:pt idx="15">
                  <c:v>SLIDER</c:v>
                </c:pt>
                <c:pt idx="16">
                  <c:v>BASE</c:v>
                </c:pt>
                <c:pt idx="17">
                  <c:v>BASE</c:v>
                </c:pt>
                <c:pt idx="18">
                  <c:v>BASE</c:v>
                </c:pt>
                <c:pt idx="22">
                  <c:v>LEAD GUIDER</c:v>
                </c:pt>
                <c:pt idx="23">
                  <c:v>SLIDER</c:v>
                </c:pt>
                <c:pt idx="24">
                  <c:v>COVER</c:v>
                </c:pt>
                <c:pt idx="25">
                  <c:v>BASE</c:v>
                </c:pt>
              </c:strCache>
            </c:strRef>
          </c:cat>
          <c:val>
            <c:numRef>
              <c:f>'07'!$AE$6:$AE$31</c:f>
              <c:numCache>
                <c:formatCode>0%</c:formatCode>
                <c:ptCount val="26"/>
                <c:pt idx="0">
                  <c:v>0.40705128205128205</c:v>
                </c:pt>
                <c:pt idx="1">
                  <c:v>0.40705128205128205</c:v>
                </c:pt>
                <c:pt idx="2">
                  <c:v>0.40705128205128205</c:v>
                </c:pt>
                <c:pt idx="3">
                  <c:v>0.40705128205128205</c:v>
                </c:pt>
                <c:pt idx="4">
                  <c:v>0.40705128205128205</c:v>
                </c:pt>
                <c:pt idx="5">
                  <c:v>0.40705128205128205</c:v>
                </c:pt>
                <c:pt idx="6">
                  <c:v>0.40705128205128205</c:v>
                </c:pt>
                <c:pt idx="7">
                  <c:v>0.40705128205128205</c:v>
                </c:pt>
                <c:pt idx="8">
                  <c:v>0.40705128205128205</c:v>
                </c:pt>
                <c:pt idx="9">
                  <c:v>0.40705128205128205</c:v>
                </c:pt>
                <c:pt idx="10">
                  <c:v>0.40705128205128205</c:v>
                </c:pt>
                <c:pt idx="11">
                  <c:v>0.40705128205128205</c:v>
                </c:pt>
                <c:pt idx="12">
                  <c:v>0.40705128205128205</c:v>
                </c:pt>
                <c:pt idx="13">
                  <c:v>0.40705128205128205</c:v>
                </c:pt>
                <c:pt idx="14">
                  <c:v>0.40705128205128205</c:v>
                </c:pt>
                <c:pt idx="15">
                  <c:v>0.40705128205128205</c:v>
                </c:pt>
                <c:pt idx="16">
                  <c:v>0.40705128205128205</c:v>
                </c:pt>
                <c:pt idx="17">
                  <c:v>0.40705128205128205</c:v>
                </c:pt>
                <c:pt idx="18">
                  <c:v>0.40705128205128205</c:v>
                </c:pt>
                <c:pt idx="19">
                  <c:v>0.40705128205128205</c:v>
                </c:pt>
                <c:pt idx="20">
                  <c:v>0.40705128205128205</c:v>
                </c:pt>
                <c:pt idx="21">
                  <c:v>0.40705128205128205</c:v>
                </c:pt>
                <c:pt idx="22">
                  <c:v>0.40705128205128205</c:v>
                </c:pt>
                <c:pt idx="23">
                  <c:v>0.40705128205128205</c:v>
                </c:pt>
                <c:pt idx="24">
                  <c:v>0.40705128205128205</c:v>
                </c:pt>
                <c:pt idx="25">
                  <c:v>0.40705128205128205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FC-48EA-B94A-27F150D2A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'07'!$D$6:$D$31</c:f>
              <c:strCache>
                <c:ptCount val="26"/>
                <c:pt idx="0">
                  <c:v>SLIDER</c:v>
                </c:pt>
                <c:pt idx="1">
                  <c:v>ADAPTER</c:v>
                </c:pt>
                <c:pt idx="2">
                  <c:v>SLIDER</c:v>
                </c:pt>
                <c:pt idx="3">
                  <c:v>STOPPER</c:v>
                </c:pt>
                <c:pt idx="4">
                  <c:v>STOPPER</c:v>
                </c:pt>
                <c:pt idx="5">
                  <c:v>COVER</c:v>
                </c:pt>
                <c:pt idx="6">
                  <c:v>LEAD GUIDER</c:v>
                </c:pt>
                <c:pt idx="7">
                  <c:v>BOTTOM</c:v>
                </c:pt>
                <c:pt idx="8">
                  <c:v>LATCH</c:v>
                </c:pt>
                <c:pt idx="9">
                  <c:v>BASE</c:v>
                </c:pt>
                <c:pt idx="10">
                  <c:v>TOP</c:v>
                </c:pt>
                <c:pt idx="11">
                  <c:v>BASE</c:v>
                </c:pt>
                <c:pt idx="12">
                  <c:v>RIVET</c:v>
                </c:pt>
                <c:pt idx="13">
                  <c:v>BASE</c:v>
                </c:pt>
                <c:pt idx="14">
                  <c:v>BASE</c:v>
                </c:pt>
                <c:pt idx="15">
                  <c:v>SLIDER</c:v>
                </c:pt>
                <c:pt idx="16">
                  <c:v>BASE</c:v>
                </c:pt>
                <c:pt idx="17">
                  <c:v>BASE</c:v>
                </c:pt>
                <c:pt idx="18">
                  <c:v>BASE</c:v>
                </c:pt>
                <c:pt idx="22">
                  <c:v>LEAD GUIDER</c:v>
                </c:pt>
                <c:pt idx="23">
                  <c:v>SLIDER</c:v>
                </c:pt>
                <c:pt idx="24">
                  <c:v>COVER</c:v>
                </c:pt>
                <c:pt idx="25">
                  <c:v>BASE</c:v>
                </c:pt>
              </c:strCache>
            </c:strRef>
          </c:cat>
          <c:val>
            <c:numRef>
              <c:f>'07'!$L$6:$L$31</c:f>
              <c:numCache>
                <c:formatCode>_(* #,##0_);_(* \(#,##0\);_(* "-"_);_(@_)</c:formatCode>
                <c:ptCount val="26"/>
                <c:pt idx="1">
                  <c:v>11352</c:v>
                </c:pt>
                <c:pt idx="2">
                  <c:v>3068</c:v>
                </c:pt>
                <c:pt idx="3">
                  <c:v>11403</c:v>
                </c:pt>
                <c:pt idx="4">
                  <c:v>360</c:v>
                </c:pt>
                <c:pt idx="6">
                  <c:v>900</c:v>
                </c:pt>
                <c:pt idx="7">
                  <c:v>498</c:v>
                </c:pt>
                <c:pt idx="8">
                  <c:v>6086</c:v>
                </c:pt>
                <c:pt idx="9">
                  <c:v>9324</c:v>
                </c:pt>
                <c:pt idx="10">
                  <c:v>3515</c:v>
                </c:pt>
                <c:pt idx="12">
                  <c:v>32440</c:v>
                </c:pt>
                <c:pt idx="13">
                  <c:v>200</c:v>
                </c:pt>
                <c:pt idx="14">
                  <c:v>4402</c:v>
                </c:pt>
                <c:pt idx="15">
                  <c:v>1650</c:v>
                </c:pt>
                <c:pt idx="16">
                  <c:v>11012</c:v>
                </c:pt>
                <c:pt idx="18">
                  <c:v>8544</c:v>
                </c:pt>
                <c:pt idx="19">
                  <c:v>63452</c:v>
                </c:pt>
                <c:pt idx="20">
                  <c:v>492180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C-49DC-A0A8-B0194F2C5729}"/>
            </c:ext>
          </c:extLst>
        </c:ser>
        <c:ser>
          <c:idx val="1"/>
          <c:order val="1"/>
          <c:tx>
            <c:v>계획</c:v>
          </c:tx>
          <c:cat>
            <c:strRef>
              <c:f>'07'!$D$6:$D$31</c:f>
              <c:strCache>
                <c:ptCount val="26"/>
                <c:pt idx="0">
                  <c:v>SLIDER</c:v>
                </c:pt>
                <c:pt idx="1">
                  <c:v>ADAPTER</c:v>
                </c:pt>
                <c:pt idx="2">
                  <c:v>SLIDER</c:v>
                </c:pt>
                <c:pt idx="3">
                  <c:v>STOPPER</c:v>
                </c:pt>
                <c:pt idx="4">
                  <c:v>STOPPER</c:v>
                </c:pt>
                <c:pt idx="5">
                  <c:v>COVER</c:v>
                </c:pt>
                <c:pt idx="6">
                  <c:v>LEAD GUIDER</c:v>
                </c:pt>
                <c:pt idx="7">
                  <c:v>BOTTOM</c:v>
                </c:pt>
                <c:pt idx="8">
                  <c:v>LATCH</c:v>
                </c:pt>
                <c:pt idx="9">
                  <c:v>BASE</c:v>
                </c:pt>
                <c:pt idx="10">
                  <c:v>TOP</c:v>
                </c:pt>
                <c:pt idx="11">
                  <c:v>BASE</c:v>
                </c:pt>
                <c:pt idx="12">
                  <c:v>RIVET</c:v>
                </c:pt>
                <c:pt idx="13">
                  <c:v>BASE</c:v>
                </c:pt>
                <c:pt idx="14">
                  <c:v>BASE</c:v>
                </c:pt>
                <c:pt idx="15">
                  <c:v>SLIDER</c:v>
                </c:pt>
                <c:pt idx="16">
                  <c:v>BASE</c:v>
                </c:pt>
                <c:pt idx="17">
                  <c:v>BASE</c:v>
                </c:pt>
                <c:pt idx="18">
                  <c:v>BASE</c:v>
                </c:pt>
                <c:pt idx="22">
                  <c:v>LEAD GUIDER</c:v>
                </c:pt>
                <c:pt idx="23">
                  <c:v>SLIDER</c:v>
                </c:pt>
                <c:pt idx="24">
                  <c:v>COVER</c:v>
                </c:pt>
                <c:pt idx="25">
                  <c:v>BASE</c:v>
                </c:pt>
              </c:strCache>
            </c:strRef>
          </c:cat>
          <c:val>
            <c:numRef>
              <c:f>'07'!$J$6:$J$31</c:f>
              <c:numCache>
                <c:formatCode>_(* #,##0_);_(* \(#,##0\);_(* "-"_);_(@_)</c:formatCode>
                <c:ptCount val="26"/>
                <c:pt idx="0">
                  <c:v>3519</c:v>
                </c:pt>
                <c:pt idx="1">
                  <c:v>11352</c:v>
                </c:pt>
                <c:pt idx="2">
                  <c:v>3068</c:v>
                </c:pt>
                <c:pt idx="3">
                  <c:v>11403</c:v>
                </c:pt>
                <c:pt idx="4">
                  <c:v>360</c:v>
                </c:pt>
                <c:pt idx="5">
                  <c:v>3619</c:v>
                </c:pt>
                <c:pt idx="6">
                  <c:v>900</c:v>
                </c:pt>
                <c:pt idx="7">
                  <c:v>498</c:v>
                </c:pt>
                <c:pt idx="8">
                  <c:v>6086</c:v>
                </c:pt>
                <c:pt idx="9">
                  <c:v>9324</c:v>
                </c:pt>
                <c:pt idx="10">
                  <c:v>3515</c:v>
                </c:pt>
                <c:pt idx="11">
                  <c:v>391</c:v>
                </c:pt>
                <c:pt idx="12">
                  <c:v>32440</c:v>
                </c:pt>
                <c:pt idx="13">
                  <c:v>200</c:v>
                </c:pt>
                <c:pt idx="14">
                  <c:v>4402</c:v>
                </c:pt>
                <c:pt idx="15">
                  <c:v>1650</c:v>
                </c:pt>
                <c:pt idx="16">
                  <c:v>11012</c:v>
                </c:pt>
                <c:pt idx="17">
                  <c:v>290</c:v>
                </c:pt>
                <c:pt idx="18">
                  <c:v>8544</c:v>
                </c:pt>
                <c:pt idx="19">
                  <c:v>63452</c:v>
                </c:pt>
                <c:pt idx="20">
                  <c:v>492180</c:v>
                </c:pt>
                <c:pt idx="21">
                  <c:v>0</c:v>
                </c:pt>
                <c:pt idx="22">
                  <c:v>31996</c:v>
                </c:pt>
                <c:pt idx="23">
                  <c:v>28802</c:v>
                </c:pt>
                <c:pt idx="24">
                  <c:v>26944</c:v>
                </c:pt>
                <c:pt idx="25">
                  <c:v>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C-49DC-A0A8-B0194F2C5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'07'!$AD$6:$AD$31</c:f>
              <c:strCache>
                <c:ptCount val="26"/>
                <c:pt idx="0">
                  <c:v>0%</c:v>
                </c:pt>
                <c:pt idx="1">
                  <c:v>100%</c:v>
                </c:pt>
                <c:pt idx="2">
                  <c:v>29%</c:v>
                </c:pt>
                <c:pt idx="3">
                  <c:v>63%</c:v>
                </c:pt>
                <c:pt idx="4">
                  <c:v>13%</c:v>
                </c:pt>
                <c:pt idx="5">
                  <c:v>0%</c:v>
                </c:pt>
                <c:pt idx="6">
                  <c:v>21%</c:v>
                </c:pt>
                <c:pt idx="7">
                  <c:v>13%</c:v>
                </c:pt>
                <c:pt idx="8">
                  <c:v>58%</c:v>
                </c:pt>
                <c:pt idx="9">
                  <c:v>100%</c:v>
                </c:pt>
                <c:pt idx="10">
                  <c:v>79%</c:v>
                </c:pt>
                <c:pt idx="11">
                  <c:v>0%</c:v>
                </c:pt>
                <c:pt idx="12">
                  <c:v>100%</c:v>
                </c:pt>
                <c:pt idx="13">
                  <c:v>17%</c:v>
                </c:pt>
                <c:pt idx="14">
                  <c:v>46%</c:v>
                </c:pt>
                <c:pt idx="15">
                  <c:v>38%</c:v>
                </c:pt>
                <c:pt idx="16">
                  <c:v>100%</c:v>
                </c:pt>
                <c:pt idx="17">
                  <c:v>0%</c:v>
                </c:pt>
                <c:pt idx="18">
                  <c:v>83%</c:v>
                </c:pt>
                <c:pt idx="19">
                  <c:v>100%</c:v>
                </c:pt>
                <c:pt idx="20">
                  <c:v>100%</c:v>
                </c:pt>
                <c:pt idx="21">
                  <c:v>0%</c:v>
                </c:pt>
                <c:pt idx="22">
                  <c:v>0%</c:v>
                </c:pt>
                <c:pt idx="23">
                  <c:v>0%</c:v>
                </c:pt>
                <c:pt idx="24">
                  <c:v>0%</c:v>
                </c:pt>
                <c:pt idx="2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'07'!$D$6:$D$31</c:f>
              <c:strCache>
                <c:ptCount val="26"/>
                <c:pt idx="0">
                  <c:v>SLIDER</c:v>
                </c:pt>
                <c:pt idx="1">
                  <c:v>ADAPTER</c:v>
                </c:pt>
                <c:pt idx="2">
                  <c:v>SLIDER</c:v>
                </c:pt>
                <c:pt idx="3">
                  <c:v>STOPPER</c:v>
                </c:pt>
                <c:pt idx="4">
                  <c:v>STOPPER</c:v>
                </c:pt>
                <c:pt idx="5">
                  <c:v>COVER</c:v>
                </c:pt>
                <c:pt idx="6">
                  <c:v>LEAD GUIDER</c:v>
                </c:pt>
                <c:pt idx="7">
                  <c:v>BOTTOM</c:v>
                </c:pt>
                <c:pt idx="8">
                  <c:v>LATCH</c:v>
                </c:pt>
                <c:pt idx="9">
                  <c:v>BASE</c:v>
                </c:pt>
                <c:pt idx="10">
                  <c:v>TOP</c:v>
                </c:pt>
                <c:pt idx="11">
                  <c:v>BASE</c:v>
                </c:pt>
                <c:pt idx="12">
                  <c:v>RIVET</c:v>
                </c:pt>
                <c:pt idx="13">
                  <c:v>BASE</c:v>
                </c:pt>
                <c:pt idx="14">
                  <c:v>BASE</c:v>
                </c:pt>
                <c:pt idx="15">
                  <c:v>SLIDER</c:v>
                </c:pt>
                <c:pt idx="16">
                  <c:v>BASE</c:v>
                </c:pt>
                <c:pt idx="17">
                  <c:v>BASE</c:v>
                </c:pt>
                <c:pt idx="18">
                  <c:v>BASE</c:v>
                </c:pt>
                <c:pt idx="22">
                  <c:v>LEAD GUIDER</c:v>
                </c:pt>
                <c:pt idx="23">
                  <c:v>SLIDER</c:v>
                </c:pt>
                <c:pt idx="24">
                  <c:v>COVER</c:v>
                </c:pt>
                <c:pt idx="25">
                  <c:v>BASE</c:v>
                </c:pt>
              </c:strCache>
            </c:strRef>
          </c:cat>
          <c:val>
            <c:numRef>
              <c:f>'07'!$AD$6:$AD$31</c:f>
              <c:numCache>
                <c:formatCode>0%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0.29166666666666669</c:v>
                </c:pt>
                <c:pt idx="3">
                  <c:v>0.625</c:v>
                </c:pt>
                <c:pt idx="4">
                  <c:v>0.125</c:v>
                </c:pt>
                <c:pt idx="5">
                  <c:v>0</c:v>
                </c:pt>
                <c:pt idx="6">
                  <c:v>0.20833333333333334</c:v>
                </c:pt>
                <c:pt idx="7">
                  <c:v>0.125</c:v>
                </c:pt>
                <c:pt idx="8">
                  <c:v>0.58333333333333337</c:v>
                </c:pt>
                <c:pt idx="9">
                  <c:v>1</c:v>
                </c:pt>
                <c:pt idx="10">
                  <c:v>0.79166666666666663</c:v>
                </c:pt>
                <c:pt idx="11">
                  <c:v>0</c:v>
                </c:pt>
                <c:pt idx="12">
                  <c:v>1</c:v>
                </c:pt>
                <c:pt idx="13">
                  <c:v>0.16666666666666666</c:v>
                </c:pt>
                <c:pt idx="14">
                  <c:v>0.45833333333333331</c:v>
                </c:pt>
                <c:pt idx="15">
                  <c:v>0.375</c:v>
                </c:pt>
                <c:pt idx="16">
                  <c:v>1</c:v>
                </c:pt>
                <c:pt idx="17">
                  <c:v>0</c:v>
                </c:pt>
                <c:pt idx="18">
                  <c:v>0.83333333333333337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A-40A5-BF0A-08EA0D61D4D1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EA-40A5-BF0A-08EA0D61D4D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'07'!$D$6:$D$31</c:f>
              <c:strCache>
                <c:ptCount val="26"/>
                <c:pt idx="0">
                  <c:v>SLIDER</c:v>
                </c:pt>
                <c:pt idx="1">
                  <c:v>ADAPTER</c:v>
                </c:pt>
                <c:pt idx="2">
                  <c:v>SLIDER</c:v>
                </c:pt>
                <c:pt idx="3">
                  <c:v>STOPPER</c:v>
                </c:pt>
                <c:pt idx="4">
                  <c:v>STOPPER</c:v>
                </c:pt>
                <c:pt idx="5">
                  <c:v>COVER</c:v>
                </c:pt>
                <c:pt idx="6">
                  <c:v>LEAD GUIDER</c:v>
                </c:pt>
                <c:pt idx="7">
                  <c:v>BOTTOM</c:v>
                </c:pt>
                <c:pt idx="8">
                  <c:v>LATCH</c:v>
                </c:pt>
                <c:pt idx="9">
                  <c:v>BASE</c:v>
                </c:pt>
                <c:pt idx="10">
                  <c:v>TOP</c:v>
                </c:pt>
                <c:pt idx="11">
                  <c:v>BASE</c:v>
                </c:pt>
                <c:pt idx="12">
                  <c:v>RIVET</c:v>
                </c:pt>
                <c:pt idx="13">
                  <c:v>BASE</c:v>
                </c:pt>
                <c:pt idx="14">
                  <c:v>BASE</c:v>
                </c:pt>
                <c:pt idx="15">
                  <c:v>SLIDER</c:v>
                </c:pt>
                <c:pt idx="16">
                  <c:v>BASE</c:v>
                </c:pt>
                <c:pt idx="17">
                  <c:v>BASE</c:v>
                </c:pt>
                <c:pt idx="18">
                  <c:v>BASE</c:v>
                </c:pt>
                <c:pt idx="22">
                  <c:v>LEAD GUIDER</c:v>
                </c:pt>
                <c:pt idx="23">
                  <c:v>SLIDER</c:v>
                </c:pt>
                <c:pt idx="24">
                  <c:v>COVER</c:v>
                </c:pt>
                <c:pt idx="25">
                  <c:v>BASE</c:v>
                </c:pt>
              </c:strCache>
            </c:strRef>
          </c:cat>
          <c:val>
            <c:numRef>
              <c:f>'07'!$AE$6:$AE$31</c:f>
              <c:numCache>
                <c:formatCode>0%</c:formatCode>
                <c:ptCount val="26"/>
                <c:pt idx="0">
                  <c:v>0.40705128205128205</c:v>
                </c:pt>
                <c:pt idx="1">
                  <c:v>0.40705128205128205</c:v>
                </c:pt>
                <c:pt idx="2">
                  <c:v>0.40705128205128205</c:v>
                </c:pt>
                <c:pt idx="3">
                  <c:v>0.40705128205128205</c:v>
                </c:pt>
                <c:pt idx="4">
                  <c:v>0.40705128205128205</c:v>
                </c:pt>
                <c:pt idx="5">
                  <c:v>0.40705128205128205</c:v>
                </c:pt>
                <c:pt idx="6">
                  <c:v>0.40705128205128205</c:v>
                </c:pt>
                <c:pt idx="7">
                  <c:v>0.40705128205128205</c:v>
                </c:pt>
                <c:pt idx="8">
                  <c:v>0.40705128205128205</c:v>
                </c:pt>
                <c:pt idx="9">
                  <c:v>0.40705128205128205</c:v>
                </c:pt>
                <c:pt idx="10">
                  <c:v>0.40705128205128205</c:v>
                </c:pt>
                <c:pt idx="11">
                  <c:v>0.40705128205128205</c:v>
                </c:pt>
                <c:pt idx="12">
                  <c:v>0.40705128205128205</c:v>
                </c:pt>
                <c:pt idx="13">
                  <c:v>0.40705128205128205</c:v>
                </c:pt>
                <c:pt idx="14">
                  <c:v>0.40705128205128205</c:v>
                </c:pt>
                <c:pt idx="15">
                  <c:v>0.40705128205128205</c:v>
                </c:pt>
                <c:pt idx="16">
                  <c:v>0.40705128205128205</c:v>
                </c:pt>
                <c:pt idx="17">
                  <c:v>0.40705128205128205</c:v>
                </c:pt>
                <c:pt idx="18">
                  <c:v>0.40705128205128205</c:v>
                </c:pt>
                <c:pt idx="19">
                  <c:v>0.40705128205128205</c:v>
                </c:pt>
                <c:pt idx="20">
                  <c:v>0.40705128205128205</c:v>
                </c:pt>
                <c:pt idx="21">
                  <c:v>0.40705128205128205</c:v>
                </c:pt>
                <c:pt idx="22">
                  <c:v>0.40705128205128205</c:v>
                </c:pt>
                <c:pt idx="23">
                  <c:v>0.40705128205128205</c:v>
                </c:pt>
                <c:pt idx="24">
                  <c:v>0.40705128205128205</c:v>
                </c:pt>
                <c:pt idx="25">
                  <c:v>0.40705128205128205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EA-40A5-BF0A-08EA0D61D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'01'!$D$6:$D$31</c:f>
              <c:strCache>
                <c:ptCount val="26"/>
                <c:pt idx="0">
                  <c:v>ADAPTER</c:v>
                </c:pt>
                <c:pt idx="1">
                  <c:v>ADAPTER</c:v>
                </c:pt>
                <c:pt idx="2">
                  <c:v>SLIDER</c:v>
                </c:pt>
                <c:pt idx="4">
                  <c:v>COVER</c:v>
                </c:pt>
                <c:pt idx="5">
                  <c:v>LATCH</c:v>
                </c:pt>
                <c:pt idx="6">
                  <c:v>ADAPTER</c:v>
                </c:pt>
                <c:pt idx="7">
                  <c:v>BASE</c:v>
                </c:pt>
                <c:pt idx="8">
                  <c:v>TOP</c:v>
                </c:pt>
                <c:pt idx="9">
                  <c:v>TOP</c:v>
                </c:pt>
                <c:pt idx="10">
                  <c:v>BASE</c:v>
                </c:pt>
                <c:pt idx="11">
                  <c:v>ADAPTER</c:v>
                </c:pt>
                <c:pt idx="13">
                  <c:v>COVER</c:v>
                </c:pt>
                <c:pt idx="14">
                  <c:v>BASE</c:v>
                </c:pt>
                <c:pt idx="15">
                  <c:v>BASE</c:v>
                </c:pt>
                <c:pt idx="16">
                  <c:v>BASE</c:v>
                </c:pt>
                <c:pt idx="17">
                  <c:v>BASE</c:v>
                </c:pt>
                <c:pt idx="22">
                  <c:v>LEAD GUIDER</c:v>
                </c:pt>
                <c:pt idx="23">
                  <c:v>SLIDER</c:v>
                </c:pt>
                <c:pt idx="24">
                  <c:v>COVER</c:v>
                </c:pt>
                <c:pt idx="25">
                  <c:v>BASE</c:v>
                </c:pt>
              </c:strCache>
            </c:strRef>
          </c:cat>
          <c:val>
            <c:numRef>
              <c:f>'01'!$L$6:$L$31</c:f>
              <c:numCache>
                <c:formatCode>_(* #,##0_);_(* \(#,##0\);_(* "-"_);_(@_)</c:formatCode>
                <c:ptCount val="26"/>
                <c:pt idx="1">
                  <c:v>11518</c:v>
                </c:pt>
                <c:pt idx="2">
                  <c:v>11780</c:v>
                </c:pt>
                <c:pt idx="3">
                  <c:v>9554</c:v>
                </c:pt>
                <c:pt idx="4">
                  <c:v>5338</c:v>
                </c:pt>
                <c:pt idx="5">
                  <c:v>2822</c:v>
                </c:pt>
                <c:pt idx="6">
                  <c:v>2203</c:v>
                </c:pt>
                <c:pt idx="7">
                  <c:v>5547</c:v>
                </c:pt>
                <c:pt idx="8">
                  <c:v>1100</c:v>
                </c:pt>
                <c:pt idx="9">
                  <c:v>846</c:v>
                </c:pt>
                <c:pt idx="10">
                  <c:v>391</c:v>
                </c:pt>
                <c:pt idx="12">
                  <c:v>10788</c:v>
                </c:pt>
                <c:pt idx="13">
                  <c:v>21252</c:v>
                </c:pt>
                <c:pt idx="14">
                  <c:v>3888</c:v>
                </c:pt>
                <c:pt idx="15">
                  <c:v>9112</c:v>
                </c:pt>
                <c:pt idx="16">
                  <c:v>3176</c:v>
                </c:pt>
                <c:pt idx="17">
                  <c:v>10988</c:v>
                </c:pt>
                <c:pt idx="18">
                  <c:v>27376</c:v>
                </c:pt>
                <c:pt idx="19">
                  <c:v>29876</c:v>
                </c:pt>
                <c:pt idx="20">
                  <c:v>353460</c:v>
                </c:pt>
                <c:pt idx="22">
                  <c:v>29324</c:v>
                </c:pt>
                <c:pt idx="23">
                  <c:v>28600</c:v>
                </c:pt>
                <c:pt idx="25">
                  <c:v>19566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D-4E98-BCA4-FEE0EF413C2E}"/>
            </c:ext>
          </c:extLst>
        </c:ser>
        <c:ser>
          <c:idx val="1"/>
          <c:order val="1"/>
          <c:tx>
            <c:v>계획</c:v>
          </c:tx>
          <c:cat>
            <c:strRef>
              <c:f>'01'!$D$6:$D$31</c:f>
              <c:strCache>
                <c:ptCount val="26"/>
                <c:pt idx="0">
                  <c:v>ADAPTER</c:v>
                </c:pt>
                <c:pt idx="1">
                  <c:v>ADAPTER</c:v>
                </c:pt>
                <c:pt idx="2">
                  <c:v>SLIDER</c:v>
                </c:pt>
                <c:pt idx="4">
                  <c:v>COVER</c:v>
                </c:pt>
                <c:pt idx="5">
                  <c:v>LATCH</c:v>
                </c:pt>
                <c:pt idx="6">
                  <c:v>ADAPTER</c:v>
                </c:pt>
                <c:pt idx="7">
                  <c:v>BASE</c:v>
                </c:pt>
                <c:pt idx="8">
                  <c:v>TOP</c:v>
                </c:pt>
                <c:pt idx="9">
                  <c:v>TOP</c:v>
                </c:pt>
                <c:pt idx="10">
                  <c:v>BASE</c:v>
                </c:pt>
                <c:pt idx="11">
                  <c:v>ADAPTER</c:v>
                </c:pt>
                <c:pt idx="13">
                  <c:v>COVER</c:v>
                </c:pt>
                <c:pt idx="14">
                  <c:v>BASE</c:v>
                </c:pt>
                <c:pt idx="15">
                  <c:v>BASE</c:v>
                </c:pt>
                <c:pt idx="16">
                  <c:v>BASE</c:v>
                </c:pt>
                <c:pt idx="17">
                  <c:v>BASE</c:v>
                </c:pt>
                <c:pt idx="22">
                  <c:v>LEAD GUIDER</c:v>
                </c:pt>
                <c:pt idx="23">
                  <c:v>SLIDER</c:v>
                </c:pt>
                <c:pt idx="24">
                  <c:v>COVER</c:v>
                </c:pt>
                <c:pt idx="25">
                  <c:v>BASE</c:v>
                </c:pt>
              </c:strCache>
            </c:strRef>
          </c:cat>
          <c:val>
            <c:numRef>
              <c:f>'01'!$J$6:$J$31</c:f>
              <c:numCache>
                <c:formatCode>_(* #,##0_);_(* \(#,##0\);_(* "-"_);_(@_)</c:formatCode>
                <c:ptCount val="26"/>
                <c:pt idx="0">
                  <c:v>2771</c:v>
                </c:pt>
                <c:pt idx="1">
                  <c:v>11518</c:v>
                </c:pt>
                <c:pt idx="2">
                  <c:v>11780</c:v>
                </c:pt>
                <c:pt idx="3">
                  <c:v>9554</c:v>
                </c:pt>
                <c:pt idx="4">
                  <c:v>5338</c:v>
                </c:pt>
                <c:pt idx="5">
                  <c:v>2822</c:v>
                </c:pt>
                <c:pt idx="6">
                  <c:v>2203</c:v>
                </c:pt>
                <c:pt idx="7">
                  <c:v>5547</c:v>
                </c:pt>
                <c:pt idx="8">
                  <c:v>1100</c:v>
                </c:pt>
                <c:pt idx="9">
                  <c:v>846</c:v>
                </c:pt>
                <c:pt idx="10">
                  <c:v>391</c:v>
                </c:pt>
                <c:pt idx="11">
                  <c:v>4832</c:v>
                </c:pt>
                <c:pt idx="12">
                  <c:v>10788</c:v>
                </c:pt>
                <c:pt idx="13">
                  <c:v>21252</c:v>
                </c:pt>
                <c:pt idx="14">
                  <c:v>3888</c:v>
                </c:pt>
                <c:pt idx="15">
                  <c:v>9112</c:v>
                </c:pt>
                <c:pt idx="16">
                  <c:v>3176</c:v>
                </c:pt>
                <c:pt idx="17">
                  <c:v>10988</c:v>
                </c:pt>
                <c:pt idx="18">
                  <c:v>27376</c:v>
                </c:pt>
                <c:pt idx="19">
                  <c:v>29876</c:v>
                </c:pt>
                <c:pt idx="20">
                  <c:v>353460</c:v>
                </c:pt>
                <c:pt idx="21">
                  <c:v>0</c:v>
                </c:pt>
                <c:pt idx="22">
                  <c:v>29324</c:v>
                </c:pt>
                <c:pt idx="23">
                  <c:v>28600</c:v>
                </c:pt>
                <c:pt idx="24">
                  <c:v>26944</c:v>
                </c:pt>
                <c:pt idx="25">
                  <c:v>19566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7D-4E98-BCA4-FEE0EF413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총괄!$A$25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C257-48A7-A8DB-8CECE9C9A3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총괄!$B$25:$AG$25</c:f>
              <c:numCache>
                <c:formatCode>0%</c:formatCode>
                <c:ptCount val="32"/>
                <c:pt idx="0">
                  <c:v>0.59455128205128216</c:v>
                </c:pt>
                <c:pt idx="1">
                  <c:v>0.64666666666666672</c:v>
                </c:pt>
                <c:pt idx="2">
                  <c:v>0.53166666666666662</c:v>
                </c:pt>
                <c:pt idx="3">
                  <c:v>0.46376811594202894</c:v>
                </c:pt>
                <c:pt idx="5">
                  <c:v>0.47159090909090912</c:v>
                </c:pt>
                <c:pt idx="6">
                  <c:v>0.40705128205128205</c:v>
                </c:pt>
                <c:pt idx="7">
                  <c:v>0.3737847222222222</c:v>
                </c:pt>
                <c:pt idx="8">
                  <c:v>0.56310012437810952</c:v>
                </c:pt>
                <c:pt idx="9">
                  <c:v>0.55862000713761029</c:v>
                </c:pt>
                <c:pt idx="12">
                  <c:v>0.60416666666666652</c:v>
                </c:pt>
                <c:pt idx="13">
                  <c:v>0.42129629629629628</c:v>
                </c:pt>
                <c:pt idx="14">
                  <c:v>0.50666666666666671</c:v>
                </c:pt>
                <c:pt idx="15">
                  <c:v>0.58333333333333337</c:v>
                </c:pt>
                <c:pt idx="16">
                  <c:v>0.6382575757575758</c:v>
                </c:pt>
                <c:pt idx="22">
                  <c:v>0.58876811594202916</c:v>
                </c:pt>
                <c:pt idx="23">
                  <c:v>0.67424242424242431</c:v>
                </c:pt>
                <c:pt idx="26">
                  <c:v>0.40909090909090901</c:v>
                </c:pt>
                <c:pt idx="27">
                  <c:v>0.47463768115942034</c:v>
                </c:pt>
                <c:pt idx="28">
                  <c:v>0.43840579710144922</c:v>
                </c:pt>
                <c:pt idx="29">
                  <c:v>0.61413043478260865</c:v>
                </c:pt>
                <c:pt idx="31">
                  <c:v>0.35212652257487181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7-48A7-A8DB-8CECE9C9A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C257-48A7-A8DB-8CECE9C9A3F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총괄!$B$26:$AG$26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57-48A7-A8DB-8CECE9C9A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'08'!$D$6:$D$29</c:f>
              <c:strCache>
                <c:ptCount val="24"/>
                <c:pt idx="0">
                  <c:v>ADAPTER</c:v>
                </c:pt>
                <c:pt idx="1">
                  <c:v>ADAPTER</c:v>
                </c:pt>
                <c:pt idx="2">
                  <c:v>STOPPER</c:v>
                </c:pt>
                <c:pt idx="3">
                  <c:v>STOPPER</c:v>
                </c:pt>
                <c:pt idx="4">
                  <c:v>COVER</c:v>
                </c:pt>
                <c:pt idx="5">
                  <c:v>COVER</c:v>
                </c:pt>
                <c:pt idx="6">
                  <c:v>BOTTOM</c:v>
                </c:pt>
                <c:pt idx="7">
                  <c:v>LATCH</c:v>
                </c:pt>
                <c:pt idx="8">
                  <c:v>BASE</c:v>
                </c:pt>
                <c:pt idx="9">
                  <c:v>TOP</c:v>
                </c:pt>
                <c:pt idx="10">
                  <c:v>BASE</c:v>
                </c:pt>
                <c:pt idx="11">
                  <c:v>RIVET</c:v>
                </c:pt>
                <c:pt idx="12">
                  <c:v>COVER</c:v>
                </c:pt>
                <c:pt idx="13">
                  <c:v>SLIDER</c:v>
                </c:pt>
                <c:pt idx="14">
                  <c:v>BASE</c:v>
                </c:pt>
                <c:pt idx="15">
                  <c:v>BASE</c:v>
                </c:pt>
                <c:pt idx="16">
                  <c:v>BASE</c:v>
                </c:pt>
                <c:pt idx="20">
                  <c:v>LEAD GUIDER</c:v>
                </c:pt>
                <c:pt idx="21">
                  <c:v>SLIDER</c:v>
                </c:pt>
                <c:pt idx="22">
                  <c:v>COVER</c:v>
                </c:pt>
                <c:pt idx="23">
                  <c:v>BASE</c:v>
                </c:pt>
              </c:strCache>
            </c:strRef>
          </c:cat>
          <c:val>
            <c:numRef>
              <c:f>'08'!$L$6:$L$29</c:f>
              <c:numCache>
                <c:formatCode>_(* #,##0_);_(* \(#,##0\);_(* "-"_);_(@_)</c:formatCode>
                <c:ptCount val="24"/>
                <c:pt idx="0">
                  <c:v>550</c:v>
                </c:pt>
                <c:pt idx="1">
                  <c:v>11534</c:v>
                </c:pt>
                <c:pt idx="2">
                  <c:v>15540</c:v>
                </c:pt>
                <c:pt idx="3">
                  <c:v>4890</c:v>
                </c:pt>
                <c:pt idx="4">
                  <c:v>1932</c:v>
                </c:pt>
                <c:pt idx="5">
                  <c:v>2098</c:v>
                </c:pt>
                <c:pt idx="6">
                  <c:v>699</c:v>
                </c:pt>
                <c:pt idx="7">
                  <c:v>4456</c:v>
                </c:pt>
                <c:pt idx="8">
                  <c:v>9374</c:v>
                </c:pt>
                <c:pt idx="9">
                  <c:v>4429</c:v>
                </c:pt>
                <c:pt idx="11">
                  <c:v>20828</c:v>
                </c:pt>
                <c:pt idx="12">
                  <c:v>5034</c:v>
                </c:pt>
                <c:pt idx="13">
                  <c:v>1705</c:v>
                </c:pt>
                <c:pt idx="18">
                  <c:v>498630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A-4411-8E01-DBA8720390B1}"/>
            </c:ext>
          </c:extLst>
        </c:ser>
        <c:ser>
          <c:idx val="1"/>
          <c:order val="1"/>
          <c:tx>
            <c:v>계획</c:v>
          </c:tx>
          <c:cat>
            <c:strRef>
              <c:f>'08'!$D$6:$D$29</c:f>
              <c:strCache>
                <c:ptCount val="24"/>
                <c:pt idx="0">
                  <c:v>ADAPTER</c:v>
                </c:pt>
                <c:pt idx="1">
                  <c:v>ADAPTER</c:v>
                </c:pt>
                <c:pt idx="2">
                  <c:v>STOPPER</c:v>
                </c:pt>
                <c:pt idx="3">
                  <c:v>STOPPER</c:v>
                </c:pt>
                <c:pt idx="4">
                  <c:v>COVER</c:v>
                </c:pt>
                <c:pt idx="5">
                  <c:v>COVER</c:v>
                </c:pt>
                <c:pt idx="6">
                  <c:v>BOTTOM</c:v>
                </c:pt>
                <c:pt idx="7">
                  <c:v>LATCH</c:v>
                </c:pt>
                <c:pt idx="8">
                  <c:v>BASE</c:v>
                </c:pt>
                <c:pt idx="9">
                  <c:v>TOP</c:v>
                </c:pt>
                <c:pt idx="10">
                  <c:v>BASE</c:v>
                </c:pt>
                <c:pt idx="11">
                  <c:v>RIVET</c:v>
                </c:pt>
                <c:pt idx="12">
                  <c:v>COVER</c:v>
                </c:pt>
                <c:pt idx="13">
                  <c:v>SLIDER</c:v>
                </c:pt>
                <c:pt idx="14">
                  <c:v>BASE</c:v>
                </c:pt>
                <c:pt idx="15">
                  <c:v>BASE</c:v>
                </c:pt>
                <c:pt idx="16">
                  <c:v>BASE</c:v>
                </c:pt>
                <c:pt idx="20">
                  <c:v>LEAD GUIDER</c:v>
                </c:pt>
                <c:pt idx="21">
                  <c:v>SLIDER</c:v>
                </c:pt>
                <c:pt idx="22">
                  <c:v>COVER</c:v>
                </c:pt>
                <c:pt idx="23">
                  <c:v>BASE</c:v>
                </c:pt>
              </c:strCache>
            </c:strRef>
          </c:cat>
          <c:val>
            <c:numRef>
              <c:f>'08'!$J$6:$J$29</c:f>
              <c:numCache>
                <c:formatCode>_(* #,##0_);_(* \(#,##0\);_(* "-"_);_(@_)</c:formatCode>
                <c:ptCount val="24"/>
                <c:pt idx="0">
                  <c:v>550</c:v>
                </c:pt>
                <c:pt idx="1">
                  <c:v>11534</c:v>
                </c:pt>
                <c:pt idx="2">
                  <c:v>15540</c:v>
                </c:pt>
                <c:pt idx="3">
                  <c:v>4890</c:v>
                </c:pt>
                <c:pt idx="4">
                  <c:v>1932</c:v>
                </c:pt>
                <c:pt idx="5">
                  <c:v>2098</c:v>
                </c:pt>
                <c:pt idx="6">
                  <c:v>699</c:v>
                </c:pt>
                <c:pt idx="7">
                  <c:v>4456</c:v>
                </c:pt>
                <c:pt idx="8">
                  <c:v>9374</c:v>
                </c:pt>
                <c:pt idx="9">
                  <c:v>4429</c:v>
                </c:pt>
                <c:pt idx="10">
                  <c:v>391</c:v>
                </c:pt>
                <c:pt idx="11">
                  <c:v>20828</c:v>
                </c:pt>
                <c:pt idx="12">
                  <c:v>5034</c:v>
                </c:pt>
                <c:pt idx="13">
                  <c:v>1650</c:v>
                </c:pt>
                <c:pt idx="14">
                  <c:v>11012</c:v>
                </c:pt>
                <c:pt idx="15">
                  <c:v>290</c:v>
                </c:pt>
                <c:pt idx="16">
                  <c:v>8544</c:v>
                </c:pt>
                <c:pt idx="17">
                  <c:v>63452</c:v>
                </c:pt>
                <c:pt idx="18">
                  <c:v>498630</c:v>
                </c:pt>
                <c:pt idx="19">
                  <c:v>0</c:v>
                </c:pt>
                <c:pt idx="20">
                  <c:v>31996</c:v>
                </c:pt>
                <c:pt idx="21">
                  <c:v>28802</c:v>
                </c:pt>
                <c:pt idx="22">
                  <c:v>26944</c:v>
                </c:pt>
                <c:pt idx="23">
                  <c:v>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A-4411-8E01-DBA872039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'08'!$AD$6:$AD$29</c:f>
              <c:strCache>
                <c:ptCount val="24"/>
                <c:pt idx="0">
                  <c:v>13%</c:v>
                </c:pt>
                <c:pt idx="1">
                  <c:v>100%</c:v>
                </c:pt>
                <c:pt idx="2">
                  <c:v>100%</c:v>
                </c:pt>
                <c:pt idx="3">
                  <c:v>79%</c:v>
                </c:pt>
                <c:pt idx="4">
                  <c:v>38%</c:v>
                </c:pt>
                <c:pt idx="5">
                  <c:v>46%</c:v>
                </c:pt>
                <c:pt idx="6">
                  <c:v>17%</c:v>
                </c:pt>
                <c:pt idx="7">
                  <c:v>29%</c:v>
                </c:pt>
                <c:pt idx="8">
                  <c:v>100%</c:v>
                </c:pt>
                <c:pt idx="9">
                  <c:v>100%</c:v>
                </c:pt>
                <c:pt idx="10">
                  <c:v>0%</c:v>
                </c:pt>
                <c:pt idx="11">
                  <c:v>58%</c:v>
                </c:pt>
                <c:pt idx="12">
                  <c:v>79%</c:v>
                </c:pt>
                <c:pt idx="13">
                  <c:v>39%</c:v>
                </c:pt>
                <c:pt idx="14">
                  <c:v>0%</c:v>
                </c:pt>
                <c:pt idx="15">
                  <c:v>0%</c:v>
                </c:pt>
                <c:pt idx="16">
                  <c:v>0%</c:v>
                </c:pt>
                <c:pt idx="17">
                  <c:v>0%</c:v>
                </c:pt>
                <c:pt idx="18">
                  <c:v>100%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  <c:pt idx="22">
                  <c:v>0%</c:v>
                </c:pt>
                <c:pt idx="23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'08'!$D$6:$D$29</c:f>
              <c:strCache>
                <c:ptCount val="24"/>
                <c:pt idx="0">
                  <c:v>ADAPTER</c:v>
                </c:pt>
                <c:pt idx="1">
                  <c:v>ADAPTER</c:v>
                </c:pt>
                <c:pt idx="2">
                  <c:v>STOPPER</c:v>
                </c:pt>
                <c:pt idx="3">
                  <c:v>STOPPER</c:v>
                </c:pt>
                <c:pt idx="4">
                  <c:v>COVER</c:v>
                </c:pt>
                <c:pt idx="5">
                  <c:v>COVER</c:v>
                </c:pt>
                <c:pt idx="6">
                  <c:v>BOTTOM</c:v>
                </c:pt>
                <c:pt idx="7">
                  <c:v>LATCH</c:v>
                </c:pt>
                <c:pt idx="8">
                  <c:v>BASE</c:v>
                </c:pt>
                <c:pt idx="9">
                  <c:v>TOP</c:v>
                </c:pt>
                <c:pt idx="10">
                  <c:v>BASE</c:v>
                </c:pt>
                <c:pt idx="11">
                  <c:v>RIVET</c:v>
                </c:pt>
                <c:pt idx="12">
                  <c:v>COVER</c:v>
                </c:pt>
                <c:pt idx="13">
                  <c:v>SLIDER</c:v>
                </c:pt>
                <c:pt idx="14">
                  <c:v>BASE</c:v>
                </c:pt>
                <c:pt idx="15">
                  <c:v>BASE</c:v>
                </c:pt>
                <c:pt idx="16">
                  <c:v>BASE</c:v>
                </c:pt>
                <c:pt idx="20">
                  <c:v>LEAD GUIDER</c:v>
                </c:pt>
                <c:pt idx="21">
                  <c:v>SLIDER</c:v>
                </c:pt>
                <c:pt idx="22">
                  <c:v>COVER</c:v>
                </c:pt>
                <c:pt idx="23">
                  <c:v>BASE</c:v>
                </c:pt>
              </c:strCache>
            </c:strRef>
          </c:cat>
          <c:val>
            <c:numRef>
              <c:f>'08'!$AD$6:$AD$29</c:f>
              <c:numCache>
                <c:formatCode>0%</c:formatCode>
                <c:ptCount val="24"/>
                <c:pt idx="0">
                  <c:v>0.125</c:v>
                </c:pt>
                <c:pt idx="1">
                  <c:v>1</c:v>
                </c:pt>
                <c:pt idx="2">
                  <c:v>1</c:v>
                </c:pt>
                <c:pt idx="3">
                  <c:v>0.79166666666666663</c:v>
                </c:pt>
                <c:pt idx="4">
                  <c:v>0.375</c:v>
                </c:pt>
                <c:pt idx="5">
                  <c:v>0.45833333333333331</c:v>
                </c:pt>
                <c:pt idx="6">
                  <c:v>0.16666666666666666</c:v>
                </c:pt>
                <c:pt idx="7">
                  <c:v>0.29166666666666669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0.58333333333333337</c:v>
                </c:pt>
                <c:pt idx="12">
                  <c:v>0.79166666666666663</c:v>
                </c:pt>
                <c:pt idx="13">
                  <c:v>0.38750000000000007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D-43B4-BEF4-AC041CBF3244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C9D-43B4-BEF4-AC041CBF324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'08'!$D$6:$D$29</c:f>
              <c:strCache>
                <c:ptCount val="24"/>
                <c:pt idx="0">
                  <c:v>ADAPTER</c:v>
                </c:pt>
                <c:pt idx="1">
                  <c:v>ADAPTER</c:v>
                </c:pt>
                <c:pt idx="2">
                  <c:v>STOPPER</c:v>
                </c:pt>
                <c:pt idx="3">
                  <c:v>STOPPER</c:v>
                </c:pt>
                <c:pt idx="4">
                  <c:v>COVER</c:v>
                </c:pt>
                <c:pt idx="5">
                  <c:v>COVER</c:v>
                </c:pt>
                <c:pt idx="6">
                  <c:v>BOTTOM</c:v>
                </c:pt>
                <c:pt idx="7">
                  <c:v>LATCH</c:v>
                </c:pt>
                <c:pt idx="8">
                  <c:v>BASE</c:v>
                </c:pt>
                <c:pt idx="9">
                  <c:v>TOP</c:v>
                </c:pt>
                <c:pt idx="10">
                  <c:v>BASE</c:v>
                </c:pt>
                <c:pt idx="11">
                  <c:v>RIVET</c:v>
                </c:pt>
                <c:pt idx="12">
                  <c:v>COVER</c:v>
                </c:pt>
                <c:pt idx="13">
                  <c:v>SLIDER</c:v>
                </c:pt>
                <c:pt idx="14">
                  <c:v>BASE</c:v>
                </c:pt>
                <c:pt idx="15">
                  <c:v>BASE</c:v>
                </c:pt>
                <c:pt idx="16">
                  <c:v>BASE</c:v>
                </c:pt>
                <c:pt idx="20">
                  <c:v>LEAD GUIDER</c:v>
                </c:pt>
                <c:pt idx="21">
                  <c:v>SLIDER</c:v>
                </c:pt>
                <c:pt idx="22">
                  <c:v>COVER</c:v>
                </c:pt>
                <c:pt idx="23">
                  <c:v>BASE</c:v>
                </c:pt>
              </c:strCache>
            </c:strRef>
          </c:cat>
          <c:val>
            <c:numRef>
              <c:f>'08'!$AE$6:$AE$29</c:f>
              <c:numCache>
                <c:formatCode>0%</c:formatCode>
                <c:ptCount val="24"/>
                <c:pt idx="0">
                  <c:v>0.3737847222222222</c:v>
                </c:pt>
                <c:pt idx="1">
                  <c:v>0.3737847222222222</c:v>
                </c:pt>
                <c:pt idx="2">
                  <c:v>0.3737847222222222</c:v>
                </c:pt>
                <c:pt idx="3">
                  <c:v>0.3737847222222222</c:v>
                </c:pt>
                <c:pt idx="4">
                  <c:v>0.3737847222222222</c:v>
                </c:pt>
                <c:pt idx="5">
                  <c:v>0.3737847222222222</c:v>
                </c:pt>
                <c:pt idx="6">
                  <c:v>0.3737847222222222</c:v>
                </c:pt>
                <c:pt idx="7">
                  <c:v>0.3737847222222222</c:v>
                </c:pt>
                <c:pt idx="8">
                  <c:v>0.3737847222222222</c:v>
                </c:pt>
                <c:pt idx="9">
                  <c:v>0.3737847222222222</c:v>
                </c:pt>
                <c:pt idx="10">
                  <c:v>0.3737847222222222</c:v>
                </c:pt>
                <c:pt idx="11">
                  <c:v>0.3737847222222222</c:v>
                </c:pt>
                <c:pt idx="12">
                  <c:v>0.3737847222222222</c:v>
                </c:pt>
                <c:pt idx="13">
                  <c:v>0.3737847222222222</c:v>
                </c:pt>
                <c:pt idx="14">
                  <c:v>0.3737847222222222</c:v>
                </c:pt>
                <c:pt idx="15">
                  <c:v>0.3737847222222222</c:v>
                </c:pt>
                <c:pt idx="16">
                  <c:v>0.3737847222222222</c:v>
                </c:pt>
                <c:pt idx="17">
                  <c:v>0.3737847222222222</c:v>
                </c:pt>
                <c:pt idx="18">
                  <c:v>0.3737847222222222</c:v>
                </c:pt>
                <c:pt idx="19">
                  <c:v>0.3737847222222222</c:v>
                </c:pt>
                <c:pt idx="20">
                  <c:v>0.3737847222222222</c:v>
                </c:pt>
                <c:pt idx="21">
                  <c:v>0.3737847222222222</c:v>
                </c:pt>
                <c:pt idx="22">
                  <c:v>0.3737847222222222</c:v>
                </c:pt>
                <c:pt idx="23">
                  <c:v>0.3737847222222222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9D-43B4-BEF4-AC041CBF3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'08'!$D$6:$D$29</c:f>
              <c:strCache>
                <c:ptCount val="24"/>
                <c:pt idx="0">
                  <c:v>ADAPTER</c:v>
                </c:pt>
                <c:pt idx="1">
                  <c:v>ADAPTER</c:v>
                </c:pt>
                <c:pt idx="2">
                  <c:v>STOPPER</c:v>
                </c:pt>
                <c:pt idx="3">
                  <c:v>STOPPER</c:v>
                </c:pt>
                <c:pt idx="4">
                  <c:v>COVER</c:v>
                </c:pt>
                <c:pt idx="5">
                  <c:v>COVER</c:v>
                </c:pt>
                <c:pt idx="6">
                  <c:v>BOTTOM</c:v>
                </c:pt>
                <c:pt idx="7">
                  <c:v>LATCH</c:v>
                </c:pt>
                <c:pt idx="8">
                  <c:v>BASE</c:v>
                </c:pt>
                <c:pt idx="9">
                  <c:v>TOP</c:v>
                </c:pt>
                <c:pt idx="10">
                  <c:v>BASE</c:v>
                </c:pt>
                <c:pt idx="11">
                  <c:v>RIVET</c:v>
                </c:pt>
                <c:pt idx="12">
                  <c:v>COVER</c:v>
                </c:pt>
                <c:pt idx="13">
                  <c:v>SLIDER</c:v>
                </c:pt>
                <c:pt idx="14">
                  <c:v>BASE</c:v>
                </c:pt>
                <c:pt idx="15">
                  <c:v>BASE</c:v>
                </c:pt>
                <c:pt idx="16">
                  <c:v>BASE</c:v>
                </c:pt>
                <c:pt idx="20">
                  <c:v>LEAD GUIDER</c:v>
                </c:pt>
                <c:pt idx="21">
                  <c:v>SLIDER</c:v>
                </c:pt>
                <c:pt idx="22">
                  <c:v>COVER</c:v>
                </c:pt>
                <c:pt idx="23">
                  <c:v>BASE</c:v>
                </c:pt>
              </c:strCache>
            </c:strRef>
          </c:cat>
          <c:val>
            <c:numRef>
              <c:f>'08'!$L$6:$L$29</c:f>
              <c:numCache>
                <c:formatCode>_(* #,##0_);_(* \(#,##0\);_(* "-"_);_(@_)</c:formatCode>
                <c:ptCount val="24"/>
                <c:pt idx="0">
                  <c:v>550</c:v>
                </c:pt>
                <c:pt idx="1">
                  <c:v>11534</c:v>
                </c:pt>
                <c:pt idx="2">
                  <c:v>15540</c:v>
                </c:pt>
                <c:pt idx="3">
                  <c:v>4890</c:v>
                </c:pt>
                <c:pt idx="4">
                  <c:v>1932</c:v>
                </c:pt>
                <c:pt idx="5">
                  <c:v>2098</c:v>
                </c:pt>
                <c:pt idx="6">
                  <c:v>699</c:v>
                </c:pt>
                <c:pt idx="7">
                  <c:v>4456</c:v>
                </c:pt>
                <c:pt idx="8">
                  <c:v>9374</c:v>
                </c:pt>
                <c:pt idx="9">
                  <c:v>4429</c:v>
                </c:pt>
                <c:pt idx="11">
                  <c:v>20828</c:v>
                </c:pt>
                <c:pt idx="12">
                  <c:v>5034</c:v>
                </c:pt>
                <c:pt idx="13">
                  <c:v>1705</c:v>
                </c:pt>
                <c:pt idx="18">
                  <c:v>498630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3-4F6F-A2FE-08A9CE489C41}"/>
            </c:ext>
          </c:extLst>
        </c:ser>
        <c:ser>
          <c:idx val="1"/>
          <c:order val="1"/>
          <c:tx>
            <c:v>계획</c:v>
          </c:tx>
          <c:cat>
            <c:strRef>
              <c:f>'08'!$D$6:$D$29</c:f>
              <c:strCache>
                <c:ptCount val="24"/>
                <c:pt idx="0">
                  <c:v>ADAPTER</c:v>
                </c:pt>
                <c:pt idx="1">
                  <c:v>ADAPTER</c:v>
                </c:pt>
                <c:pt idx="2">
                  <c:v>STOPPER</c:v>
                </c:pt>
                <c:pt idx="3">
                  <c:v>STOPPER</c:v>
                </c:pt>
                <c:pt idx="4">
                  <c:v>COVER</c:v>
                </c:pt>
                <c:pt idx="5">
                  <c:v>COVER</c:v>
                </c:pt>
                <c:pt idx="6">
                  <c:v>BOTTOM</c:v>
                </c:pt>
                <c:pt idx="7">
                  <c:v>LATCH</c:v>
                </c:pt>
                <c:pt idx="8">
                  <c:v>BASE</c:v>
                </c:pt>
                <c:pt idx="9">
                  <c:v>TOP</c:v>
                </c:pt>
                <c:pt idx="10">
                  <c:v>BASE</c:v>
                </c:pt>
                <c:pt idx="11">
                  <c:v>RIVET</c:v>
                </c:pt>
                <c:pt idx="12">
                  <c:v>COVER</c:v>
                </c:pt>
                <c:pt idx="13">
                  <c:v>SLIDER</c:v>
                </c:pt>
                <c:pt idx="14">
                  <c:v>BASE</c:v>
                </c:pt>
                <c:pt idx="15">
                  <c:v>BASE</c:v>
                </c:pt>
                <c:pt idx="16">
                  <c:v>BASE</c:v>
                </c:pt>
                <c:pt idx="20">
                  <c:v>LEAD GUIDER</c:v>
                </c:pt>
                <c:pt idx="21">
                  <c:v>SLIDER</c:v>
                </c:pt>
                <c:pt idx="22">
                  <c:v>COVER</c:v>
                </c:pt>
                <c:pt idx="23">
                  <c:v>BASE</c:v>
                </c:pt>
              </c:strCache>
            </c:strRef>
          </c:cat>
          <c:val>
            <c:numRef>
              <c:f>'08'!$J$6:$J$29</c:f>
              <c:numCache>
                <c:formatCode>_(* #,##0_);_(* \(#,##0\);_(* "-"_);_(@_)</c:formatCode>
                <c:ptCount val="24"/>
                <c:pt idx="0">
                  <c:v>550</c:v>
                </c:pt>
                <c:pt idx="1">
                  <c:v>11534</c:v>
                </c:pt>
                <c:pt idx="2">
                  <c:v>15540</c:v>
                </c:pt>
                <c:pt idx="3">
                  <c:v>4890</c:v>
                </c:pt>
                <c:pt idx="4">
                  <c:v>1932</c:v>
                </c:pt>
                <c:pt idx="5">
                  <c:v>2098</c:v>
                </c:pt>
                <c:pt idx="6">
                  <c:v>699</c:v>
                </c:pt>
                <c:pt idx="7">
                  <c:v>4456</c:v>
                </c:pt>
                <c:pt idx="8">
                  <c:v>9374</c:v>
                </c:pt>
                <c:pt idx="9">
                  <c:v>4429</c:v>
                </c:pt>
                <c:pt idx="10">
                  <c:v>391</c:v>
                </c:pt>
                <c:pt idx="11">
                  <c:v>20828</c:v>
                </c:pt>
                <c:pt idx="12">
                  <c:v>5034</c:v>
                </c:pt>
                <c:pt idx="13">
                  <c:v>1650</c:v>
                </c:pt>
                <c:pt idx="14">
                  <c:v>11012</c:v>
                </c:pt>
                <c:pt idx="15">
                  <c:v>290</c:v>
                </c:pt>
                <c:pt idx="16">
                  <c:v>8544</c:v>
                </c:pt>
                <c:pt idx="17">
                  <c:v>63452</c:v>
                </c:pt>
                <c:pt idx="18">
                  <c:v>498630</c:v>
                </c:pt>
                <c:pt idx="19">
                  <c:v>0</c:v>
                </c:pt>
                <c:pt idx="20">
                  <c:v>31996</c:v>
                </c:pt>
                <c:pt idx="21">
                  <c:v>28802</c:v>
                </c:pt>
                <c:pt idx="22">
                  <c:v>26944</c:v>
                </c:pt>
                <c:pt idx="23">
                  <c:v>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B3-4F6F-A2FE-08A9CE489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'08'!$AD$6:$AD$29</c:f>
              <c:strCache>
                <c:ptCount val="24"/>
                <c:pt idx="0">
                  <c:v>13%</c:v>
                </c:pt>
                <c:pt idx="1">
                  <c:v>100%</c:v>
                </c:pt>
                <c:pt idx="2">
                  <c:v>100%</c:v>
                </c:pt>
                <c:pt idx="3">
                  <c:v>79%</c:v>
                </c:pt>
                <c:pt idx="4">
                  <c:v>38%</c:v>
                </c:pt>
                <c:pt idx="5">
                  <c:v>46%</c:v>
                </c:pt>
                <c:pt idx="6">
                  <c:v>17%</c:v>
                </c:pt>
                <c:pt idx="7">
                  <c:v>29%</c:v>
                </c:pt>
                <c:pt idx="8">
                  <c:v>100%</c:v>
                </c:pt>
                <c:pt idx="9">
                  <c:v>100%</c:v>
                </c:pt>
                <c:pt idx="10">
                  <c:v>0%</c:v>
                </c:pt>
                <c:pt idx="11">
                  <c:v>58%</c:v>
                </c:pt>
                <c:pt idx="12">
                  <c:v>79%</c:v>
                </c:pt>
                <c:pt idx="13">
                  <c:v>39%</c:v>
                </c:pt>
                <c:pt idx="14">
                  <c:v>0%</c:v>
                </c:pt>
                <c:pt idx="15">
                  <c:v>0%</c:v>
                </c:pt>
                <c:pt idx="16">
                  <c:v>0%</c:v>
                </c:pt>
                <c:pt idx="17">
                  <c:v>0%</c:v>
                </c:pt>
                <c:pt idx="18">
                  <c:v>100%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  <c:pt idx="22">
                  <c:v>0%</c:v>
                </c:pt>
                <c:pt idx="23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'08'!$D$6:$D$29</c:f>
              <c:strCache>
                <c:ptCount val="24"/>
                <c:pt idx="0">
                  <c:v>ADAPTER</c:v>
                </c:pt>
                <c:pt idx="1">
                  <c:v>ADAPTER</c:v>
                </c:pt>
                <c:pt idx="2">
                  <c:v>STOPPER</c:v>
                </c:pt>
                <c:pt idx="3">
                  <c:v>STOPPER</c:v>
                </c:pt>
                <c:pt idx="4">
                  <c:v>COVER</c:v>
                </c:pt>
                <c:pt idx="5">
                  <c:v>COVER</c:v>
                </c:pt>
                <c:pt idx="6">
                  <c:v>BOTTOM</c:v>
                </c:pt>
                <c:pt idx="7">
                  <c:v>LATCH</c:v>
                </c:pt>
                <c:pt idx="8">
                  <c:v>BASE</c:v>
                </c:pt>
                <c:pt idx="9">
                  <c:v>TOP</c:v>
                </c:pt>
                <c:pt idx="10">
                  <c:v>BASE</c:v>
                </c:pt>
                <c:pt idx="11">
                  <c:v>RIVET</c:v>
                </c:pt>
                <c:pt idx="12">
                  <c:v>COVER</c:v>
                </c:pt>
                <c:pt idx="13">
                  <c:v>SLIDER</c:v>
                </c:pt>
                <c:pt idx="14">
                  <c:v>BASE</c:v>
                </c:pt>
                <c:pt idx="15">
                  <c:v>BASE</c:v>
                </c:pt>
                <c:pt idx="16">
                  <c:v>BASE</c:v>
                </c:pt>
                <c:pt idx="20">
                  <c:v>LEAD GUIDER</c:v>
                </c:pt>
                <c:pt idx="21">
                  <c:v>SLIDER</c:v>
                </c:pt>
                <c:pt idx="22">
                  <c:v>COVER</c:v>
                </c:pt>
                <c:pt idx="23">
                  <c:v>BASE</c:v>
                </c:pt>
              </c:strCache>
            </c:strRef>
          </c:cat>
          <c:val>
            <c:numRef>
              <c:f>'08'!$AD$6:$AD$29</c:f>
              <c:numCache>
                <c:formatCode>0%</c:formatCode>
                <c:ptCount val="24"/>
                <c:pt idx="0">
                  <c:v>0.125</c:v>
                </c:pt>
                <c:pt idx="1">
                  <c:v>1</c:v>
                </c:pt>
                <c:pt idx="2">
                  <c:v>1</c:v>
                </c:pt>
                <c:pt idx="3">
                  <c:v>0.79166666666666663</c:v>
                </c:pt>
                <c:pt idx="4">
                  <c:v>0.375</c:v>
                </c:pt>
                <c:pt idx="5">
                  <c:v>0.45833333333333331</c:v>
                </c:pt>
                <c:pt idx="6">
                  <c:v>0.16666666666666666</c:v>
                </c:pt>
                <c:pt idx="7">
                  <c:v>0.29166666666666669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0.58333333333333337</c:v>
                </c:pt>
                <c:pt idx="12">
                  <c:v>0.79166666666666663</c:v>
                </c:pt>
                <c:pt idx="13">
                  <c:v>0.38750000000000007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D-479B-A76F-6CC66C77E674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2D-479B-A76F-6CC66C77E67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'08'!$D$6:$D$29</c:f>
              <c:strCache>
                <c:ptCount val="24"/>
                <c:pt idx="0">
                  <c:v>ADAPTER</c:v>
                </c:pt>
                <c:pt idx="1">
                  <c:v>ADAPTER</c:v>
                </c:pt>
                <c:pt idx="2">
                  <c:v>STOPPER</c:v>
                </c:pt>
                <c:pt idx="3">
                  <c:v>STOPPER</c:v>
                </c:pt>
                <c:pt idx="4">
                  <c:v>COVER</c:v>
                </c:pt>
                <c:pt idx="5">
                  <c:v>COVER</c:v>
                </c:pt>
                <c:pt idx="6">
                  <c:v>BOTTOM</c:v>
                </c:pt>
                <c:pt idx="7">
                  <c:v>LATCH</c:v>
                </c:pt>
                <c:pt idx="8">
                  <c:v>BASE</c:v>
                </c:pt>
                <c:pt idx="9">
                  <c:v>TOP</c:v>
                </c:pt>
                <c:pt idx="10">
                  <c:v>BASE</c:v>
                </c:pt>
                <c:pt idx="11">
                  <c:v>RIVET</c:v>
                </c:pt>
                <c:pt idx="12">
                  <c:v>COVER</c:v>
                </c:pt>
                <c:pt idx="13">
                  <c:v>SLIDER</c:v>
                </c:pt>
                <c:pt idx="14">
                  <c:v>BASE</c:v>
                </c:pt>
                <c:pt idx="15">
                  <c:v>BASE</c:v>
                </c:pt>
                <c:pt idx="16">
                  <c:v>BASE</c:v>
                </c:pt>
                <c:pt idx="20">
                  <c:v>LEAD GUIDER</c:v>
                </c:pt>
                <c:pt idx="21">
                  <c:v>SLIDER</c:v>
                </c:pt>
                <c:pt idx="22">
                  <c:v>COVER</c:v>
                </c:pt>
                <c:pt idx="23">
                  <c:v>BASE</c:v>
                </c:pt>
              </c:strCache>
            </c:strRef>
          </c:cat>
          <c:val>
            <c:numRef>
              <c:f>'08'!$AE$6:$AE$29</c:f>
              <c:numCache>
                <c:formatCode>0%</c:formatCode>
                <c:ptCount val="24"/>
                <c:pt idx="0">
                  <c:v>0.3737847222222222</c:v>
                </c:pt>
                <c:pt idx="1">
                  <c:v>0.3737847222222222</c:v>
                </c:pt>
                <c:pt idx="2">
                  <c:v>0.3737847222222222</c:v>
                </c:pt>
                <c:pt idx="3">
                  <c:v>0.3737847222222222</c:v>
                </c:pt>
                <c:pt idx="4">
                  <c:v>0.3737847222222222</c:v>
                </c:pt>
                <c:pt idx="5">
                  <c:v>0.3737847222222222</c:v>
                </c:pt>
                <c:pt idx="6">
                  <c:v>0.3737847222222222</c:v>
                </c:pt>
                <c:pt idx="7">
                  <c:v>0.3737847222222222</c:v>
                </c:pt>
                <c:pt idx="8">
                  <c:v>0.3737847222222222</c:v>
                </c:pt>
                <c:pt idx="9">
                  <c:v>0.3737847222222222</c:v>
                </c:pt>
                <c:pt idx="10">
                  <c:v>0.3737847222222222</c:v>
                </c:pt>
                <c:pt idx="11">
                  <c:v>0.3737847222222222</c:v>
                </c:pt>
                <c:pt idx="12">
                  <c:v>0.3737847222222222</c:v>
                </c:pt>
                <c:pt idx="13">
                  <c:v>0.3737847222222222</c:v>
                </c:pt>
                <c:pt idx="14">
                  <c:v>0.3737847222222222</c:v>
                </c:pt>
                <c:pt idx="15">
                  <c:v>0.3737847222222222</c:v>
                </c:pt>
                <c:pt idx="16">
                  <c:v>0.3737847222222222</c:v>
                </c:pt>
                <c:pt idx="17">
                  <c:v>0.3737847222222222</c:v>
                </c:pt>
                <c:pt idx="18">
                  <c:v>0.3737847222222222</c:v>
                </c:pt>
                <c:pt idx="19">
                  <c:v>0.3737847222222222</c:v>
                </c:pt>
                <c:pt idx="20">
                  <c:v>0.3737847222222222</c:v>
                </c:pt>
                <c:pt idx="21">
                  <c:v>0.3737847222222222</c:v>
                </c:pt>
                <c:pt idx="22">
                  <c:v>0.3737847222222222</c:v>
                </c:pt>
                <c:pt idx="23">
                  <c:v>0.3737847222222222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2D-479B-A76F-6CC66C77E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총괄!$A$25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076F-4FB2-BCA0-1CCE97C29D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총괄!$B$25:$AG$25</c:f>
              <c:numCache>
                <c:formatCode>0%</c:formatCode>
                <c:ptCount val="32"/>
                <c:pt idx="0">
                  <c:v>0.59455128205128216</c:v>
                </c:pt>
                <c:pt idx="1">
                  <c:v>0.64666666666666672</c:v>
                </c:pt>
                <c:pt idx="2">
                  <c:v>0.53166666666666662</c:v>
                </c:pt>
                <c:pt idx="3">
                  <c:v>0.46376811594202894</c:v>
                </c:pt>
                <c:pt idx="5">
                  <c:v>0.47159090909090912</c:v>
                </c:pt>
                <c:pt idx="6">
                  <c:v>0.40705128205128205</c:v>
                </c:pt>
                <c:pt idx="7">
                  <c:v>0.3737847222222222</c:v>
                </c:pt>
                <c:pt idx="8">
                  <c:v>0.56310012437810952</c:v>
                </c:pt>
                <c:pt idx="9">
                  <c:v>0.55862000713761029</c:v>
                </c:pt>
                <c:pt idx="12">
                  <c:v>0.60416666666666652</c:v>
                </c:pt>
                <c:pt idx="13">
                  <c:v>0.42129629629629628</c:v>
                </c:pt>
                <c:pt idx="14">
                  <c:v>0.50666666666666671</c:v>
                </c:pt>
                <c:pt idx="15">
                  <c:v>0.58333333333333337</c:v>
                </c:pt>
                <c:pt idx="16">
                  <c:v>0.6382575757575758</c:v>
                </c:pt>
                <c:pt idx="22">
                  <c:v>0.58876811594202916</c:v>
                </c:pt>
                <c:pt idx="23">
                  <c:v>0.67424242424242431</c:v>
                </c:pt>
                <c:pt idx="26">
                  <c:v>0.40909090909090901</c:v>
                </c:pt>
                <c:pt idx="27">
                  <c:v>0.47463768115942034</c:v>
                </c:pt>
                <c:pt idx="28">
                  <c:v>0.43840579710144922</c:v>
                </c:pt>
                <c:pt idx="29">
                  <c:v>0.61413043478260865</c:v>
                </c:pt>
                <c:pt idx="31">
                  <c:v>0.35212652257487181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F-4FB2-BCA0-1CCE97C29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076F-4FB2-BCA0-1CCE97C29D8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총괄!$B$26:$AG$26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6F-4FB2-BCA0-1CCE97C29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'09'!$D$6:$D$30</c:f>
              <c:strCache>
                <c:ptCount val="24"/>
                <c:pt idx="0">
                  <c:v>ADAPTER</c:v>
                </c:pt>
                <c:pt idx="1">
                  <c:v>ADAPTER</c:v>
                </c:pt>
                <c:pt idx="3">
                  <c:v>STOPPER</c:v>
                </c:pt>
                <c:pt idx="4">
                  <c:v>COVER</c:v>
                </c:pt>
                <c:pt idx="5">
                  <c:v>LATCH PLATE</c:v>
                </c:pt>
                <c:pt idx="6">
                  <c:v>BASE</c:v>
                </c:pt>
                <c:pt idx="7">
                  <c:v>TOP</c:v>
                </c:pt>
                <c:pt idx="8">
                  <c:v>BOTTOM</c:v>
                </c:pt>
                <c:pt idx="9">
                  <c:v>BASE</c:v>
                </c:pt>
                <c:pt idx="10">
                  <c:v>RIVET</c:v>
                </c:pt>
                <c:pt idx="11">
                  <c:v>COVER</c:v>
                </c:pt>
                <c:pt idx="12">
                  <c:v>TOP</c:v>
                </c:pt>
                <c:pt idx="13">
                  <c:v>SLIDER</c:v>
                </c:pt>
                <c:pt idx="14">
                  <c:v>SLIDER</c:v>
                </c:pt>
                <c:pt idx="15">
                  <c:v>BASE</c:v>
                </c:pt>
                <c:pt idx="16">
                  <c:v>ACTUATOR</c:v>
                </c:pt>
                <c:pt idx="17">
                  <c:v>BASE</c:v>
                </c:pt>
                <c:pt idx="21">
                  <c:v>LEAD GUIDER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'09'!$L$6:$L$30</c:f>
              <c:numCache>
                <c:formatCode>_(* #,##0_);_(* \(#,##0\);_(* "-"_);_(@_)</c:formatCode>
                <c:ptCount val="25"/>
                <c:pt idx="0">
                  <c:v>4993</c:v>
                </c:pt>
                <c:pt idx="1">
                  <c:v>11138</c:v>
                </c:pt>
                <c:pt idx="2">
                  <c:v>3046</c:v>
                </c:pt>
                <c:pt idx="3">
                  <c:v>6432</c:v>
                </c:pt>
                <c:pt idx="4">
                  <c:v>309</c:v>
                </c:pt>
                <c:pt idx="5">
                  <c:v>10342</c:v>
                </c:pt>
                <c:pt idx="6">
                  <c:v>7651</c:v>
                </c:pt>
                <c:pt idx="7">
                  <c:v>1733</c:v>
                </c:pt>
                <c:pt idx="8">
                  <c:v>2074</c:v>
                </c:pt>
                <c:pt idx="10">
                  <c:v>34276</c:v>
                </c:pt>
                <c:pt idx="11">
                  <c:v>2114</c:v>
                </c:pt>
                <c:pt idx="12">
                  <c:v>1183</c:v>
                </c:pt>
                <c:pt idx="13">
                  <c:v>6333</c:v>
                </c:pt>
                <c:pt idx="14">
                  <c:v>1435</c:v>
                </c:pt>
                <c:pt idx="15">
                  <c:v>12156</c:v>
                </c:pt>
                <c:pt idx="16">
                  <c:v>21000</c:v>
                </c:pt>
                <c:pt idx="17">
                  <c:v>8600</c:v>
                </c:pt>
                <c:pt idx="18">
                  <c:v>64136</c:v>
                </c:pt>
                <c:pt idx="19">
                  <c:v>310470</c:v>
                </c:pt>
                <c:pt idx="24">
                  <c:v>28388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C-4498-B49C-EB146D1A4B3F}"/>
            </c:ext>
          </c:extLst>
        </c:ser>
        <c:ser>
          <c:idx val="1"/>
          <c:order val="1"/>
          <c:tx>
            <c:v>계획</c:v>
          </c:tx>
          <c:cat>
            <c:strRef>
              <c:f>'09'!$D$6:$D$30</c:f>
              <c:strCache>
                <c:ptCount val="24"/>
                <c:pt idx="0">
                  <c:v>ADAPTER</c:v>
                </c:pt>
                <c:pt idx="1">
                  <c:v>ADAPTER</c:v>
                </c:pt>
                <c:pt idx="3">
                  <c:v>STOPPER</c:v>
                </c:pt>
                <c:pt idx="4">
                  <c:v>COVER</c:v>
                </c:pt>
                <c:pt idx="5">
                  <c:v>LATCH PLATE</c:v>
                </c:pt>
                <c:pt idx="6">
                  <c:v>BASE</c:v>
                </c:pt>
                <c:pt idx="7">
                  <c:v>TOP</c:v>
                </c:pt>
                <c:pt idx="8">
                  <c:v>BOTTOM</c:v>
                </c:pt>
                <c:pt idx="9">
                  <c:v>BASE</c:v>
                </c:pt>
                <c:pt idx="10">
                  <c:v>RIVET</c:v>
                </c:pt>
                <c:pt idx="11">
                  <c:v>COVER</c:v>
                </c:pt>
                <c:pt idx="12">
                  <c:v>TOP</c:v>
                </c:pt>
                <c:pt idx="13">
                  <c:v>SLIDER</c:v>
                </c:pt>
                <c:pt idx="14">
                  <c:v>SLIDER</c:v>
                </c:pt>
                <c:pt idx="15">
                  <c:v>BASE</c:v>
                </c:pt>
                <c:pt idx="16">
                  <c:v>ACTUATOR</c:v>
                </c:pt>
                <c:pt idx="17">
                  <c:v>BASE</c:v>
                </c:pt>
                <c:pt idx="21">
                  <c:v>LEAD GUIDER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'09'!$J$6:$J$30</c:f>
              <c:numCache>
                <c:formatCode>_(* #,##0_);_(* \(#,##0\);_(* "-"_);_(@_)</c:formatCode>
                <c:ptCount val="25"/>
                <c:pt idx="0">
                  <c:v>4993</c:v>
                </c:pt>
                <c:pt idx="1">
                  <c:v>11138</c:v>
                </c:pt>
                <c:pt idx="2">
                  <c:v>3046</c:v>
                </c:pt>
                <c:pt idx="3">
                  <c:v>6432</c:v>
                </c:pt>
                <c:pt idx="4">
                  <c:v>309</c:v>
                </c:pt>
                <c:pt idx="5">
                  <c:v>10342</c:v>
                </c:pt>
                <c:pt idx="6">
                  <c:v>7651</c:v>
                </c:pt>
                <c:pt idx="7">
                  <c:v>1733</c:v>
                </c:pt>
                <c:pt idx="8">
                  <c:v>2074</c:v>
                </c:pt>
                <c:pt idx="9">
                  <c:v>391</c:v>
                </c:pt>
                <c:pt idx="10">
                  <c:v>34276</c:v>
                </c:pt>
                <c:pt idx="11">
                  <c:v>2144</c:v>
                </c:pt>
                <c:pt idx="12">
                  <c:v>1183</c:v>
                </c:pt>
                <c:pt idx="13">
                  <c:v>6333</c:v>
                </c:pt>
                <c:pt idx="14">
                  <c:v>1435</c:v>
                </c:pt>
                <c:pt idx="15">
                  <c:v>12156</c:v>
                </c:pt>
                <c:pt idx="16">
                  <c:v>21000</c:v>
                </c:pt>
                <c:pt idx="17">
                  <c:v>8600</c:v>
                </c:pt>
                <c:pt idx="18">
                  <c:v>64136</c:v>
                </c:pt>
                <c:pt idx="19">
                  <c:v>310470</c:v>
                </c:pt>
                <c:pt idx="20">
                  <c:v>0</c:v>
                </c:pt>
                <c:pt idx="21">
                  <c:v>31996</c:v>
                </c:pt>
                <c:pt idx="22">
                  <c:v>28802</c:v>
                </c:pt>
                <c:pt idx="23">
                  <c:v>26944</c:v>
                </c:pt>
                <c:pt idx="24">
                  <c:v>28388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5C-4498-B49C-EB146D1A4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'09'!$AD$6:$AD$30</c:f>
              <c:strCache>
                <c:ptCount val="25"/>
                <c:pt idx="0">
                  <c:v>92%</c:v>
                </c:pt>
                <c:pt idx="1">
                  <c:v>100%</c:v>
                </c:pt>
                <c:pt idx="2">
                  <c:v>79%</c:v>
                </c:pt>
                <c:pt idx="3">
                  <c:v>96%</c:v>
                </c:pt>
                <c:pt idx="4">
                  <c:v>13%</c:v>
                </c:pt>
                <c:pt idx="5">
                  <c:v>100%</c:v>
                </c:pt>
                <c:pt idx="6">
                  <c:v>96%</c:v>
                </c:pt>
                <c:pt idx="7">
                  <c:v>33%</c:v>
                </c:pt>
                <c:pt idx="8">
                  <c:v>54%</c:v>
                </c:pt>
                <c:pt idx="9">
                  <c:v>0%</c:v>
                </c:pt>
                <c:pt idx="10">
                  <c:v>96%</c:v>
                </c:pt>
                <c:pt idx="11">
                  <c:v>41%</c:v>
                </c:pt>
                <c:pt idx="12">
                  <c:v>29%</c:v>
                </c:pt>
                <c:pt idx="13">
                  <c:v>38%</c:v>
                </c:pt>
                <c:pt idx="14">
                  <c:v>33%</c:v>
                </c:pt>
                <c:pt idx="15">
                  <c:v>100%</c:v>
                </c:pt>
                <c:pt idx="16">
                  <c:v>100%</c:v>
                </c:pt>
                <c:pt idx="17">
                  <c:v>88%</c:v>
                </c:pt>
                <c:pt idx="18">
                  <c:v>100%</c:v>
                </c:pt>
                <c:pt idx="19">
                  <c:v>63%</c:v>
                </c:pt>
                <c:pt idx="20">
                  <c:v>0%</c:v>
                </c:pt>
                <c:pt idx="21">
                  <c:v>0%</c:v>
                </c:pt>
                <c:pt idx="22">
                  <c:v>0%</c:v>
                </c:pt>
                <c:pt idx="23">
                  <c:v>0%</c:v>
                </c:pt>
                <c:pt idx="24">
                  <c:v>58%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'09'!$D$6:$D$30</c:f>
              <c:strCache>
                <c:ptCount val="24"/>
                <c:pt idx="0">
                  <c:v>ADAPTER</c:v>
                </c:pt>
                <c:pt idx="1">
                  <c:v>ADAPTER</c:v>
                </c:pt>
                <c:pt idx="3">
                  <c:v>STOPPER</c:v>
                </c:pt>
                <c:pt idx="4">
                  <c:v>COVER</c:v>
                </c:pt>
                <c:pt idx="5">
                  <c:v>LATCH PLATE</c:v>
                </c:pt>
                <c:pt idx="6">
                  <c:v>BASE</c:v>
                </c:pt>
                <c:pt idx="7">
                  <c:v>TOP</c:v>
                </c:pt>
                <c:pt idx="8">
                  <c:v>BOTTOM</c:v>
                </c:pt>
                <c:pt idx="9">
                  <c:v>BASE</c:v>
                </c:pt>
                <c:pt idx="10">
                  <c:v>RIVET</c:v>
                </c:pt>
                <c:pt idx="11">
                  <c:v>COVER</c:v>
                </c:pt>
                <c:pt idx="12">
                  <c:v>TOP</c:v>
                </c:pt>
                <c:pt idx="13">
                  <c:v>SLIDER</c:v>
                </c:pt>
                <c:pt idx="14">
                  <c:v>SLIDER</c:v>
                </c:pt>
                <c:pt idx="15">
                  <c:v>BASE</c:v>
                </c:pt>
                <c:pt idx="16">
                  <c:v>ACTUATOR</c:v>
                </c:pt>
                <c:pt idx="17">
                  <c:v>BASE</c:v>
                </c:pt>
                <c:pt idx="21">
                  <c:v>LEAD GUIDER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'09'!$AD$6:$AD$30</c:f>
              <c:numCache>
                <c:formatCode>0%</c:formatCode>
                <c:ptCount val="25"/>
                <c:pt idx="0">
                  <c:v>0.91666666666666663</c:v>
                </c:pt>
                <c:pt idx="1">
                  <c:v>1</c:v>
                </c:pt>
                <c:pt idx="2">
                  <c:v>0.79166666666666663</c:v>
                </c:pt>
                <c:pt idx="3">
                  <c:v>0.95833333333333337</c:v>
                </c:pt>
                <c:pt idx="4">
                  <c:v>0.125</c:v>
                </c:pt>
                <c:pt idx="5">
                  <c:v>1</c:v>
                </c:pt>
                <c:pt idx="6">
                  <c:v>0.95833333333333337</c:v>
                </c:pt>
                <c:pt idx="7">
                  <c:v>0.33333333333333331</c:v>
                </c:pt>
                <c:pt idx="8">
                  <c:v>0.54166666666666663</c:v>
                </c:pt>
                <c:pt idx="9">
                  <c:v>0</c:v>
                </c:pt>
                <c:pt idx="10">
                  <c:v>0.95833333333333337</c:v>
                </c:pt>
                <c:pt idx="11">
                  <c:v>0.41083644278606968</c:v>
                </c:pt>
                <c:pt idx="12">
                  <c:v>0.29166666666666669</c:v>
                </c:pt>
                <c:pt idx="13">
                  <c:v>0.375</c:v>
                </c:pt>
                <c:pt idx="14">
                  <c:v>0.33333333333333331</c:v>
                </c:pt>
                <c:pt idx="15">
                  <c:v>1</c:v>
                </c:pt>
                <c:pt idx="16">
                  <c:v>1</c:v>
                </c:pt>
                <c:pt idx="17">
                  <c:v>0.875</c:v>
                </c:pt>
                <c:pt idx="18">
                  <c:v>1</c:v>
                </c:pt>
                <c:pt idx="19">
                  <c:v>0.625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5-4F03-BC1B-08CC71896570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45-4F03-BC1B-08CC7189657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'09'!$D$6:$D$30</c:f>
              <c:strCache>
                <c:ptCount val="24"/>
                <c:pt idx="0">
                  <c:v>ADAPTER</c:v>
                </c:pt>
                <c:pt idx="1">
                  <c:v>ADAPTER</c:v>
                </c:pt>
                <c:pt idx="3">
                  <c:v>STOPPER</c:v>
                </c:pt>
                <c:pt idx="4">
                  <c:v>COVER</c:v>
                </c:pt>
                <c:pt idx="5">
                  <c:v>LATCH PLATE</c:v>
                </c:pt>
                <c:pt idx="6">
                  <c:v>BASE</c:v>
                </c:pt>
                <c:pt idx="7">
                  <c:v>TOP</c:v>
                </c:pt>
                <c:pt idx="8">
                  <c:v>BOTTOM</c:v>
                </c:pt>
                <c:pt idx="9">
                  <c:v>BASE</c:v>
                </c:pt>
                <c:pt idx="10">
                  <c:v>RIVET</c:v>
                </c:pt>
                <c:pt idx="11">
                  <c:v>COVER</c:v>
                </c:pt>
                <c:pt idx="12">
                  <c:v>TOP</c:v>
                </c:pt>
                <c:pt idx="13">
                  <c:v>SLIDER</c:v>
                </c:pt>
                <c:pt idx="14">
                  <c:v>SLIDER</c:v>
                </c:pt>
                <c:pt idx="15">
                  <c:v>BASE</c:v>
                </c:pt>
                <c:pt idx="16">
                  <c:v>ACTUATOR</c:v>
                </c:pt>
                <c:pt idx="17">
                  <c:v>BASE</c:v>
                </c:pt>
                <c:pt idx="21">
                  <c:v>LEAD GUIDER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'09'!$AE$6:$AE$30</c:f>
              <c:numCache>
                <c:formatCode>0%</c:formatCode>
                <c:ptCount val="25"/>
                <c:pt idx="0">
                  <c:v>0.56310012437810952</c:v>
                </c:pt>
                <c:pt idx="1">
                  <c:v>0.56310012437810952</c:v>
                </c:pt>
                <c:pt idx="2">
                  <c:v>0.56310012437810952</c:v>
                </c:pt>
                <c:pt idx="3">
                  <c:v>0.56310012437810952</c:v>
                </c:pt>
                <c:pt idx="4">
                  <c:v>0.56310012437810952</c:v>
                </c:pt>
                <c:pt idx="5">
                  <c:v>0.56310012437810952</c:v>
                </c:pt>
                <c:pt idx="6">
                  <c:v>0.56310012437810952</c:v>
                </c:pt>
                <c:pt idx="7">
                  <c:v>0.56310012437810952</c:v>
                </c:pt>
                <c:pt idx="8">
                  <c:v>0.56310012437810952</c:v>
                </c:pt>
                <c:pt idx="9">
                  <c:v>0.56310012437810952</c:v>
                </c:pt>
                <c:pt idx="10">
                  <c:v>0.56310012437810952</c:v>
                </c:pt>
                <c:pt idx="11">
                  <c:v>0.56310012437810952</c:v>
                </c:pt>
                <c:pt idx="12">
                  <c:v>0.56310012437810952</c:v>
                </c:pt>
                <c:pt idx="13">
                  <c:v>0.56310012437810952</c:v>
                </c:pt>
                <c:pt idx="14">
                  <c:v>0.56310012437810952</c:v>
                </c:pt>
                <c:pt idx="15">
                  <c:v>0.56310012437810952</c:v>
                </c:pt>
                <c:pt idx="16">
                  <c:v>0.56310012437810952</c:v>
                </c:pt>
                <c:pt idx="17">
                  <c:v>0.56310012437810952</c:v>
                </c:pt>
                <c:pt idx="18">
                  <c:v>0.56310012437810952</c:v>
                </c:pt>
                <c:pt idx="19">
                  <c:v>0.56310012437810952</c:v>
                </c:pt>
                <c:pt idx="20">
                  <c:v>0.56310012437810952</c:v>
                </c:pt>
                <c:pt idx="21">
                  <c:v>0.56310012437810952</c:v>
                </c:pt>
                <c:pt idx="22">
                  <c:v>0.56310012437810952</c:v>
                </c:pt>
                <c:pt idx="23">
                  <c:v>0.56310012437810952</c:v>
                </c:pt>
                <c:pt idx="24">
                  <c:v>0.56310012437810952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45-4F03-BC1B-08CC71896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'09'!$D$6:$D$30</c:f>
              <c:strCache>
                <c:ptCount val="24"/>
                <c:pt idx="0">
                  <c:v>ADAPTER</c:v>
                </c:pt>
                <c:pt idx="1">
                  <c:v>ADAPTER</c:v>
                </c:pt>
                <c:pt idx="3">
                  <c:v>STOPPER</c:v>
                </c:pt>
                <c:pt idx="4">
                  <c:v>COVER</c:v>
                </c:pt>
                <c:pt idx="5">
                  <c:v>LATCH PLATE</c:v>
                </c:pt>
                <c:pt idx="6">
                  <c:v>BASE</c:v>
                </c:pt>
                <c:pt idx="7">
                  <c:v>TOP</c:v>
                </c:pt>
                <c:pt idx="8">
                  <c:v>BOTTOM</c:v>
                </c:pt>
                <c:pt idx="9">
                  <c:v>BASE</c:v>
                </c:pt>
                <c:pt idx="10">
                  <c:v>RIVET</c:v>
                </c:pt>
                <c:pt idx="11">
                  <c:v>COVER</c:v>
                </c:pt>
                <c:pt idx="12">
                  <c:v>TOP</c:v>
                </c:pt>
                <c:pt idx="13">
                  <c:v>SLIDER</c:v>
                </c:pt>
                <c:pt idx="14">
                  <c:v>SLIDER</c:v>
                </c:pt>
                <c:pt idx="15">
                  <c:v>BASE</c:v>
                </c:pt>
                <c:pt idx="16">
                  <c:v>ACTUATOR</c:v>
                </c:pt>
                <c:pt idx="17">
                  <c:v>BASE</c:v>
                </c:pt>
                <c:pt idx="21">
                  <c:v>LEAD GUIDER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'09'!$L$6:$L$30</c:f>
              <c:numCache>
                <c:formatCode>_(* #,##0_);_(* \(#,##0\);_(* "-"_);_(@_)</c:formatCode>
                <c:ptCount val="25"/>
                <c:pt idx="0">
                  <c:v>4993</c:v>
                </c:pt>
                <c:pt idx="1">
                  <c:v>11138</c:v>
                </c:pt>
                <c:pt idx="2">
                  <c:v>3046</c:v>
                </c:pt>
                <c:pt idx="3">
                  <c:v>6432</c:v>
                </c:pt>
                <c:pt idx="4">
                  <c:v>309</c:v>
                </c:pt>
                <c:pt idx="5">
                  <c:v>10342</c:v>
                </c:pt>
                <c:pt idx="6">
                  <c:v>7651</c:v>
                </c:pt>
                <c:pt idx="7">
                  <c:v>1733</c:v>
                </c:pt>
                <c:pt idx="8">
                  <c:v>2074</c:v>
                </c:pt>
                <c:pt idx="10">
                  <c:v>34276</c:v>
                </c:pt>
                <c:pt idx="11">
                  <c:v>2114</c:v>
                </c:pt>
                <c:pt idx="12">
                  <c:v>1183</c:v>
                </c:pt>
                <c:pt idx="13">
                  <c:v>6333</c:v>
                </c:pt>
                <c:pt idx="14">
                  <c:v>1435</c:v>
                </c:pt>
                <c:pt idx="15">
                  <c:v>12156</c:v>
                </c:pt>
                <c:pt idx="16">
                  <c:v>21000</c:v>
                </c:pt>
                <c:pt idx="17">
                  <c:v>8600</c:v>
                </c:pt>
                <c:pt idx="18">
                  <c:v>64136</c:v>
                </c:pt>
                <c:pt idx="19">
                  <c:v>310470</c:v>
                </c:pt>
                <c:pt idx="24">
                  <c:v>28388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4-4048-8AFB-0DB1E7C28DAF}"/>
            </c:ext>
          </c:extLst>
        </c:ser>
        <c:ser>
          <c:idx val="1"/>
          <c:order val="1"/>
          <c:tx>
            <c:v>계획</c:v>
          </c:tx>
          <c:cat>
            <c:strRef>
              <c:f>'09'!$D$6:$D$30</c:f>
              <c:strCache>
                <c:ptCount val="24"/>
                <c:pt idx="0">
                  <c:v>ADAPTER</c:v>
                </c:pt>
                <c:pt idx="1">
                  <c:v>ADAPTER</c:v>
                </c:pt>
                <c:pt idx="3">
                  <c:v>STOPPER</c:v>
                </c:pt>
                <c:pt idx="4">
                  <c:v>COVER</c:v>
                </c:pt>
                <c:pt idx="5">
                  <c:v>LATCH PLATE</c:v>
                </c:pt>
                <c:pt idx="6">
                  <c:v>BASE</c:v>
                </c:pt>
                <c:pt idx="7">
                  <c:v>TOP</c:v>
                </c:pt>
                <c:pt idx="8">
                  <c:v>BOTTOM</c:v>
                </c:pt>
                <c:pt idx="9">
                  <c:v>BASE</c:v>
                </c:pt>
                <c:pt idx="10">
                  <c:v>RIVET</c:v>
                </c:pt>
                <c:pt idx="11">
                  <c:v>COVER</c:v>
                </c:pt>
                <c:pt idx="12">
                  <c:v>TOP</c:v>
                </c:pt>
                <c:pt idx="13">
                  <c:v>SLIDER</c:v>
                </c:pt>
                <c:pt idx="14">
                  <c:v>SLIDER</c:v>
                </c:pt>
                <c:pt idx="15">
                  <c:v>BASE</c:v>
                </c:pt>
                <c:pt idx="16">
                  <c:v>ACTUATOR</c:v>
                </c:pt>
                <c:pt idx="17">
                  <c:v>BASE</c:v>
                </c:pt>
                <c:pt idx="21">
                  <c:v>LEAD GUIDER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'09'!$J$6:$J$30</c:f>
              <c:numCache>
                <c:formatCode>_(* #,##0_);_(* \(#,##0\);_(* "-"_);_(@_)</c:formatCode>
                <c:ptCount val="25"/>
                <c:pt idx="0">
                  <c:v>4993</c:v>
                </c:pt>
                <c:pt idx="1">
                  <c:v>11138</c:v>
                </c:pt>
                <c:pt idx="2">
                  <c:v>3046</c:v>
                </c:pt>
                <c:pt idx="3">
                  <c:v>6432</c:v>
                </c:pt>
                <c:pt idx="4">
                  <c:v>309</c:v>
                </c:pt>
                <c:pt idx="5">
                  <c:v>10342</c:v>
                </c:pt>
                <c:pt idx="6">
                  <c:v>7651</c:v>
                </c:pt>
                <c:pt idx="7">
                  <c:v>1733</c:v>
                </c:pt>
                <c:pt idx="8">
                  <c:v>2074</c:v>
                </c:pt>
                <c:pt idx="9">
                  <c:v>391</c:v>
                </c:pt>
                <c:pt idx="10">
                  <c:v>34276</c:v>
                </c:pt>
                <c:pt idx="11">
                  <c:v>2144</c:v>
                </c:pt>
                <c:pt idx="12">
                  <c:v>1183</c:v>
                </c:pt>
                <c:pt idx="13">
                  <c:v>6333</c:v>
                </c:pt>
                <c:pt idx="14">
                  <c:v>1435</c:v>
                </c:pt>
                <c:pt idx="15">
                  <c:v>12156</c:v>
                </c:pt>
                <c:pt idx="16">
                  <c:v>21000</c:v>
                </c:pt>
                <c:pt idx="17">
                  <c:v>8600</c:v>
                </c:pt>
                <c:pt idx="18">
                  <c:v>64136</c:v>
                </c:pt>
                <c:pt idx="19">
                  <c:v>310470</c:v>
                </c:pt>
                <c:pt idx="20">
                  <c:v>0</c:v>
                </c:pt>
                <c:pt idx="21">
                  <c:v>31996</c:v>
                </c:pt>
                <c:pt idx="22">
                  <c:v>28802</c:v>
                </c:pt>
                <c:pt idx="23">
                  <c:v>26944</c:v>
                </c:pt>
                <c:pt idx="24">
                  <c:v>28388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44-4048-8AFB-0DB1E7C28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'09'!$AD$6:$AD$30</c:f>
              <c:strCache>
                <c:ptCount val="25"/>
                <c:pt idx="0">
                  <c:v>92%</c:v>
                </c:pt>
                <c:pt idx="1">
                  <c:v>100%</c:v>
                </c:pt>
                <c:pt idx="2">
                  <c:v>79%</c:v>
                </c:pt>
                <c:pt idx="3">
                  <c:v>96%</c:v>
                </c:pt>
                <c:pt idx="4">
                  <c:v>13%</c:v>
                </c:pt>
                <c:pt idx="5">
                  <c:v>100%</c:v>
                </c:pt>
                <c:pt idx="6">
                  <c:v>96%</c:v>
                </c:pt>
                <c:pt idx="7">
                  <c:v>33%</c:v>
                </c:pt>
                <c:pt idx="8">
                  <c:v>54%</c:v>
                </c:pt>
                <c:pt idx="9">
                  <c:v>0%</c:v>
                </c:pt>
                <c:pt idx="10">
                  <c:v>96%</c:v>
                </c:pt>
                <c:pt idx="11">
                  <c:v>41%</c:v>
                </c:pt>
                <c:pt idx="12">
                  <c:v>29%</c:v>
                </c:pt>
                <c:pt idx="13">
                  <c:v>38%</c:v>
                </c:pt>
                <c:pt idx="14">
                  <c:v>33%</c:v>
                </c:pt>
                <c:pt idx="15">
                  <c:v>100%</c:v>
                </c:pt>
                <c:pt idx="16">
                  <c:v>100%</c:v>
                </c:pt>
                <c:pt idx="17">
                  <c:v>88%</c:v>
                </c:pt>
                <c:pt idx="18">
                  <c:v>100%</c:v>
                </c:pt>
                <c:pt idx="19">
                  <c:v>63%</c:v>
                </c:pt>
                <c:pt idx="20">
                  <c:v>0%</c:v>
                </c:pt>
                <c:pt idx="21">
                  <c:v>0%</c:v>
                </c:pt>
                <c:pt idx="22">
                  <c:v>0%</c:v>
                </c:pt>
                <c:pt idx="23">
                  <c:v>0%</c:v>
                </c:pt>
                <c:pt idx="24">
                  <c:v>58%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'09'!$D$6:$D$30</c:f>
              <c:strCache>
                <c:ptCount val="24"/>
                <c:pt idx="0">
                  <c:v>ADAPTER</c:v>
                </c:pt>
                <c:pt idx="1">
                  <c:v>ADAPTER</c:v>
                </c:pt>
                <c:pt idx="3">
                  <c:v>STOPPER</c:v>
                </c:pt>
                <c:pt idx="4">
                  <c:v>COVER</c:v>
                </c:pt>
                <c:pt idx="5">
                  <c:v>LATCH PLATE</c:v>
                </c:pt>
                <c:pt idx="6">
                  <c:v>BASE</c:v>
                </c:pt>
                <c:pt idx="7">
                  <c:v>TOP</c:v>
                </c:pt>
                <c:pt idx="8">
                  <c:v>BOTTOM</c:v>
                </c:pt>
                <c:pt idx="9">
                  <c:v>BASE</c:v>
                </c:pt>
                <c:pt idx="10">
                  <c:v>RIVET</c:v>
                </c:pt>
                <c:pt idx="11">
                  <c:v>COVER</c:v>
                </c:pt>
                <c:pt idx="12">
                  <c:v>TOP</c:v>
                </c:pt>
                <c:pt idx="13">
                  <c:v>SLIDER</c:v>
                </c:pt>
                <c:pt idx="14">
                  <c:v>SLIDER</c:v>
                </c:pt>
                <c:pt idx="15">
                  <c:v>BASE</c:v>
                </c:pt>
                <c:pt idx="16">
                  <c:v>ACTUATOR</c:v>
                </c:pt>
                <c:pt idx="17">
                  <c:v>BASE</c:v>
                </c:pt>
                <c:pt idx="21">
                  <c:v>LEAD GUIDER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'09'!$AD$6:$AD$30</c:f>
              <c:numCache>
                <c:formatCode>0%</c:formatCode>
                <c:ptCount val="25"/>
                <c:pt idx="0">
                  <c:v>0.91666666666666663</c:v>
                </c:pt>
                <c:pt idx="1">
                  <c:v>1</c:v>
                </c:pt>
                <c:pt idx="2">
                  <c:v>0.79166666666666663</c:v>
                </c:pt>
                <c:pt idx="3">
                  <c:v>0.95833333333333337</c:v>
                </c:pt>
                <c:pt idx="4">
                  <c:v>0.125</c:v>
                </c:pt>
                <c:pt idx="5">
                  <c:v>1</c:v>
                </c:pt>
                <c:pt idx="6">
                  <c:v>0.95833333333333337</c:v>
                </c:pt>
                <c:pt idx="7">
                  <c:v>0.33333333333333331</c:v>
                </c:pt>
                <c:pt idx="8">
                  <c:v>0.54166666666666663</c:v>
                </c:pt>
                <c:pt idx="9">
                  <c:v>0</c:v>
                </c:pt>
                <c:pt idx="10">
                  <c:v>0.95833333333333337</c:v>
                </c:pt>
                <c:pt idx="11">
                  <c:v>0.41083644278606968</c:v>
                </c:pt>
                <c:pt idx="12">
                  <c:v>0.29166666666666669</c:v>
                </c:pt>
                <c:pt idx="13">
                  <c:v>0.375</c:v>
                </c:pt>
                <c:pt idx="14">
                  <c:v>0.33333333333333331</c:v>
                </c:pt>
                <c:pt idx="15">
                  <c:v>1</c:v>
                </c:pt>
                <c:pt idx="16">
                  <c:v>1</c:v>
                </c:pt>
                <c:pt idx="17">
                  <c:v>0.875</c:v>
                </c:pt>
                <c:pt idx="18">
                  <c:v>1</c:v>
                </c:pt>
                <c:pt idx="19">
                  <c:v>0.625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A-4F72-B391-C654F0CC9FB2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5A-4F72-B391-C654F0CC9FB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'09'!$D$6:$D$30</c:f>
              <c:strCache>
                <c:ptCount val="24"/>
                <c:pt idx="0">
                  <c:v>ADAPTER</c:v>
                </c:pt>
                <c:pt idx="1">
                  <c:v>ADAPTER</c:v>
                </c:pt>
                <c:pt idx="3">
                  <c:v>STOPPER</c:v>
                </c:pt>
                <c:pt idx="4">
                  <c:v>COVER</c:v>
                </c:pt>
                <c:pt idx="5">
                  <c:v>LATCH PLATE</c:v>
                </c:pt>
                <c:pt idx="6">
                  <c:v>BASE</c:v>
                </c:pt>
                <c:pt idx="7">
                  <c:v>TOP</c:v>
                </c:pt>
                <c:pt idx="8">
                  <c:v>BOTTOM</c:v>
                </c:pt>
                <c:pt idx="9">
                  <c:v>BASE</c:v>
                </c:pt>
                <c:pt idx="10">
                  <c:v>RIVET</c:v>
                </c:pt>
                <c:pt idx="11">
                  <c:v>COVER</c:v>
                </c:pt>
                <c:pt idx="12">
                  <c:v>TOP</c:v>
                </c:pt>
                <c:pt idx="13">
                  <c:v>SLIDER</c:v>
                </c:pt>
                <c:pt idx="14">
                  <c:v>SLIDER</c:v>
                </c:pt>
                <c:pt idx="15">
                  <c:v>BASE</c:v>
                </c:pt>
                <c:pt idx="16">
                  <c:v>ACTUATOR</c:v>
                </c:pt>
                <c:pt idx="17">
                  <c:v>BASE</c:v>
                </c:pt>
                <c:pt idx="21">
                  <c:v>LEAD GUIDER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'09'!$AE$6:$AE$30</c:f>
              <c:numCache>
                <c:formatCode>0%</c:formatCode>
                <c:ptCount val="25"/>
                <c:pt idx="0">
                  <c:v>0.56310012437810952</c:v>
                </c:pt>
                <c:pt idx="1">
                  <c:v>0.56310012437810952</c:v>
                </c:pt>
                <c:pt idx="2">
                  <c:v>0.56310012437810952</c:v>
                </c:pt>
                <c:pt idx="3">
                  <c:v>0.56310012437810952</c:v>
                </c:pt>
                <c:pt idx="4">
                  <c:v>0.56310012437810952</c:v>
                </c:pt>
                <c:pt idx="5">
                  <c:v>0.56310012437810952</c:v>
                </c:pt>
                <c:pt idx="6">
                  <c:v>0.56310012437810952</c:v>
                </c:pt>
                <c:pt idx="7">
                  <c:v>0.56310012437810952</c:v>
                </c:pt>
                <c:pt idx="8">
                  <c:v>0.56310012437810952</c:v>
                </c:pt>
                <c:pt idx="9">
                  <c:v>0.56310012437810952</c:v>
                </c:pt>
                <c:pt idx="10">
                  <c:v>0.56310012437810952</c:v>
                </c:pt>
                <c:pt idx="11">
                  <c:v>0.56310012437810952</c:v>
                </c:pt>
                <c:pt idx="12">
                  <c:v>0.56310012437810952</c:v>
                </c:pt>
                <c:pt idx="13">
                  <c:v>0.56310012437810952</c:v>
                </c:pt>
                <c:pt idx="14">
                  <c:v>0.56310012437810952</c:v>
                </c:pt>
                <c:pt idx="15">
                  <c:v>0.56310012437810952</c:v>
                </c:pt>
                <c:pt idx="16">
                  <c:v>0.56310012437810952</c:v>
                </c:pt>
                <c:pt idx="17">
                  <c:v>0.56310012437810952</c:v>
                </c:pt>
                <c:pt idx="18">
                  <c:v>0.56310012437810952</c:v>
                </c:pt>
                <c:pt idx="19">
                  <c:v>0.56310012437810952</c:v>
                </c:pt>
                <c:pt idx="20">
                  <c:v>0.56310012437810952</c:v>
                </c:pt>
                <c:pt idx="21">
                  <c:v>0.56310012437810952</c:v>
                </c:pt>
                <c:pt idx="22">
                  <c:v>0.56310012437810952</c:v>
                </c:pt>
                <c:pt idx="23">
                  <c:v>0.56310012437810952</c:v>
                </c:pt>
                <c:pt idx="24">
                  <c:v>0.56310012437810952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5A-4F72-B391-C654F0CC9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'01'!$AD$6:$AD$31</c:f>
              <c:strCache>
                <c:ptCount val="26"/>
                <c:pt idx="0">
                  <c:v>0%</c:v>
                </c:pt>
                <c:pt idx="1">
                  <c:v>100%</c:v>
                </c:pt>
                <c:pt idx="2">
                  <c:v>100%</c:v>
                </c:pt>
                <c:pt idx="3">
                  <c:v>79%</c:v>
                </c:pt>
                <c:pt idx="4">
                  <c:v>92%</c:v>
                </c:pt>
                <c:pt idx="5">
                  <c:v>33%</c:v>
                </c:pt>
                <c:pt idx="6">
                  <c:v>54%</c:v>
                </c:pt>
                <c:pt idx="7">
                  <c:v>100%</c:v>
                </c:pt>
                <c:pt idx="8">
                  <c:v>25%</c:v>
                </c:pt>
                <c:pt idx="9">
                  <c:v>25%</c:v>
                </c:pt>
                <c:pt idx="10">
                  <c:v>29%</c:v>
                </c:pt>
                <c:pt idx="11">
                  <c:v>0%</c:v>
                </c:pt>
                <c:pt idx="12">
                  <c:v>100%</c:v>
                </c:pt>
                <c:pt idx="13">
                  <c:v>100%</c:v>
                </c:pt>
                <c:pt idx="14">
                  <c:v>21%</c:v>
                </c:pt>
                <c:pt idx="15">
                  <c:v>71%</c:v>
                </c:pt>
                <c:pt idx="16">
                  <c:v>67%</c:v>
                </c:pt>
                <c:pt idx="17">
                  <c:v>100%</c:v>
                </c:pt>
                <c:pt idx="18">
                  <c:v>33%</c:v>
                </c:pt>
                <c:pt idx="19">
                  <c:v>58%</c:v>
                </c:pt>
                <c:pt idx="20">
                  <c:v>71%</c:v>
                </c:pt>
                <c:pt idx="21">
                  <c:v>0%</c:v>
                </c:pt>
                <c:pt idx="22">
                  <c:v>100%</c:v>
                </c:pt>
                <c:pt idx="23">
                  <c:v>100%</c:v>
                </c:pt>
                <c:pt idx="24">
                  <c:v>0%</c:v>
                </c:pt>
                <c:pt idx="25">
                  <c:v>88%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'01'!$D$6:$D$31</c:f>
              <c:strCache>
                <c:ptCount val="26"/>
                <c:pt idx="0">
                  <c:v>ADAPTER</c:v>
                </c:pt>
                <c:pt idx="1">
                  <c:v>ADAPTER</c:v>
                </c:pt>
                <c:pt idx="2">
                  <c:v>SLIDER</c:v>
                </c:pt>
                <c:pt idx="4">
                  <c:v>COVER</c:v>
                </c:pt>
                <c:pt idx="5">
                  <c:v>LATCH</c:v>
                </c:pt>
                <c:pt idx="6">
                  <c:v>ADAPTER</c:v>
                </c:pt>
                <c:pt idx="7">
                  <c:v>BASE</c:v>
                </c:pt>
                <c:pt idx="8">
                  <c:v>TOP</c:v>
                </c:pt>
                <c:pt idx="9">
                  <c:v>TOP</c:v>
                </c:pt>
                <c:pt idx="10">
                  <c:v>BASE</c:v>
                </c:pt>
                <c:pt idx="11">
                  <c:v>ADAPTER</c:v>
                </c:pt>
                <c:pt idx="13">
                  <c:v>COVER</c:v>
                </c:pt>
                <c:pt idx="14">
                  <c:v>BASE</c:v>
                </c:pt>
                <c:pt idx="15">
                  <c:v>BASE</c:v>
                </c:pt>
                <c:pt idx="16">
                  <c:v>BASE</c:v>
                </c:pt>
                <c:pt idx="17">
                  <c:v>BASE</c:v>
                </c:pt>
                <c:pt idx="22">
                  <c:v>LEAD GUIDER</c:v>
                </c:pt>
                <c:pt idx="23">
                  <c:v>SLIDER</c:v>
                </c:pt>
                <c:pt idx="24">
                  <c:v>COVER</c:v>
                </c:pt>
                <c:pt idx="25">
                  <c:v>BASE</c:v>
                </c:pt>
              </c:strCache>
            </c:strRef>
          </c:cat>
          <c:val>
            <c:numRef>
              <c:f>'01'!$AD$6:$AD$31</c:f>
              <c:numCache>
                <c:formatCode>0%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0.79166666666666663</c:v>
                </c:pt>
                <c:pt idx="4">
                  <c:v>0.91666666666666663</c:v>
                </c:pt>
                <c:pt idx="5">
                  <c:v>0.33333333333333331</c:v>
                </c:pt>
                <c:pt idx="6">
                  <c:v>0.54166666666666663</c:v>
                </c:pt>
                <c:pt idx="7">
                  <c:v>1</c:v>
                </c:pt>
                <c:pt idx="8">
                  <c:v>0.25</c:v>
                </c:pt>
                <c:pt idx="9">
                  <c:v>0.25</c:v>
                </c:pt>
                <c:pt idx="10">
                  <c:v>0.29166666666666669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0.20833333333333334</c:v>
                </c:pt>
                <c:pt idx="15">
                  <c:v>0.70833333333333337</c:v>
                </c:pt>
                <c:pt idx="16">
                  <c:v>0.66666666666666663</c:v>
                </c:pt>
                <c:pt idx="17">
                  <c:v>1</c:v>
                </c:pt>
                <c:pt idx="18">
                  <c:v>0.33333333333333331</c:v>
                </c:pt>
                <c:pt idx="19">
                  <c:v>0.58333333333333337</c:v>
                </c:pt>
                <c:pt idx="20">
                  <c:v>0.70833333333333337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1-4CD7-A7C0-6609BE23897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41-4CD7-A7C0-6609BE23897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'01'!$D$6:$D$31</c:f>
              <c:strCache>
                <c:ptCount val="26"/>
                <c:pt idx="0">
                  <c:v>ADAPTER</c:v>
                </c:pt>
                <c:pt idx="1">
                  <c:v>ADAPTER</c:v>
                </c:pt>
                <c:pt idx="2">
                  <c:v>SLIDER</c:v>
                </c:pt>
                <c:pt idx="4">
                  <c:v>COVER</c:v>
                </c:pt>
                <c:pt idx="5">
                  <c:v>LATCH</c:v>
                </c:pt>
                <c:pt idx="6">
                  <c:v>ADAPTER</c:v>
                </c:pt>
                <c:pt idx="7">
                  <c:v>BASE</c:v>
                </c:pt>
                <c:pt idx="8">
                  <c:v>TOP</c:v>
                </c:pt>
                <c:pt idx="9">
                  <c:v>TOP</c:v>
                </c:pt>
                <c:pt idx="10">
                  <c:v>BASE</c:v>
                </c:pt>
                <c:pt idx="11">
                  <c:v>ADAPTER</c:v>
                </c:pt>
                <c:pt idx="13">
                  <c:v>COVER</c:v>
                </c:pt>
                <c:pt idx="14">
                  <c:v>BASE</c:v>
                </c:pt>
                <c:pt idx="15">
                  <c:v>BASE</c:v>
                </c:pt>
                <c:pt idx="16">
                  <c:v>BASE</c:v>
                </c:pt>
                <c:pt idx="17">
                  <c:v>BASE</c:v>
                </c:pt>
                <c:pt idx="22">
                  <c:v>LEAD GUIDER</c:v>
                </c:pt>
                <c:pt idx="23">
                  <c:v>SLIDER</c:v>
                </c:pt>
                <c:pt idx="24">
                  <c:v>COVER</c:v>
                </c:pt>
                <c:pt idx="25">
                  <c:v>BASE</c:v>
                </c:pt>
              </c:strCache>
            </c:strRef>
          </c:cat>
          <c:val>
            <c:numRef>
              <c:f>'01'!$AE$6:$AE$31</c:f>
              <c:numCache>
                <c:formatCode>0%</c:formatCode>
                <c:ptCount val="26"/>
                <c:pt idx="0">
                  <c:v>0.59455128205128216</c:v>
                </c:pt>
                <c:pt idx="1">
                  <c:v>0.59455128205128216</c:v>
                </c:pt>
                <c:pt idx="2">
                  <c:v>0.59455128205128216</c:v>
                </c:pt>
                <c:pt idx="3">
                  <c:v>0.59455128205128216</c:v>
                </c:pt>
                <c:pt idx="4">
                  <c:v>0.59455128205128216</c:v>
                </c:pt>
                <c:pt idx="5">
                  <c:v>0.59455128205128216</c:v>
                </c:pt>
                <c:pt idx="6">
                  <c:v>0.59455128205128216</c:v>
                </c:pt>
                <c:pt idx="7">
                  <c:v>0.59455128205128216</c:v>
                </c:pt>
                <c:pt idx="8">
                  <c:v>0.59455128205128216</c:v>
                </c:pt>
                <c:pt idx="9">
                  <c:v>0.59455128205128216</c:v>
                </c:pt>
                <c:pt idx="10">
                  <c:v>0.59455128205128216</c:v>
                </c:pt>
                <c:pt idx="11">
                  <c:v>0.59455128205128216</c:v>
                </c:pt>
                <c:pt idx="12">
                  <c:v>0.59455128205128216</c:v>
                </c:pt>
                <c:pt idx="13">
                  <c:v>0.59455128205128216</c:v>
                </c:pt>
                <c:pt idx="14">
                  <c:v>0.59455128205128216</c:v>
                </c:pt>
                <c:pt idx="15">
                  <c:v>0.59455128205128216</c:v>
                </c:pt>
                <c:pt idx="16">
                  <c:v>0.59455128205128216</c:v>
                </c:pt>
                <c:pt idx="17">
                  <c:v>0.59455128205128216</c:v>
                </c:pt>
                <c:pt idx="18">
                  <c:v>0.59455128205128216</c:v>
                </c:pt>
                <c:pt idx="19">
                  <c:v>0.59455128205128216</c:v>
                </c:pt>
                <c:pt idx="20">
                  <c:v>0.59455128205128216</c:v>
                </c:pt>
                <c:pt idx="21">
                  <c:v>0.59455128205128216</c:v>
                </c:pt>
                <c:pt idx="22">
                  <c:v>0.59455128205128216</c:v>
                </c:pt>
                <c:pt idx="23">
                  <c:v>0.59455128205128216</c:v>
                </c:pt>
                <c:pt idx="24">
                  <c:v>0.59455128205128216</c:v>
                </c:pt>
                <c:pt idx="25">
                  <c:v>0.59455128205128216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41-4CD7-A7C0-6609BE238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총괄!$A$25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74E4-4173-B930-CAA46111F7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총괄!$B$25:$AG$25</c:f>
              <c:numCache>
                <c:formatCode>0%</c:formatCode>
                <c:ptCount val="32"/>
                <c:pt idx="0">
                  <c:v>0.59455128205128216</c:v>
                </c:pt>
                <c:pt idx="1">
                  <c:v>0.64666666666666672</c:v>
                </c:pt>
                <c:pt idx="2">
                  <c:v>0.53166666666666662</c:v>
                </c:pt>
                <c:pt idx="3">
                  <c:v>0.46376811594202894</c:v>
                </c:pt>
                <c:pt idx="5">
                  <c:v>0.47159090909090912</c:v>
                </c:pt>
                <c:pt idx="6">
                  <c:v>0.40705128205128205</c:v>
                </c:pt>
                <c:pt idx="7">
                  <c:v>0.3737847222222222</c:v>
                </c:pt>
                <c:pt idx="8">
                  <c:v>0.56310012437810952</c:v>
                </c:pt>
                <c:pt idx="9">
                  <c:v>0.55862000713761029</c:v>
                </c:pt>
                <c:pt idx="12">
                  <c:v>0.60416666666666652</c:v>
                </c:pt>
                <c:pt idx="13">
                  <c:v>0.42129629629629628</c:v>
                </c:pt>
                <c:pt idx="14">
                  <c:v>0.50666666666666671</c:v>
                </c:pt>
                <c:pt idx="15">
                  <c:v>0.58333333333333337</c:v>
                </c:pt>
                <c:pt idx="16">
                  <c:v>0.6382575757575758</c:v>
                </c:pt>
                <c:pt idx="22">
                  <c:v>0.58876811594202916</c:v>
                </c:pt>
                <c:pt idx="23">
                  <c:v>0.67424242424242431</c:v>
                </c:pt>
                <c:pt idx="26">
                  <c:v>0.40909090909090901</c:v>
                </c:pt>
                <c:pt idx="27">
                  <c:v>0.47463768115942034</c:v>
                </c:pt>
                <c:pt idx="28">
                  <c:v>0.43840579710144922</c:v>
                </c:pt>
                <c:pt idx="29">
                  <c:v>0.61413043478260865</c:v>
                </c:pt>
                <c:pt idx="31">
                  <c:v>0.35212652257487181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E4-4173-B930-CAA46111F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74E4-4173-B930-CAA46111F7E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총괄!$B$26:$AG$26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E4-4173-B930-CAA46111F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'10'!$D$6:$D$29</c:f>
              <c:strCache>
                <c:ptCount val="23"/>
                <c:pt idx="0">
                  <c:v>ADAPTER</c:v>
                </c:pt>
                <c:pt idx="1">
                  <c:v>INNER</c:v>
                </c:pt>
                <c:pt idx="4">
                  <c:v>STOPPER</c:v>
                </c:pt>
                <c:pt idx="5">
                  <c:v>COVER</c:v>
                </c:pt>
                <c:pt idx="6">
                  <c:v>LEAD GUIDER</c:v>
                </c:pt>
                <c:pt idx="8">
                  <c:v>BASE</c:v>
                </c:pt>
                <c:pt idx="9">
                  <c:v>BOTTOM</c:v>
                </c:pt>
                <c:pt idx="10">
                  <c:v>BASE</c:v>
                </c:pt>
                <c:pt idx="11">
                  <c:v>RIVET</c:v>
                </c:pt>
                <c:pt idx="12">
                  <c:v>BASE</c:v>
                </c:pt>
                <c:pt idx="13">
                  <c:v>SLIDER</c:v>
                </c:pt>
                <c:pt idx="14">
                  <c:v>BASE</c:v>
                </c:pt>
                <c:pt idx="16">
                  <c:v>BASE</c:v>
                </c:pt>
                <c:pt idx="20">
                  <c:v>LEAD GUIDER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'10'!$L$6:$L$29</c:f>
              <c:numCache>
                <c:formatCode>_(* #,##0_);_(* \(#,##0\);_(* "-"_);_(@_)</c:formatCode>
                <c:ptCount val="24"/>
                <c:pt idx="0">
                  <c:v>6081</c:v>
                </c:pt>
                <c:pt idx="1">
                  <c:v>13566</c:v>
                </c:pt>
                <c:pt idx="2">
                  <c:v>1585</c:v>
                </c:pt>
                <c:pt idx="3">
                  <c:v>2580</c:v>
                </c:pt>
                <c:pt idx="4">
                  <c:v>4873</c:v>
                </c:pt>
                <c:pt idx="5">
                  <c:v>2790</c:v>
                </c:pt>
                <c:pt idx="6">
                  <c:v>800</c:v>
                </c:pt>
                <c:pt idx="7">
                  <c:v>6400</c:v>
                </c:pt>
                <c:pt idx="8">
                  <c:v>3030</c:v>
                </c:pt>
                <c:pt idx="9">
                  <c:v>4459</c:v>
                </c:pt>
                <c:pt idx="11">
                  <c:v>40080</c:v>
                </c:pt>
                <c:pt idx="12">
                  <c:v>1828</c:v>
                </c:pt>
                <c:pt idx="13">
                  <c:v>6526</c:v>
                </c:pt>
                <c:pt idx="14">
                  <c:v>11744</c:v>
                </c:pt>
                <c:pt idx="15">
                  <c:v>7480</c:v>
                </c:pt>
                <c:pt idx="16">
                  <c:v>10428</c:v>
                </c:pt>
                <c:pt idx="17">
                  <c:v>60836</c:v>
                </c:pt>
                <c:pt idx="23">
                  <c:v>70816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6-45EF-B20D-D625BB92FF71}"/>
            </c:ext>
          </c:extLst>
        </c:ser>
        <c:ser>
          <c:idx val="1"/>
          <c:order val="1"/>
          <c:tx>
            <c:v>계획</c:v>
          </c:tx>
          <c:cat>
            <c:strRef>
              <c:f>'10'!$D$6:$D$29</c:f>
              <c:strCache>
                <c:ptCount val="23"/>
                <c:pt idx="0">
                  <c:v>ADAPTER</c:v>
                </c:pt>
                <c:pt idx="1">
                  <c:v>INNER</c:v>
                </c:pt>
                <c:pt idx="4">
                  <c:v>STOPPER</c:v>
                </c:pt>
                <c:pt idx="5">
                  <c:v>COVER</c:v>
                </c:pt>
                <c:pt idx="6">
                  <c:v>LEAD GUIDER</c:v>
                </c:pt>
                <c:pt idx="8">
                  <c:v>BASE</c:v>
                </c:pt>
                <c:pt idx="9">
                  <c:v>BOTTOM</c:v>
                </c:pt>
                <c:pt idx="10">
                  <c:v>BASE</c:v>
                </c:pt>
                <c:pt idx="11">
                  <c:v>RIVET</c:v>
                </c:pt>
                <c:pt idx="12">
                  <c:v>BASE</c:v>
                </c:pt>
                <c:pt idx="13">
                  <c:v>SLIDER</c:v>
                </c:pt>
                <c:pt idx="14">
                  <c:v>BASE</c:v>
                </c:pt>
                <c:pt idx="16">
                  <c:v>BASE</c:v>
                </c:pt>
                <c:pt idx="20">
                  <c:v>LEAD GUIDER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'10'!$J$6:$J$29</c:f>
              <c:numCache>
                <c:formatCode>_(* #,##0_);_(* \(#,##0\);_(* "-"_);_(@_)</c:formatCode>
                <c:ptCount val="24"/>
                <c:pt idx="0">
                  <c:v>6081</c:v>
                </c:pt>
                <c:pt idx="1">
                  <c:v>13566</c:v>
                </c:pt>
                <c:pt idx="2">
                  <c:v>1585</c:v>
                </c:pt>
                <c:pt idx="3">
                  <c:v>2580</c:v>
                </c:pt>
                <c:pt idx="4">
                  <c:v>4873</c:v>
                </c:pt>
                <c:pt idx="5">
                  <c:v>2790</c:v>
                </c:pt>
                <c:pt idx="6">
                  <c:v>800</c:v>
                </c:pt>
                <c:pt idx="7">
                  <c:v>6400</c:v>
                </c:pt>
                <c:pt idx="8">
                  <c:v>3030</c:v>
                </c:pt>
                <c:pt idx="9">
                  <c:v>4459</c:v>
                </c:pt>
                <c:pt idx="10">
                  <c:v>391</c:v>
                </c:pt>
                <c:pt idx="11">
                  <c:v>40080</c:v>
                </c:pt>
                <c:pt idx="12">
                  <c:v>1828</c:v>
                </c:pt>
                <c:pt idx="13">
                  <c:v>6526</c:v>
                </c:pt>
                <c:pt idx="14">
                  <c:v>11744</c:v>
                </c:pt>
                <c:pt idx="15">
                  <c:v>7480</c:v>
                </c:pt>
                <c:pt idx="16">
                  <c:v>10428</c:v>
                </c:pt>
                <c:pt idx="17">
                  <c:v>64136</c:v>
                </c:pt>
                <c:pt idx="18">
                  <c:v>310470</c:v>
                </c:pt>
                <c:pt idx="19">
                  <c:v>0</c:v>
                </c:pt>
                <c:pt idx="20">
                  <c:v>31996</c:v>
                </c:pt>
                <c:pt idx="21">
                  <c:v>28802</c:v>
                </c:pt>
                <c:pt idx="22">
                  <c:v>26944</c:v>
                </c:pt>
                <c:pt idx="23">
                  <c:v>70816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6-45EF-B20D-D625BB92F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'10'!$AD$6:$AD$29</c:f>
              <c:strCache>
                <c:ptCount val="24"/>
                <c:pt idx="0">
                  <c:v>100%</c:v>
                </c:pt>
                <c:pt idx="1">
                  <c:v>75%</c:v>
                </c:pt>
                <c:pt idx="2">
                  <c:v>29%</c:v>
                </c:pt>
                <c:pt idx="3">
                  <c:v>50%</c:v>
                </c:pt>
                <c:pt idx="4">
                  <c:v>88%</c:v>
                </c:pt>
                <c:pt idx="5">
                  <c:v>54%</c:v>
                </c:pt>
                <c:pt idx="6">
                  <c:v>17%</c:v>
                </c:pt>
                <c:pt idx="7">
                  <c:v>75%</c:v>
                </c:pt>
                <c:pt idx="8">
                  <c:v>46%</c:v>
                </c:pt>
                <c:pt idx="9">
                  <c:v>100%</c:v>
                </c:pt>
                <c:pt idx="10">
                  <c:v>0%</c:v>
                </c:pt>
                <c:pt idx="11">
                  <c:v>100%</c:v>
                </c:pt>
                <c:pt idx="12">
                  <c:v>46%</c:v>
                </c:pt>
                <c:pt idx="13">
                  <c:v>75%</c:v>
                </c:pt>
                <c:pt idx="14">
                  <c:v>100%</c:v>
                </c:pt>
                <c:pt idx="15">
                  <c:v>92%</c:v>
                </c:pt>
                <c:pt idx="16">
                  <c:v>100%</c:v>
                </c:pt>
                <c:pt idx="17">
                  <c:v>95%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  <c:pt idx="22">
                  <c:v>0%</c:v>
                </c:pt>
                <c:pt idx="23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'10'!$D$6:$D$29</c:f>
              <c:strCache>
                <c:ptCount val="23"/>
                <c:pt idx="0">
                  <c:v>ADAPTER</c:v>
                </c:pt>
                <c:pt idx="1">
                  <c:v>INNER</c:v>
                </c:pt>
                <c:pt idx="4">
                  <c:v>STOPPER</c:v>
                </c:pt>
                <c:pt idx="5">
                  <c:v>COVER</c:v>
                </c:pt>
                <c:pt idx="6">
                  <c:v>LEAD GUIDER</c:v>
                </c:pt>
                <c:pt idx="8">
                  <c:v>BASE</c:v>
                </c:pt>
                <c:pt idx="9">
                  <c:v>BOTTOM</c:v>
                </c:pt>
                <c:pt idx="10">
                  <c:v>BASE</c:v>
                </c:pt>
                <c:pt idx="11">
                  <c:v>RIVET</c:v>
                </c:pt>
                <c:pt idx="12">
                  <c:v>BASE</c:v>
                </c:pt>
                <c:pt idx="13">
                  <c:v>SLIDER</c:v>
                </c:pt>
                <c:pt idx="14">
                  <c:v>BASE</c:v>
                </c:pt>
                <c:pt idx="16">
                  <c:v>BASE</c:v>
                </c:pt>
                <c:pt idx="20">
                  <c:v>LEAD GUIDER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'10'!$AD$6:$AD$29</c:f>
              <c:numCache>
                <c:formatCode>0%</c:formatCode>
                <c:ptCount val="24"/>
                <c:pt idx="0">
                  <c:v>1</c:v>
                </c:pt>
                <c:pt idx="1">
                  <c:v>0.75</c:v>
                </c:pt>
                <c:pt idx="2">
                  <c:v>0.29166666666666669</c:v>
                </c:pt>
                <c:pt idx="3">
                  <c:v>0.5</c:v>
                </c:pt>
                <c:pt idx="4">
                  <c:v>0.875</c:v>
                </c:pt>
                <c:pt idx="5">
                  <c:v>0.54166666666666663</c:v>
                </c:pt>
                <c:pt idx="6">
                  <c:v>0.16666666666666666</c:v>
                </c:pt>
                <c:pt idx="7">
                  <c:v>0.75</c:v>
                </c:pt>
                <c:pt idx="8">
                  <c:v>0.45833333333333331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0.45833333333333331</c:v>
                </c:pt>
                <c:pt idx="13">
                  <c:v>0.75</c:v>
                </c:pt>
                <c:pt idx="14">
                  <c:v>1</c:v>
                </c:pt>
                <c:pt idx="15">
                  <c:v>0.91666666666666663</c:v>
                </c:pt>
                <c:pt idx="16">
                  <c:v>1</c:v>
                </c:pt>
                <c:pt idx="17">
                  <c:v>0.94854683796931516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C-4652-83A9-27D7AF653B26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91C-4652-83A9-27D7AF653B2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'10'!$D$6:$D$29</c:f>
              <c:strCache>
                <c:ptCount val="23"/>
                <c:pt idx="0">
                  <c:v>ADAPTER</c:v>
                </c:pt>
                <c:pt idx="1">
                  <c:v>INNER</c:v>
                </c:pt>
                <c:pt idx="4">
                  <c:v>STOPPER</c:v>
                </c:pt>
                <c:pt idx="5">
                  <c:v>COVER</c:v>
                </c:pt>
                <c:pt idx="6">
                  <c:v>LEAD GUIDER</c:v>
                </c:pt>
                <c:pt idx="8">
                  <c:v>BASE</c:v>
                </c:pt>
                <c:pt idx="9">
                  <c:v>BOTTOM</c:v>
                </c:pt>
                <c:pt idx="10">
                  <c:v>BASE</c:v>
                </c:pt>
                <c:pt idx="11">
                  <c:v>RIVET</c:v>
                </c:pt>
                <c:pt idx="12">
                  <c:v>BASE</c:v>
                </c:pt>
                <c:pt idx="13">
                  <c:v>SLIDER</c:v>
                </c:pt>
                <c:pt idx="14">
                  <c:v>BASE</c:v>
                </c:pt>
                <c:pt idx="16">
                  <c:v>BASE</c:v>
                </c:pt>
                <c:pt idx="20">
                  <c:v>LEAD GUIDER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'10'!$AE$6:$AE$29</c:f>
              <c:numCache>
                <c:formatCode>0%</c:formatCode>
                <c:ptCount val="24"/>
                <c:pt idx="0">
                  <c:v>0.55862000713761029</c:v>
                </c:pt>
                <c:pt idx="1">
                  <c:v>0.55862000713761029</c:v>
                </c:pt>
                <c:pt idx="2">
                  <c:v>0.55862000713761029</c:v>
                </c:pt>
                <c:pt idx="3">
                  <c:v>0.55862000713761029</c:v>
                </c:pt>
                <c:pt idx="4">
                  <c:v>0.55862000713761029</c:v>
                </c:pt>
                <c:pt idx="5">
                  <c:v>0.55862000713761029</c:v>
                </c:pt>
                <c:pt idx="6">
                  <c:v>0.55862000713761029</c:v>
                </c:pt>
                <c:pt idx="7">
                  <c:v>0.55862000713761029</c:v>
                </c:pt>
                <c:pt idx="8">
                  <c:v>0.55862000713761029</c:v>
                </c:pt>
                <c:pt idx="9">
                  <c:v>0.55862000713761029</c:v>
                </c:pt>
                <c:pt idx="10">
                  <c:v>0.55862000713761029</c:v>
                </c:pt>
                <c:pt idx="11">
                  <c:v>0.55862000713761029</c:v>
                </c:pt>
                <c:pt idx="12">
                  <c:v>0.55862000713761029</c:v>
                </c:pt>
                <c:pt idx="13">
                  <c:v>0.55862000713761029</c:v>
                </c:pt>
                <c:pt idx="14">
                  <c:v>0.55862000713761029</c:v>
                </c:pt>
                <c:pt idx="15">
                  <c:v>0.55862000713761029</c:v>
                </c:pt>
                <c:pt idx="16">
                  <c:v>0.55862000713761029</c:v>
                </c:pt>
                <c:pt idx="17">
                  <c:v>0.55862000713761029</c:v>
                </c:pt>
                <c:pt idx="18">
                  <c:v>0.55862000713761029</c:v>
                </c:pt>
                <c:pt idx="19">
                  <c:v>0.55862000713761029</c:v>
                </c:pt>
                <c:pt idx="20">
                  <c:v>0.55862000713761029</c:v>
                </c:pt>
                <c:pt idx="21">
                  <c:v>0.55862000713761029</c:v>
                </c:pt>
                <c:pt idx="22">
                  <c:v>0.55862000713761029</c:v>
                </c:pt>
                <c:pt idx="23">
                  <c:v>0.55862000713761029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1C-4652-83A9-27D7AF653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'10'!$D$6:$D$29</c:f>
              <c:strCache>
                <c:ptCount val="23"/>
                <c:pt idx="0">
                  <c:v>ADAPTER</c:v>
                </c:pt>
                <c:pt idx="1">
                  <c:v>INNER</c:v>
                </c:pt>
                <c:pt idx="4">
                  <c:v>STOPPER</c:v>
                </c:pt>
                <c:pt idx="5">
                  <c:v>COVER</c:v>
                </c:pt>
                <c:pt idx="6">
                  <c:v>LEAD GUIDER</c:v>
                </c:pt>
                <c:pt idx="8">
                  <c:v>BASE</c:v>
                </c:pt>
                <c:pt idx="9">
                  <c:v>BOTTOM</c:v>
                </c:pt>
                <c:pt idx="10">
                  <c:v>BASE</c:v>
                </c:pt>
                <c:pt idx="11">
                  <c:v>RIVET</c:v>
                </c:pt>
                <c:pt idx="12">
                  <c:v>BASE</c:v>
                </c:pt>
                <c:pt idx="13">
                  <c:v>SLIDER</c:v>
                </c:pt>
                <c:pt idx="14">
                  <c:v>BASE</c:v>
                </c:pt>
                <c:pt idx="16">
                  <c:v>BASE</c:v>
                </c:pt>
                <c:pt idx="20">
                  <c:v>LEAD GUIDER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'10'!$L$6:$L$29</c:f>
              <c:numCache>
                <c:formatCode>_(* #,##0_);_(* \(#,##0\);_(* "-"_);_(@_)</c:formatCode>
                <c:ptCount val="24"/>
                <c:pt idx="0">
                  <c:v>6081</c:v>
                </c:pt>
                <c:pt idx="1">
                  <c:v>13566</c:v>
                </c:pt>
                <c:pt idx="2">
                  <c:v>1585</c:v>
                </c:pt>
                <c:pt idx="3">
                  <c:v>2580</c:v>
                </c:pt>
                <c:pt idx="4">
                  <c:v>4873</c:v>
                </c:pt>
                <c:pt idx="5">
                  <c:v>2790</c:v>
                </c:pt>
                <c:pt idx="6">
                  <c:v>800</c:v>
                </c:pt>
                <c:pt idx="7">
                  <c:v>6400</c:v>
                </c:pt>
                <c:pt idx="8">
                  <c:v>3030</c:v>
                </c:pt>
                <c:pt idx="9">
                  <c:v>4459</c:v>
                </c:pt>
                <c:pt idx="11">
                  <c:v>40080</c:v>
                </c:pt>
                <c:pt idx="12">
                  <c:v>1828</c:v>
                </c:pt>
                <c:pt idx="13">
                  <c:v>6526</c:v>
                </c:pt>
                <c:pt idx="14">
                  <c:v>11744</c:v>
                </c:pt>
                <c:pt idx="15">
                  <c:v>7480</c:v>
                </c:pt>
                <c:pt idx="16">
                  <c:v>10428</c:v>
                </c:pt>
                <c:pt idx="17">
                  <c:v>60836</c:v>
                </c:pt>
                <c:pt idx="23">
                  <c:v>70816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4-46B9-A742-A5D786D0A8AF}"/>
            </c:ext>
          </c:extLst>
        </c:ser>
        <c:ser>
          <c:idx val="1"/>
          <c:order val="1"/>
          <c:tx>
            <c:v>계획</c:v>
          </c:tx>
          <c:cat>
            <c:strRef>
              <c:f>'10'!$D$6:$D$29</c:f>
              <c:strCache>
                <c:ptCount val="23"/>
                <c:pt idx="0">
                  <c:v>ADAPTER</c:v>
                </c:pt>
                <c:pt idx="1">
                  <c:v>INNER</c:v>
                </c:pt>
                <c:pt idx="4">
                  <c:v>STOPPER</c:v>
                </c:pt>
                <c:pt idx="5">
                  <c:v>COVER</c:v>
                </c:pt>
                <c:pt idx="6">
                  <c:v>LEAD GUIDER</c:v>
                </c:pt>
                <c:pt idx="8">
                  <c:v>BASE</c:v>
                </c:pt>
                <c:pt idx="9">
                  <c:v>BOTTOM</c:v>
                </c:pt>
                <c:pt idx="10">
                  <c:v>BASE</c:v>
                </c:pt>
                <c:pt idx="11">
                  <c:v>RIVET</c:v>
                </c:pt>
                <c:pt idx="12">
                  <c:v>BASE</c:v>
                </c:pt>
                <c:pt idx="13">
                  <c:v>SLIDER</c:v>
                </c:pt>
                <c:pt idx="14">
                  <c:v>BASE</c:v>
                </c:pt>
                <c:pt idx="16">
                  <c:v>BASE</c:v>
                </c:pt>
                <c:pt idx="20">
                  <c:v>LEAD GUIDER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'10'!$J$6:$J$29</c:f>
              <c:numCache>
                <c:formatCode>_(* #,##0_);_(* \(#,##0\);_(* "-"_);_(@_)</c:formatCode>
                <c:ptCount val="24"/>
                <c:pt idx="0">
                  <c:v>6081</c:v>
                </c:pt>
                <c:pt idx="1">
                  <c:v>13566</c:v>
                </c:pt>
                <c:pt idx="2">
                  <c:v>1585</c:v>
                </c:pt>
                <c:pt idx="3">
                  <c:v>2580</c:v>
                </c:pt>
                <c:pt idx="4">
                  <c:v>4873</c:v>
                </c:pt>
                <c:pt idx="5">
                  <c:v>2790</c:v>
                </c:pt>
                <c:pt idx="6">
                  <c:v>800</c:v>
                </c:pt>
                <c:pt idx="7">
                  <c:v>6400</c:v>
                </c:pt>
                <c:pt idx="8">
                  <c:v>3030</c:v>
                </c:pt>
                <c:pt idx="9">
                  <c:v>4459</c:v>
                </c:pt>
                <c:pt idx="10">
                  <c:v>391</c:v>
                </c:pt>
                <c:pt idx="11">
                  <c:v>40080</c:v>
                </c:pt>
                <c:pt idx="12">
                  <c:v>1828</c:v>
                </c:pt>
                <c:pt idx="13">
                  <c:v>6526</c:v>
                </c:pt>
                <c:pt idx="14">
                  <c:v>11744</c:v>
                </c:pt>
                <c:pt idx="15">
                  <c:v>7480</c:v>
                </c:pt>
                <c:pt idx="16">
                  <c:v>10428</c:v>
                </c:pt>
                <c:pt idx="17">
                  <c:v>64136</c:v>
                </c:pt>
                <c:pt idx="18">
                  <c:v>310470</c:v>
                </c:pt>
                <c:pt idx="19">
                  <c:v>0</c:v>
                </c:pt>
                <c:pt idx="20">
                  <c:v>31996</c:v>
                </c:pt>
                <c:pt idx="21">
                  <c:v>28802</c:v>
                </c:pt>
                <c:pt idx="22">
                  <c:v>26944</c:v>
                </c:pt>
                <c:pt idx="23">
                  <c:v>70816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4-46B9-A742-A5D786D0A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'10'!$AD$6:$AD$29</c:f>
              <c:strCache>
                <c:ptCount val="24"/>
                <c:pt idx="0">
                  <c:v>100%</c:v>
                </c:pt>
                <c:pt idx="1">
                  <c:v>75%</c:v>
                </c:pt>
                <c:pt idx="2">
                  <c:v>29%</c:v>
                </c:pt>
                <c:pt idx="3">
                  <c:v>50%</c:v>
                </c:pt>
                <c:pt idx="4">
                  <c:v>88%</c:v>
                </c:pt>
                <c:pt idx="5">
                  <c:v>54%</c:v>
                </c:pt>
                <c:pt idx="6">
                  <c:v>17%</c:v>
                </c:pt>
                <c:pt idx="7">
                  <c:v>75%</c:v>
                </c:pt>
                <c:pt idx="8">
                  <c:v>46%</c:v>
                </c:pt>
                <c:pt idx="9">
                  <c:v>100%</c:v>
                </c:pt>
                <c:pt idx="10">
                  <c:v>0%</c:v>
                </c:pt>
                <c:pt idx="11">
                  <c:v>100%</c:v>
                </c:pt>
                <c:pt idx="12">
                  <c:v>46%</c:v>
                </c:pt>
                <c:pt idx="13">
                  <c:v>75%</c:v>
                </c:pt>
                <c:pt idx="14">
                  <c:v>100%</c:v>
                </c:pt>
                <c:pt idx="15">
                  <c:v>92%</c:v>
                </c:pt>
                <c:pt idx="16">
                  <c:v>100%</c:v>
                </c:pt>
                <c:pt idx="17">
                  <c:v>95%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  <c:pt idx="22">
                  <c:v>0%</c:v>
                </c:pt>
                <c:pt idx="23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'10'!$D$6:$D$29</c:f>
              <c:strCache>
                <c:ptCount val="23"/>
                <c:pt idx="0">
                  <c:v>ADAPTER</c:v>
                </c:pt>
                <c:pt idx="1">
                  <c:v>INNER</c:v>
                </c:pt>
                <c:pt idx="4">
                  <c:v>STOPPER</c:v>
                </c:pt>
                <c:pt idx="5">
                  <c:v>COVER</c:v>
                </c:pt>
                <c:pt idx="6">
                  <c:v>LEAD GUIDER</c:v>
                </c:pt>
                <c:pt idx="8">
                  <c:v>BASE</c:v>
                </c:pt>
                <c:pt idx="9">
                  <c:v>BOTTOM</c:v>
                </c:pt>
                <c:pt idx="10">
                  <c:v>BASE</c:v>
                </c:pt>
                <c:pt idx="11">
                  <c:v>RIVET</c:v>
                </c:pt>
                <c:pt idx="12">
                  <c:v>BASE</c:v>
                </c:pt>
                <c:pt idx="13">
                  <c:v>SLIDER</c:v>
                </c:pt>
                <c:pt idx="14">
                  <c:v>BASE</c:v>
                </c:pt>
                <c:pt idx="16">
                  <c:v>BASE</c:v>
                </c:pt>
                <c:pt idx="20">
                  <c:v>LEAD GUIDER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'10'!$AD$6:$AD$29</c:f>
              <c:numCache>
                <c:formatCode>0%</c:formatCode>
                <c:ptCount val="24"/>
                <c:pt idx="0">
                  <c:v>1</c:v>
                </c:pt>
                <c:pt idx="1">
                  <c:v>0.75</c:v>
                </c:pt>
                <c:pt idx="2">
                  <c:v>0.29166666666666669</c:v>
                </c:pt>
                <c:pt idx="3">
                  <c:v>0.5</c:v>
                </c:pt>
                <c:pt idx="4">
                  <c:v>0.875</c:v>
                </c:pt>
                <c:pt idx="5">
                  <c:v>0.54166666666666663</c:v>
                </c:pt>
                <c:pt idx="6">
                  <c:v>0.16666666666666666</c:v>
                </c:pt>
                <c:pt idx="7">
                  <c:v>0.75</c:v>
                </c:pt>
                <c:pt idx="8">
                  <c:v>0.45833333333333331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0.45833333333333331</c:v>
                </c:pt>
                <c:pt idx="13">
                  <c:v>0.75</c:v>
                </c:pt>
                <c:pt idx="14">
                  <c:v>1</c:v>
                </c:pt>
                <c:pt idx="15">
                  <c:v>0.91666666666666663</c:v>
                </c:pt>
                <c:pt idx="16">
                  <c:v>1</c:v>
                </c:pt>
                <c:pt idx="17">
                  <c:v>0.94854683796931516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1-4067-9BDE-20CABE48115B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E1-4067-9BDE-20CABE48115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'10'!$D$6:$D$29</c:f>
              <c:strCache>
                <c:ptCount val="23"/>
                <c:pt idx="0">
                  <c:v>ADAPTER</c:v>
                </c:pt>
                <c:pt idx="1">
                  <c:v>INNER</c:v>
                </c:pt>
                <c:pt idx="4">
                  <c:v>STOPPER</c:v>
                </c:pt>
                <c:pt idx="5">
                  <c:v>COVER</c:v>
                </c:pt>
                <c:pt idx="6">
                  <c:v>LEAD GUIDER</c:v>
                </c:pt>
                <c:pt idx="8">
                  <c:v>BASE</c:v>
                </c:pt>
                <c:pt idx="9">
                  <c:v>BOTTOM</c:v>
                </c:pt>
                <c:pt idx="10">
                  <c:v>BASE</c:v>
                </c:pt>
                <c:pt idx="11">
                  <c:v>RIVET</c:v>
                </c:pt>
                <c:pt idx="12">
                  <c:v>BASE</c:v>
                </c:pt>
                <c:pt idx="13">
                  <c:v>SLIDER</c:v>
                </c:pt>
                <c:pt idx="14">
                  <c:v>BASE</c:v>
                </c:pt>
                <c:pt idx="16">
                  <c:v>BASE</c:v>
                </c:pt>
                <c:pt idx="20">
                  <c:v>LEAD GUIDER</c:v>
                </c:pt>
                <c:pt idx="21">
                  <c:v>SLIDER</c:v>
                </c:pt>
                <c:pt idx="22">
                  <c:v>COVER</c:v>
                </c:pt>
              </c:strCache>
            </c:strRef>
          </c:cat>
          <c:val>
            <c:numRef>
              <c:f>'10'!$AE$6:$AE$29</c:f>
              <c:numCache>
                <c:formatCode>0%</c:formatCode>
                <c:ptCount val="24"/>
                <c:pt idx="0">
                  <c:v>0.55862000713761029</c:v>
                </c:pt>
                <c:pt idx="1">
                  <c:v>0.55862000713761029</c:v>
                </c:pt>
                <c:pt idx="2">
                  <c:v>0.55862000713761029</c:v>
                </c:pt>
                <c:pt idx="3">
                  <c:v>0.55862000713761029</c:v>
                </c:pt>
                <c:pt idx="4">
                  <c:v>0.55862000713761029</c:v>
                </c:pt>
                <c:pt idx="5">
                  <c:v>0.55862000713761029</c:v>
                </c:pt>
                <c:pt idx="6">
                  <c:v>0.55862000713761029</c:v>
                </c:pt>
                <c:pt idx="7">
                  <c:v>0.55862000713761029</c:v>
                </c:pt>
                <c:pt idx="8">
                  <c:v>0.55862000713761029</c:v>
                </c:pt>
                <c:pt idx="9">
                  <c:v>0.55862000713761029</c:v>
                </c:pt>
                <c:pt idx="10">
                  <c:v>0.55862000713761029</c:v>
                </c:pt>
                <c:pt idx="11">
                  <c:v>0.55862000713761029</c:v>
                </c:pt>
                <c:pt idx="12">
                  <c:v>0.55862000713761029</c:v>
                </c:pt>
                <c:pt idx="13">
                  <c:v>0.55862000713761029</c:v>
                </c:pt>
                <c:pt idx="14">
                  <c:v>0.55862000713761029</c:v>
                </c:pt>
                <c:pt idx="15">
                  <c:v>0.55862000713761029</c:v>
                </c:pt>
                <c:pt idx="16">
                  <c:v>0.55862000713761029</c:v>
                </c:pt>
                <c:pt idx="17">
                  <c:v>0.55862000713761029</c:v>
                </c:pt>
                <c:pt idx="18">
                  <c:v>0.55862000713761029</c:v>
                </c:pt>
                <c:pt idx="19">
                  <c:v>0.55862000713761029</c:v>
                </c:pt>
                <c:pt idx="20">
                  <c:v>0.55862000713761029</c:v>
                </c:pt>
                <c:pt idx="21">
                  <c:v>0.55862000713761029</c:v>
                </c:pt>
                <c:pt idx="22">
                  <c:v>0.55862000713761029</c:v>
                </c:pt>
                <c:pt idx="23">
                  <c:v>0.55862000713761029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E1-4067-9BDE-20CABE481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총괄!$A$25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F09E-4FA2-8F52-58CCA75D2A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총괄!$B$25:$AG$25</c:f>
              <c:numCache>
                <c:formatCode>0%</c:formatCode>
                <c:ptCount val="32"/>
                <c:pt idx="0">
                  <c:v>0.59455128205128216</c:v>
                </c:pt>
                <c:pt idx="1">
                  <c:v>0.64666666666666672</c:v>
                </c:pt>
                <c:pt idx="2">
                  <c:v>0.53166666666666662</c:v>
                </c:pt>
                <c:pt idx="3">
                  <c:v>0.46376811594202894</c:v>
                </c:pt>
                <c:pt idx="5">
                  <c:v>0.47159090909090912</c:v>
                </c:pt>
                <c:pt idx="6">
                  <c:v>0.40705128205128205</c:v>
                </c:pt>
                <c:pt idx="7">
                  <c:v>0.3737847222222222</c:v>
                </c:pt>
                <c:pt idx="8">
                  <c:v>0.56310012437810952</c:v>
                </c:pt>
                <c:pt idx="9">
                  <c:v>0.55862000713761029</c:v>
                </c:pt>
                <c:pt idx="12">
                  <c:v>0.60416666666666652</c:v>
                </c:pt>
                <c:pt idx="13">
                  <c:v>0.42129629629629628</c:v>
                </c:pt>
                <c:pt idx="14">
                  <c:v>0.50666666666666671</c:v>
                </c:pt>
                <c:pt idx="15">
                  <c:v>0.58333333333333337</c:v>
                </c:pt>
                <c:pt idx="16">
                  <c:v>0.6382575757575758</c:v>
                </c:pt>
                <c:pt idx="22">
                  <c:v>0.58876811594202916</c:v>
                </c:pt>
                <c:pt idx="23">
                  <c:v>0.67424242424242431</c:v>
                </c:pt>
                <c:pt idx="26">
                  <c:v>0.40909090909090901</c:v>
                </c:pt>
                <c:pt idx="27">
                  <c:v>0.47463768115942034</c:v>
                </c:pt>
                <c:pt idx="28">
                  <c:v>0.43840579710144922</c:v>
                </c:pt>
                <c:pt idx="29">
                  <c:v>0.61413043478260865</c:v>
                </c:pt>
                <c:pt idx="31">
                  <c:v>0.35212652257487181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E-4FA2-8F52-58CCA75D2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09E-4FA2-8F52-58CCA75D2AC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총괄!$B$26:$AG$26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9E-4FA2-8F52-58CCA75D2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'13'!$D$6:$D$27</c:f>
              <c:strCache>
                <c:ptCount val="21"/>
                <c:pt idx="0">
                  <c:v>ADAPTER</c:v>
                </c:pt>
                <c:pt idx="1">
                  <c:v>INNER</c:v>
                </c:pt>
                <c:pt idx="3">
                  <c:v>STOPPER</c:v>
                </c:pt>
                <c:pt idx="4">
                  <c:v>COVER</c:v>
                </c:pt>
                <c:pt idx="6">
                  <c:v>BASE</c:v>
                </c:pt>
                <c:pt idx="7">
                  <c:v>BOTTOM</c:v>
                </c:pt>
                <c:pt idx="8">
                  <c:v>BASE</c:v>
                </c:pt>
                <c:pt idx="9">
                  <c:v>RIVET</c:v>
                </c:pt>
                <c:pt idx="10">
                  <c:v>BASE</c:v>
                </c:pt>
                <c:pt idx="11">
                  <c:v>SLIDER</c:v>
                </c:pt>
                <c:pt idx="12">
                  <c:v>COVER</c:v>
                </c:pt>
                <c:pt idx="14">
                  <c:v>BASE</c:v>
                </c:pt>
                <c:pt idx="18">
                  <c:v>LEAD GUIDER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'13'!$L$6:$L$27</c:f>
              <c:numCache>
                <c:formatCode>_(* #,##0_);_(* \(#,##0\);_(* "-"_);_(@_)</c:formatCode>
                <c:ptCount val="22"/>
                <c:pt idx="0">
                  <c:v>655</c:v>
                </c:pt>
                <c:pt idx="1">
                  <c:v>19896</c:v>
                </c:pt>
                <c:pt idx="3">
                  <c:v>5904</c:v>
                </c:pt>
                <c:pt idx="4">
                  <c:v>5660</c:v>
                </c:pt>
                <c:pt idx="5">
                  <c:v>9524</c:v>
                </c:pt>
                <c:pt idx="6">
                  <c:v>8292</c:v>
                </c:pt>
                <c:pt idx="7">
                  <c:v>1913</c:v>
                </c:pt>
                <c:pt idx="9">
                  <c:v>40504</c:v>
                </c:pt>
                <c:pt idx="10">
                  <c:v>4969</c:v>
                </c:pt>
                <c:pt idx="11">
                  <c:v>10178</c:v>
                </c:pt>
                <c:pt idx="12">
                  <c:v>2604</c:v>
                </c:pt>
                <c:pt idx="13">
                  <c:v>6232</c:v>
                </c:pt>
                <c:pt idx="14">
                  <c:v>2136</c:v>
                </c:pt>
                <c:pt idx="15">
                  <c:v>58660</c:v>
                </c:pt>
                <c:pt idx="16">
                  <c:v>402220</c:v>
                </c:pt>
                <c:pt idx="21">
                  <c:v>76368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C-4C77-AC00-8D304968E5D7}"/>
            </c:ext>
          </c:extLst>
        </c:ser>
        <c:ser>
          <c:idx val="1"/>
          <c:order val="1"/>
          <c:tx>
            <c:v>계획</c:v>
          </c:tx>
          <c:cat>
            <c:strRef>
              <c:f>'13'!$D$6:$D$27</c:f>
              <c:strCache>
                <c:ptCount val="21"/>
                <c:pt idx="0">
                  <c:v>ADAPTER</c:v>
                </c:pt>
                <c:pt idx="1">
                  <c:v>INNER</c:v>
                </c:pt>
                <c:pt idx="3">
                  <c:v>STOPPER</c:v>
                </c:pt>
                <c:pt idx="4">
                  <c:v>COVER</c:v>
                </c:pt>
                <c:pt idx="6">
                  <c:v>BASE</c:v>
                </c:pt>
                <c:pt idx="7">
                  <c:v>BOTTOM</c:v>
                </c:pt>
                <c:pt idx="8">
                  <c:v>BASE</c:v>
                </c:pt>
                <c:pt idx="9">
                  <c:v>RIVET</c:v>
                </c:pt>
                <c:pt idx="10">
                  <c:v>BASE</c:v>
                </c:pt>
                <c:pt idx="11">
                  <c:v>SLIDER</c:v>
                </c:pt>
                <c:pt idx="12">
                  <c:v>COVER</c:v>
                </c:pt>
                <c:pt idx="14">
                  <c:v>BASE</c:v>
                </c:pt>
                <c:pt idx="18">
                  <c:v>LEAD GUIDER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'13'!$J$6:$J$27</c:f>
              <c:numCache>
                <c:formatCode>_(* #,##0_);_(* \(#,##0\);_(* "-"_);_(@_)</c:formatCode>
                <c:ptCount val="22"/>
                <c:pt idx="0">
                  <c:v>655</c:v>
                </c:pt>
                <c:pt idx="1">
                  <c:v>19896</c:v>
                </c:pt>
                <c:pt idx="2">
                  <c:v>1585</c:v>
                </c:pt>
                <c:pt idx="3">
                  <c:v>5904</c:v>
                </c:pt>
                <c:pt idx="4">
                  <c:v>5660</c:v>
                </c:pt>
                <c:pt idx="5">
                  <c:v>9524</c:v>
                </c:pt>
                <c:pt idx="6">
                  <c:v>8292</c:v>
                </c:pt>
                <c:pt idx="7">
                  <c:v>1913</c:v>
                </c:pt>
                <c:pt idx="8">
                  <c:v>391</c:v>
                </c:pt>
                <c:pt idx="9">
                  <c:v>40504</c:v>
                </c:pt>
                <c:pt idx="10">
                  <c:v>4969</c:v>
                </c:pt>
                <c:pt idx="11">
                  <c:v>10178</c:v>
                </c:pt>
                <c:pt idx="12">
                  <c:v>2604</c:v>
                </c:pt>
                <c:pt idx="13">
                  <c:v>6232</c:v>
                </c:pt>
                <c:pt idx="14">
                  <c:v>2136</c:v>
                </c:pt>
                <c:pt idx="15">
                  <c:v>58660</c:v>
                </c:pt>
                <c:pt idx="16">
                  <c:v>402220</c:v>
                </c:pt>
                <c:pt idx="17">
                  <c:v>0</c:v>
                </c:pt>
                <c:pt idx="18">
                  <c:v>31996</c:v>
                </c:pt>
                <c:pt idx="19">
                  <c:v>28802</c:v>
                </c:pt>
                <c:pt idx="20">
                  <c:v>26944</c:v>
                </c:pt>
                <c:pt idx="21">
                  <c:v>76368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DC-4C77-AC00-8D304968E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'13'!$AD$6:$AD$27</c:f>
              <c:strCache>
                <c:ptCount val="22"/>
                <c:pt idx="0">
                  <c:v>17%</c:v>
                </c:pt>
                <c:pt idx="1">
                  <c:v>100%</c:v>
                </c:pt>
                <c:pt idx="2">
                  <c:v>0%</c:v>
                </c:pt>
                <c:pt idx="3">
                  <c:v>96%</c:v>
                </c:pt>
                <c:pt idx="4">
                  <c:v>100%</c:v>
                </c:pt>
                <c:pt idx="5">
                  <c:v>100%</c:v>
                </c:pt>
                <c:pt idx="6">
                  <c:v>100%</c:v>
                </c:pt>
                <c:pt idx="7">
                  <c:v>46%</c:v>
                </c:pt>
                <c:pt idx="8">
                  <c:v>0%</c:v>
                </c:pt>
                <c:pt idx="9">
                  <c:v>100%</c:v>
                </c:pt>
                <c:pt idx="10">
                  <c:v>100%</c:v>
                </c:pt>
                <c:pt idx="11">
                  <c:v>100%</c:v>
                </c:pt>
                <c:pt idx="12">
                  <c:v>54%</c:v>
                </c:pt>
                <c:pt idx="13">
                  <c:v>79%</c:v>
                </c:pt>
                <c:pt idx="14">
                  <c:v>46%</c:v>
                </c:pt>
                <c:pt idx="15">
                  <c:v>100%</c:v>
                </c:pt>
                <c:pt idx="16">
                  <c:v>92%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'13'!$D$6:$D$27</c:f>
              <c:strCache>
                <c:ptCount val="21"/>
                <c:pt idx="0">
                  <c:v>ADAPTER</c:v>
                </c:pt>
                <c:pt idx="1">
                  <c:v>INNER</c:v>
                </c:pt>
                <c:pt idx="3">
                  <c:v>STOPPER</c:v>
                </c:pt>
                <c:pt idx="4">
                  <c:v>COVER</c:v>
                </c:pt>
                <c:pt idx="6">
                  <c:v>BASE</c:v>
                </c:pt>
                <c:pt idx="7">
                  <c:v>BOTTOM</c:v>
                </c:pt>
                <c:pt idx="8">
                  <c:v>BASE</c:v>
                </c:pt>
                <c:pt idx="9">
                  <c:v>RIVET</c:v>
                </c:pt>
                <c:pt idx="10">
                  <c:v>BASE</c:v>
                </c:pt>
                <c:pt idx="11">
                  <c:v>SLIDER</c:v>
                </c:pt>
                <c:pt idx="12">
                  <c:v>COVER</c:v>
                </c:pt>
                <c:pt idx="14">
                  <c:v>BASE</c:v>
                </c:pt>
                <c:pt idx="18">
                  <c:v>LEAD GUIDER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'13'!$AD$6:$AD$27</c:f>
              <c:numCache>
                <c:formatCode>0%</c:formatCode>
                <c:ptCount val="22"/>
                <c:pt idx="0">
                  <c:v>0.16666666666666666</c:v>
                </c:pt>
                <c:pt idx="1">
                  <c:v>1</c:v>
                </c:pt>
                <c:pt idx="2">
                  <c:v>0</c:v>
                </c:pt>
                <c:pt idx="3">
                  <c:v>0.95833333333333337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0.45833333333333331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0.54166666666666663</c:v>
                </c:pt>
                <c:pt idx="13">
                  <c:v>0.79166666666666663</c:v>
                </c:pt>
                <c:pt idx="14">
                  <c:v>0.45833333333333331</c:v>
                </c:pt>
                <c:pt idx="15">
                  <c:v>1</c:v>
                </c:pt>
                <c:pt idx="16">
                  <c:v>0.91666666666666663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3-40B9-A9DE-521A6C8DB67D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B3-40B9-A9DE-521A6C8DB67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'13'!$D$6:$D$27</c:f>
              <c:strCache>
                <c:ptCount val="21"/>
                <c:pt idx="0">
                  <c:v>ADAPTER</c:v>
                </c:pt>
                <c:pt idx="1">
                  <c:v>INNER</c:v>
                </c:pt>
                <c:pt idx="3">
                  <c:v>STOPPER</c:v>
                </c:pt>
                <c:pt idx="4">
                  <c:v>COVER</c:v>
                </c:pt>
                <c:pt idx="6">
                  <c:v>BASE</c:v>
                </c:pt>
                <c:pt idx="7">
                  <c:v>BOTTOM</c:v>
                </c:pt>
                <c:pt idx="8">
                  <c:v>BASE</c:v>
                </c:pt>
                <c:pt idx="9">
                  <c:v>RIVET</c:v>
                </c:pt>
                <c:pt idx="10">
                  <c:v>BASE</c:v>
                </c:pt>
                <c:pt idx="11">
                  <c:v>SLIDER</c:v>
                </c:pt>
                <c:pt idx="12">
                  <c:v>COVER</c:v>
                </c:pt>
                <c:pt idx="14">
                  <c:v>BASE</c:v>
                </c:pt>
                <c:pt idx="18">
                  <c:v>LEAD GUIDER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'13'!$AE$6:$AE$27</c:f>
              <c:numCache>
                <c:formatCode>0%</c:formatCode>
                <c:ptCount val="22"/>
                <c:pt idx="0">
                  <c:v>0.60416666666666652</c:v>
                </c:pt>
                <c:pt idx="1">
                  <c:v>0.60416666666666652</c:v>
                </c:pt>
                <c:pt idx="2">
                  <c:v>0.60416666666666652</c:v>
                </c:pt>
                <c:pt idx="3">
                  <c:v>0.60416666666666652</c:v>
                </c:pt>
                <c:pt idx="4">
                  <c:v>0.60416666666666652</c:v>
                </c:pt>
                <c:pt idx="5">
                  <c:v>0.60416666666666652</c:v>
                </c:pt>
                <c:pt idx="6">
                  <c:v>0.60416666666666652</c:v>
                </c:pt>
                <c:pt idx="7">
                  <c:v>0.60416666666666652</c:v>
                </c:pt>
                <c:pt idx="8">
                  <c:v>0.60416666666666652</c:v>
                </c:pt>
                <c:pt idx="9">
                  <c:v>0.60416666666666652</c:v>
                </c:pt>
                <c:pt idx="10">
                  <c:v>0.60416666666666652</c:v>
                </c:pt>
                <c:pt idx="11">
                  <c:v>0.60416666666666652</c:v>
                </c:pt>
                <c:pt idx="12">
                  <c:v>0.60416666666666652</c:v>
                </c:pt>
                <c:pt idx="13">
                  <c:v>0.60416666666666652</c:v>
                </c:pt>
                <c:pt idx="14">
                  <c:v>0.60416666666666652</c:v>
                </c:pt>
                <c:pt idx="15">
                  <c:v>0.60416666666666652</c:v>
                </c:pt>
                <c:pt idx="16">
                  <c:v>0.60416666666666652</c:v>
                </c:pt>
                <c:pt idx="17">
                  <c:v>0.60416666666666652</c:v>
                </c:pt>
                <c:pt idx="18">
                  <c:v>0.60416666666666652</c:v>
                </c:pt>
                <c:pt idx="19">
                  <c:v>0.60416666666666652</c:v>
                </c:pt>
                <c:pt idx="20">
                  <c:v>0.60416666666666652</c:v>
                </c:pt>
                <c:pt idx="21">
                  <c:v>0.60416666666666652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B3-40B9-A9DE-521A6C8DB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864127889076517E-2"/>
          <c:y val="6.4095047578651546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'13'!$D$6:$D$27</c:f>
              <c:strCache>
                <c:ptCount val="21"/>
                <c:pt idx="0">
                  <c:v>ADAPTER</c:v>
                </c:pt>
                <c:pt idx="1">
                  <c:v>INNER</c:v>
                </c:pt>
                <c:pt idx="3">
                  <c:v>STOPPER</c:v>
                </c:pt>
                <c:pt idx="4">
                  <c:v>COVER</c:v>
                </c:pt>
                <c:pt idx="6">
                  <c:v>BASE</c:v>
                </c:pt>
                <c:pt idx="7">
                  <c:v>BOTTOM</c:v>
                </c:pt>
                <c:pt idx="8">
                  <c:v>BASE</c:v>
                </c:pt>
                <c:pt idx="9">
                  <c:v>RIVET</c:v>
                </c:pt>
                <c:pt idx="10">
                  <c:v>BASE</c:v>
                </c:pt>
                <c:pt idx="11">
                  <c:v>SLIDER</c:v>
                </c:pt>
                <c:pt idx="12">
                  <c:v>COVER</c:v>
                </c:pt>
                <c:pt idx="14">
                  <c:v>BASE</c:v>
                </c:pt>
                <c:pt idx="18">
                  <c:v>LEAD GUIDER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'13'!$L$6:$L$27</c:f>
              <c:numCache>
                <c:formatCode>_(* #,##0_);_(* \(#,##0\);_(* "-"_);_(@_)</c:formatCode>
                <c:ptCount val="22"/>
                <c:pt idx="0">
                  <c:v>655</c:v>
                </c:pt>
                <c:pt idx="1">
                  <c:v>19896</c:v>
                </c:pt>
                <c:pt idx="3">
                  <c:v>5904</c:v>
                </c:pt>
                <c:pt idx="4">
                  <c:v>5660</c:v>
                </c:pt>
                <c:pt idx="5">
                  <c:v>9524</c:v>
                </c:pt>
                <c:pt idx="6">
                  <c:v>8292</c:v>
                </c:pt>
                <c:pt idx="7">
                  <c:v>1913</c:v>
                </c:pt>
                <c:pt idx="9">
                  <c:v>40504</c:v>
                </c:pt>
                <c:pt idx="10">
                  <c:v>4969</c:v>
                </c:pt>
                <c:pt idx="11">
                  <c:v>10178</c:v>
                </c:pt>
                <c:pt idx="12">
                  <c:v>2604</c:v>
                </c:pt>
                <c:pt idx="13">
                  <c:v>6232</c:v>
                </c:pt>
                <c:pt idx="14">
                  <c:v>2136</c:v>
                </c:pt>
                <c:pt idx="15">
                  <c:v>58660</c:v>
                </c:pt>
                <c:pt idx="16">
                  <c:v>402220</c:v>
                </c:pt>
                <c:pt idx="21">
                  <c:v>76368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2-4DC5-B4D1-71096FA6E6DC}"/>
            </c:ext>
          </c:extLst>
        </c:ser>
        <c:ser>
          <c:idx val="1"/>
          <c:order val="1"/>
          <c:tx>
            <c:v>계획</c:v>
          </c:tx>
          <c:cat>
            <c:strRef>
              <c:f>'13'!$D$6:$D$27</c:f>
              <c:strCache>
                <c:ptCount val="21"/>
                <c:pt idx="0">
                  <c:v>ADAPTER</c:v>
                </c:pt>
                <c:pt idx="1">
                  <c:v>INNER</c:v>
                </c:pt>
                <c:pt idx="3">
                  <c:v>STOPPER</c:v>
                </c:pt>
                <c:pt idx="4">
                  <c:v>COVER</c:v>
                </c:pt>
                <c:pt idx="6">
                  <c:v>BASE</c:v>
                </c:pt>
                <c:pt idx="7">
                  <c:v>BOTTOM</c:v>
                </c:pt>
                <c:pt idx="8">
                  <c:v>BASE</c:v>
                </c:pt>
                <c:pt idx="9">
                  <c:v>RIVET</c:v>
                </c:pt>
                <c:pt idx="10">
                  <c:v>BASE</c:v>
                </c:pt>
                <c:pt idx="11">
                  <c:v>SLIDER</c:v>
                </c:pt>
                <c:pt idx="12">
                  <c:v>COVER</c:v>
                </c:pt>
                <c:pt idx="14">
                  <c:v>BASE</c:v>
                </c:pt>
                <c:pt idx="18">
                  <c:v>LEAD GUIDER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'13'!$J$6:$J$27</c:f>
              <c:numCache>
                <c:formatCode>_(* #,##0_);_(* \(#,##0\);_(* "-"_);_(@_)</c:formatCode>
                <c:ptCount val="22"/>
                <c:pt idx="0">
                  <c:v>655</c:v>
                </c:pt>
                <c:pt idx="1">
                  <c:v>19896</c:v>
                </c:pt>
                <c:pt idx="2">
                  <c:v>1585</c:v>
                </c:pt>
                <c:pt idx="3">
                  <c:v>5904</c:v>
                </c:pt>
                <c:pt idx="4">
                  <c:v>5660</c:v>
                </c:pt>
                <c:pt idx="5">
                  <c:v>9524</c:v>
                </c:pt>
                <c:pt idx="6">
                  <c:v>8292</c:v>
                </c:pt>
                <c:pt idx="7">
                  <c:v>1913</c:v>
                </c:pt>
                <c:pt idx="8">
                  <c:v>391</c:v>
                </c:pt>
                <c:pt idx="9">
                  <c:v>40504</c:v>
                </c:pt>
                <c:pt idx="10">
                  <c:v>4969</c:v>
                </c:pt>
                <c:pt idx="11">
                  <c:v>10178</c:v>
                </c:pt>
                <c:pt idx="12">
                  <c:v>2604</c:v>
                </c:pt>
                <c:pt idx="13">
                  <c:v>6232</c:v>
                </c:pt>
                <c:pt idx="14">
                  <c:v>2136</c:v>
                </c:pt>
                <c:pt idx="15">
                  <c:v>58660</c:v>
                </c:pt>
                <c:pt idx="16">
                  <c:v>402220</c:v>
                </c:pt>
                <c:pt idx="17">
                  <c:v>0</c:v>
                </c:pt>
                <c:pt idx="18">
                  <c:v>31996</c:v>
                </c:pt>
                <c:pt idx="19">
                  <c:v>28802</c:v>
                </c:pt>
                <c:pt idx="20">
                  <c:v>26944</c:v>
                </c:pt>
                <c:pt idx="21">
                  <c:v>76368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2-4DC5-B4D1-71096FA6E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'13'!$AD$6:$AD$27</c:f>
              <c:strCache>
                <c:ptCount val="22"/>
                <c:pt idx="0">
                  <c:v>17%</c:v>
                </c:pt>
                <c:pt idx="1">
                  <c:v>100%</c:v>
                </c:pt>
                <c:pt idx="2">
                  <c:v>0%</c:v>
                </c:pt>
                <c:pt idx="3">
                  <c:v>96%</c:v>
                </c:pt>
                <c:pt idx="4">
                  <c:v>100%</c:v>
                </c:pt>
                <c:pt idx="5">
                  <c:v>100%</c:v>
                </c:pt>
                <c:pt idx="6">
                  <c:v>100%</c:v>
                </c:pt>
                <c:pt idx="7">
                  <c:v>46%</c:v>
                </c:pt>
                <c:pt idx="8">
                  <c:v>0%</c:v>
                </c:pt>
                <c:pt idx="9">
                  <c:v>100%</c:v>
                </c:pt>
                <c:pt idx="10">
                  <c:v>100%</c:v>
                </c:pt>
                <c:pt idx="11">
                  <c:v>100%</c:v>
                </c:pt>
                <c:pt idx="12">
                  <c:v>54%</c:v>
                </c:pt>
                <c:pt idx="13">
                  <c:v>79%</c:v>
                </c:pt>
                <c:pt idx="14">
                  <c:v>46%</c:v>
                </c:pt>
                <c:pt idx="15">
                  <c:v>100%</c:v>
                </c:pt>
                <c:pt idx="16">
                  <c:v>92%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'13'!$D$6:$D$27</c:f>
              <c:strCache>
                <c:ptCount val="21"/>
                <c:pt idx="0">
                  <c:v>ADAPTER</c:v>
                </c:pt>
                <c:pt idx="1">
                  <c:v>INNER</c:v>
                </c:pt>
                <c:pt idx="3">
                  <c:v>STOPPER</c:v>
                </c:pt>
                <c:pt idx="4">
                  <c:v>COVER</c:v>
                </c:pt>
                <c:pt idx="6">
                  <c:v>BASE</c:v>
                </c:pt>
                <c:pt idx="7">
                  <c:v>BOTTOM</c:v>
                </c:pt>
                <c:pt idx="8">
                  <c:v>BASE</c:v>
                </c:pt>
                <c:pt idx="9">
                  <c:v>RIVET</c:v>
                </c:pt>
                <c:pt idx="10">
                  <c:v>BASE</c:v>
                </c:pt>
                <c:pt idx="11">
                  <c:v>SLIDER</c:v>
                </c:pt>
                <c:pt idx="12">
                  <c:v>COVER</c:v>
                </c:pt>
                <c:pt idx="14">
                  <c:v>BASE</c:v>
                </c:pt>
                <c:pt idx="18">
                  <c:v>LEAD GUIDER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'13'!$AD$6:$AD$27</c:f>
              <c:numCache>
                <c:formatCode>0%</c:formatCode>
                <c:ptCount val="22"/>
                <c:pt idx="0">
                  <c:v>0.16666666666666666</c:v>
                </c:pt>
                <c:pt idx="1">
                  <c:v>1</c:v>
                </c:pt>
                <c:pt idx="2">
                  <c:v>0</c:v>
                </c:pt>
                <c:pt idx="3">
                  <c:v>0.95833333333333337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0.45833333333333331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0.54166666666666663</c:v>
                </c:pt>
                <c:pt idx="13">
                  <c:v>0.79166666666666663</c:v>
                </c:pt>
                <c:pt idx="14">
                  <c:v>0.45833333333333331</c:v>
                </c:pt>
                <c:pt idx="15">
                  <c:v>1</c:v>
                </c:pt>
                <c:pt idx="16">
                  <c:v>0.91666666666666663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6-42A9-BC63-062EAFDBDD62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36-42A9-BC63-062EAFDBDD6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'13'!$D$6:$D$27</c:f>
              <c:strCache>
                <c:ptCount val="21"/>
                <c:pt idx="0">
                  <c:v>ADAPTER</c:v>
                </c:pt>
                <c:pt idx="1">
                  <c:v>INNER</c:v>
                </c:pt>
                <c:pt idx="3">
                  <c:v>STOPPER</c:v>
                </c:pt>
                <c:pt idx="4">
                  <c:v>COVER</c:v>
                </c:pt>
                <c:pt idx="6">
                  <c:v>BASE</c:v>
                </c:pt>
                <c:pt idx="7">
                  <c:v>BOTTOM</c:v>
                </c:pt>
                <c:pt idx="8">
                  <c:v>BASE</c:v>
                </c:pt>
                <c:pt idx="9">
                  <c:v>RIVET</c:v>
                </c:pt>
                <c:pt idx="10">
                  <c:v>BASE</c:v>
                </c:pt>
                <c:pt idx="11">
                  <c:v>SLIDER</c:v>
                </c:pt>
                <c:pt idx="12">
                  <c:v>COVER</c:v>
                </c:pt>
                <c:pt idx="14">
                  <c:v>BASE</c:v>
                </c:pt>
                <c:pt idx="18">
                  <c:v>LEAD GUIDER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'13'!$AE$6:$AE$27</c:f>
              <c:numCache>
                <c:formatCode>0%</c:formatCode>
                <c:ptCount val="22"/>
                <c:pt idx="0">
                  <c:v>0.60416666666666652</c:v>
                </c:pt>
                <c:pt idx="1">
                  <c:v>0.60416666666666652</c:v>
                </c:pt>
                <c:pt idx="2">
                  <c:v>0.60416666666666652</c:v>
                </c:pt>
                <c:pt idx="3">
                  <c:v>0.60416666666666652</c:v>
                </c:pt>
                <c:pt idx="4">
                  <c:v>0.60416666666666652</c:v>
                </c:pt>
                <c:pt idx="5">
                  <c:v>0.60416666666666652</c:v>
                </c:pt>
                <c:pt idx="6">
                  <c:v>0.60416666666666652</c:v>
                </c:pt>
                <c:pt idx="7">
                  <c:v>0.60416666666666652</c:v>
                </c:pt>
                <c:pt idx="8">
                  <c:v>0.60416666666666652</c:v>
                </c:pt>
                <c:pt idx="9">
                  <c:v>0.60416666666666652</c:v>
                </c:pt>
                <c:pt idx="10">
                  <c:v>0.60416666666666652</c:v>
                </c:pt>
                <c:pt idx="11">
                  <c:v>0.60416666666666652</c:v>
                </c:pt>
                <c:pt idx="12">
                  <c:v>0.60416666666666652</c:v>
                </c:pt>
                <c:pt idx="13">
                  <c:v>0.60416666666666652</c:v>
                </c:pt>
                <c:pt idx="14">
                  <c:v>0.60416666666666652</c:v>
                </c:pt>
                <c:pt idx="15">
                  <c:v>0.60416666666666652</c:v>
                </c:pt>
                <c:pt idx="16">
                  <c:v>0.60416666666666652</c:v>
                </c:pt>
                <c:pt idx="17">
                  <c:v>0.60416666666666652</c:v>
                </c:pt>
                <c:pt idx="18">
                  <c:v>0.60416666666666652</c:v>
                </c:pt>
                <c:pt idx="19">
                  <c:v>0.60416666666666652</c:v>
                </c:pt>
                <c:pt idx="20">
                  <c:v>0.60416666666666652</c:v>
                </c:pt>
                <c:pt idx="21">
                  <c:v>0.60416666666666652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36-42A9-BC63-062EAFDBD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총괄!$A$25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0F01-4BB9-BB50-3AA0373564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총괄!$B$25:$AG$25</c:f>
              <c:numCache>
                <c:formatCode>0%</c:formatCode>
                <c:ptCount val="32"/>
                <c:pt idx="0">
                  <c:v>0.59455128205128216</c:v>
                </c:pt>
                <c:pt idx="1">
                  <c:v>0.64666666666666672</c:v>
                </c:pt>
                <c:pt idx="2">
                  <c:v>0.53166666666666662</c:v>
                </c:pt>
                <c:pt idx="3">
                  <c:v>0.46376811594202894</c:v>
                </c:pt>
                <c:pt idx="5">
                  <c:v>0.47159090909090912</c:v>
                </c:pt>
                <c:pt idx="6">
                  <c:v>0.40705128205128205</c:v>
                </c:pt>
                <c:pt idx="7">
                  <c:v>0.3737847222222222</c:v>
                </c:pt>
                <c:pt idx="8">
                  <c:v>0.56310012437810952</c:v>
                </c:pt>
                <c:pt idx="9">
                  <c:v>0.55862000713761029</c:v>
                </c:pt>
                <c:pt idx="12">
                  <c:v>0.60416666666666652</c:v>
                </c:pt>
                <c:pt idx="13">
                  <c:v>0.42129629629629628</c:v>
                </c:pt>
                <c:pt idx="14">
                  <c:v>0.50666666666666671</c:v>
                </c:pt>
                <c:pt idx="15">
                  <c:v>0.58333333333333337</c:v>
                </c:pt>
                <c:pt idx="16">
                  <c:v>0.6382575757575758</c:v>
                </c:pt>
                <c:pt idx="22">
                  <c:v>0.58876811594202916</c:v>
                </c:pt>
                <c:pt idx="23">
                  <c:v>0.67424242424242431</c:v>
                </c:pt>
                <c:pt idx="26">
                  <c:v>0.40909090909090901</c:v>
                </c:pt>
                <c:pt idx="27">
                  <c:v>0.47463768115942034</c:v>
                </c:pt>
                <c:pt idx="28">
                  <c:v>0.43840579710144922</c:v>
                </c:pt>
                <c:pt idx="29">
                  <c:v>0.61413043478260865</c:v>
                </c:pt>
                <c:pt idx="31">
                  <c:v>0.35212652257487181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01-4BB9-BB50-3AA037356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0F01-4BB9-BB50-3AA03735644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총괄!$B$26:$AG$26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01-4BB9-BB50-3AA037356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총괄!$A$25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CA27-47E6-B841-B2605407B7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총괄!$B$25:$AG$25</c:f>
              <c:numCache>
                <c:formatCode>0%</c:formatCode>
                <c:ptCount val="32"/>
                <c:pt idx="0">
                  <c:v>0.59455128205128216</c:v>
                </c:pt>
                <c:pt idx="1">
                  <c:v>0.64666666666666672</c:v>
                </c:pt>
                <c:pt idx="2">
                  <c:v>0.53166666666666662</c:v>
                </c:pt>
                <c:pt idx="3">
                  <c:v>0.46376811594202894</c:v>
                </c:pt>
                <c:pt idx="5">
                  <c:v>0.47159090909090912</c:v>
                </c:pt>
                <c:pt idx="6">
                  <c:v>0.40705128205128205</c:v>
                </c:pt>
                <c:pt idx="7">
                  <c:v>0.3737847222222222</c:v>
                </c:pt>
                <c:pt idx="8">
                  <c:v>0.56310012437810952</c:v>
                </c:pt>
                <c:pt idx="9">
                  <c:v>0.55862000713761029</c:v>
                </c:pt>
                <c:pt idx="12">
                  <c:v>0.60416666666666652</c:v>
                </c:pt>
                <c:pt idx="13">
                  <c:v>0.42129629629629628</c:v>
                </c:pt>
                <c:pt idx="14">
                  <c:v>0.50666666666666671</c:v>
                </c:pt>
                <c:pt idx="15">
                  <c:v>0.58333333333333337</c:v>
                </c:pt>
                <c:pt idx="16">
                  <c:v>0.6382575757575758</c:v>
                </c:pt>
                <c:pt idx="22">
                  <c:v>0.58876811594202916</c:v>
                </c:pt>
                <c:pt idx="23">
                  <c:v>0.67424242424242431</c:v>
                </c:pt>
                <c:pt idx="26">
                  <c:v>0.40909090909090901</c:v>
                </c:pt>
                <c:pt idx="27">
                  <c:v>0.47463768115942034</c:v>
                </c:pt>
                <c:pt idx="28">
                  <c:v>0.43840579710144922</c:v>
                </c:pt>
                <c:pt idx="29">
                  <c:v>0.61413043478260865</c:v>
                </c:pt>
                <c:pt idx="31">
                  <c:v>0.35212652257487181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7-47E6-B841-B2605407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CA27-47E6-B841-B2605407B7F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총괄!$B$26:$AG$26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27-47E6-B841-B2605407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'14'!$D$6:$D$32</c:f>
              <c:strCache>
                <c:ptCount val="26"/>
                <c:pt idx="0">
                  <c:v>ADAPTER</c:v>
                </c:pt>
                <c:pt idx="1">
                  <c:v>INNER</c:v>
                </c:pt>
                <c:pt idx="2">
                  <c:v>BASE</c:v>
                </c:pt>
                <c:pt idx="3">
                  <c:v>BASE</c:v>
                </c:pt>
                <c:pt idx="4">
                  <c:v>STOPPER</c:v>
                </c:pt>
                <c:pt idx="5">
                  <c:v>COVER</c:v>
                </c:pt>
                <c:pt idx="6">
                  <c:v>LEAD GUIDER</c:v>
                </c:pt>
                <c:pt idx="7">
                  <c:v>22P</c:v>
                </c:pt>
                <c:pt idx="8">
                  <c:v>LEAD GUIDER</c:v>
                </c:pt>
                <c:pt idx="9">
                  <c:v>BOTTOM</c:v>
                </c:pt>
                <c:pt idx="10">
                  <c:v>BASE</c:v>
                </c:pt>
                <c:pt idx="11">
                  <c:v>RIVET</c:v>
                </c:pt>
                <c:pt idx="12">
                  <c:v>BASE</c:v>
                </c:pt>
                <c:pt idx="13">
                  <c:v>790</c:v>
                </c:pt>
                <c:pt idx="14">
                  <c:v>SLIDER</c:v>
                </c:pt>
                <c:pt idx="16">
                  <c:v>COVER</c:v>
                </c:pt>
                <c:pt idx="18">
                  <c:v>REAR COVER</c:v>
                </c:pt>
                <c:pt idx="19">
                  <c:v>BASE</c:v>
                </c:pt>
                <c:pt idx="23">
                  <c:v>LEAD GUIDER</c:v>
                </c:pt>
                <c:pt idx="24">
                  <c:v>SLIDER</c:v>
                </c:pt>
                <c:pt idx="25">
                  <c:v>COVER</c:v>
                </c:pt>
              </c:strCache>
            </c:strRef>
          </c:cat>
          <c:val>
            <c:numRef>
              <c:f>'14'!$L$6:$L$32</c:f>
              <c:numCache>
                <c:formatCode>_(* #,##0_);_(* \(#,##0\);_(* "-"_);_(@_)</c:formatCode>
                <c:ptCount val="27"/>
                <c:pt idx="1">
                  <c:v>21264</c:v>
                </c:pt>
                <c:pt idx="2">
                  <c:v>217</c:v>
                </c:pt>
                <c:pt idx="3">
                  <c:v>527</c:v>
                </c:pt>
                <c:pt idx="4">
                  <c:v>4751</c:v>
                </c:pt>
                <c:pt idx="5">
                  <c:v>4715</c:v>
                </c:pt>
                <c:pt idx="6">
                  <c:v>800</c:v>
                </c:pt>
                <c:pt idx="7">
                  <c:v>11704</c:v>
                </c:pt>
                <c:pt idx="8">
                  <c:v>4452</c:v>
                </c:pt>
                <c:pt idx="9">
                  <c:v>1379</c:v>
                </c:pt>
                <c:pt idx="12">
                  <c:v>2445</c:v>
                </c:pt>
                <c:pt idx="13">
                  <c:v>5688</c:v>
                </c:pt>
                <c:pt idx="15">
                  <c:v>9340</c:v>
                </c:pt>
                <c:pt idx="16">
                  <c:v>800</c:v>
                </c:pt>
                <c:pt idx="17">
                  <c:v>1229</c:v>
                </c:pt>
                <c:pt idx="18">
                  <c:v>12762</c:v>
                </c:pt>
                <c:pt idx="19">
                  <c:v>6276</c:v>
                </c:pt>
                <c:pt idx="20">
                  <c:v>62760</c:v>
                </c:pt>
                <c:pt idx="21">
                  <c:v>461412</c:v>
                </c:pt>
                <c:pt idx="26">
                  <c:v>81764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1-4CD7-9E62-70F4797CED6F}"/>
            </c:ext>
          </c:extLst>
        </c:ser>
        <c:ser>
          <c:idx val="1"/>
          <c:order val="1"/>
          <c:tx>
            <c:v>계획</c:v>
          </c:tx>
          <c:cat>
            <c:strRef>
              <c:f>'14'!$D$6:$D$32</c:f>
              <c:strCache>
                <c:ptCount val="26"/>
                <c:pt idx="0">
                  <c:v>ADAPTER</c:v>
                </c:pt>
                <c:pt idx="1">
                  <c:v>INNER</c:v>
                </c:pt>
                <c:pt idx="2">
                  <c:v>BASE</c:v>
                </c:pt>
                <c:pt idx="3">
                  <c:v>BASE</c:v>
                </c:pt>
                <c:pt idx="4">
                  <c:v>STOPPER</c:v>
                </c:pt>
                <c:pt idx="5">
                  <c:v>COVER</c:v>
                </c:pt>
                <c:pt idx="6">
                  <c:v>LEAD GUIDER</c:v>
                </c:pt>
                <c:pt idx="7">
                  <c:v>22P</c:v>
                </c:pt>
                <c:pt idx="8">
                  <c:v>LEAD GUIDER</c:v>
                </c:pt>
                <c:pt idx="9">
                  <c:v>BOTTOM</c:v>
                </c:pt>
                <c:pt idx="10">
                  <c:v>BASE</c:v>
                </c:pt>
                <c:pt idx="11">
                  <c:v>RIVET</c:v>
                </c:pt>
                <c:pt idx="12">
                  <c:v>BASE</c:v>
                </c:pt>
                <c:pt idx="13">
                  <c:v>790</c:v>
                </c:pt>
                <c:pt idx="14">
                  <c:v>SLIDER</c:v>
                </c:pt>
                <c:pt idx="16">
                  <c:v>COVER</c:v>
                </c:pt>
                <c:pt idx="18">
                  <c:v>REAR COVER</c:v>
                </c:pt>
                <c:pt idx="19">
                  <c:v>BASE</c:v>
                </c:pt>
                <c:pt idx="23">
                  <c:v>LEAD GUIDER</c:v>
                </c:pt>
                <c:pt idx="24">
                  <c:v>SLIDER</c:v>
                </c:pt>
                <c:pt idx="25">
                  <c:v>COVER</c:v>
                </c:pt>
              </c:strCache>
            </c:strRef>
          </c:cat>
          <c:val>
            <c:numRef>
              <c:f>'14'!$J$6:$J$32</c:f>
              <c:numCache>
                <c:formatCode>_(* #,##0_);_(* \(#,##0\);_(* "-"_);_(@_)</c:formatCode>
                <c:ptCount val="27"/>
                <c:pt idx="0">
                  <c:v>655</c:v>
                </c:pt>
                <c:pt idx="1">
                  <c:v>21264</c:v>
                </c:pt>
                <c:pt idx="2">
                  <c:v>217</c:v>
                </c:pt>
                <c:pt idx="3">
                  <c:v>527</c:v>
                </c:pt>
                <c:pt idx="4">
                  <c:v>4751</c:v>
                </c:pt>
                <c:pt idx="5">
                  <c:v>4715</c:v>
                </c:pt>
                <c:pt idx="6">
                  <c:v>800</c:v>
                </c:pt>
                <c:pt idx="7">
                  <c:v>11704</c:v>
                </c:pt>
                <c:pt idx="8">
                  <c:v>4452</c:v>
                </c:pt>
                <c:pt idx="9">
                  <c:v>1379</c:v>
                </c:pt>
                <c:pt idx="10">
                  <c:v>391</c:v>
                </c:pt>
                <c:pt idx="11">
                  <c:v>40504</c:v>
                </c:pt>
                <c:pt idx="12">
                  <c:v>2445</c:v>
                </c:pt>
                <c:pt idx="13">
                  <c:v>5688</c:v>
                </c:pt>
                <c:pt idx="14">
                  <c:v>10178</c:v>
                </c:pt>
                <c:pt idx="15">
                  <c:v>9340</c:v>
                </c:pt>
                <c:pt idx="16">
                  <c:v>800</c:v>
                </c:pt>
                <c:pt idx="17">
                  <c:v>1229</c:v>
                </c:pt>
                <c:pt idx="18">
                  <c:v>12762</c:v>
                </c:pt>
                <c:pt idx="19">
                  <c:v>6276</c:v>
                </c:pt>
                <c:pt idx="20">
                  <c:v>62760</c:v>
                </c:pt>
                <c:pt idx="21">
                  <c:v>461412</c:v>
                </c:pt>
                <c:pt idx="22">
                  <c:v>0</c:v>
                </c:pt>
                <c:pt idx="23">
                  <c:v>31996</c:v>
                </c:pt>
                <c:pt idx="24">
                  <c:v>28802</c:v>
                </c:pt>
                <c:pt idx="25">
                  <c:v>26944</c:v>
                </c:pt>
                <c:pt idx="26">
                  <c:v>81764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1-4CD7-9E62-70F4797CE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'14'!$AD$6:$AD$32</c:f>
              <c:strCache>
                <c:ptCount val="27"/>
                <c:pt idx="0">
                  <c:v>0%</c:v>
                </c:pt>
                <c:pt idx="1">
                  <c:v>100%</c:v>
                </c:pt>
                <c:pt idx="2">
                  <c:v>17%</c:v>
                </c:pt>
                <c:pt idx="3">
                  <c:v>29%</c:v>
                </c:pt>
                <c:pt idx="4">
                  <c:v>83%</c:v>
                </c:pt>
                <c:pt idx="5">
                  <c:v>100%</c:v>
                </c:pt>
                <c:pt idx="6">
                  <c:v>21%</c:v>
                </c:pt>
                <c:pt idx="7">
                  <c:v>54%</c:v>
                </c:pt>
                <c:pt idx="8">
                  <c:v>96%</c:v>
                </c:pt>
                <c:pt idx="9">
                  <c:v>38%</c:v>
                </c:pt>
                <c:pt idx="10">
                  <c:v>0%</c:v>
                </c:pt>
                <c:pt idx="11">
                  <c:v>0%</c:v>
                </c:pt>
                <c:pt idx="12">
                  <c:v>46%</c:v>
                </c:pt>
                <c:pt idx="13">
                  <c:v>42%</c:v>
                </c:pt>
                <c:pt idx="14">
                  <c:v>0%</c:v>
                </c:pt>
                <c:pt idx="15">
                  <c:v>42%</c:v>
                </c:pt>
                <c:pt idx="16">
                  <c:v>21%</c:v>
                </c:pt>
                <c:pt idx="17">
                  <c:v>29%</c:v>
                </c:pt>
                <c:pt idx="18">
                  <c:v>63%</c:v>
                </c:pt>
                <c:pt idx="19">
                  <c:v>58%</c:v>
                </c:pt>
                <c:pt idx="20">
                  <c:v>100%</c:v>
                </c:pt>
                <c:pt idx="21">
                  <c:v>100%</c:v>
                </c:pt>
                <c:pt idx="22">
                  <c:v>0%</c:v>
                </c:pt>
                <c:pt idx="23">
                  <c:v>0%</c:v>
                </c:pt>
                <c:pt idx="24">
                  <c:v>0%</c:v>
                </c:pt>
                <c:pt idx="25">
                  <c:v>0%</c:v>
                </c:pt>
                <c:pt idx="26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'14'!$D$6:$D$32</c:f>
              <c:strCache>
                <c:ptCount val="26"/>
                <c:pt idx="0">
                  <c:v>ADAPTER</c:v>
                </c:pt>
                <c:pt idx="1">
                  <c:v>INNER</c:v>
                </c:pt>
                <c:pt idx="2">
                  <c:v>BASE</c:v>
                </c:pt>
                <c:pt idx="3">
                  <c:v>BASE</c:v>
                </c:pt>
                <c:pt idx="4">
                  <c:v>STOPPER</c:v>
                </c:pt>
                <c:pt idx="5">
                  <c:v>COVER</c:v>
                </c:pt>
                <c:pt idx="6">
                  <c:v>LEAD GUIDER</c:v>
                </c:pt>
                <c:pt idx="7">
                  <c:v>22P</c:v>
                </c:pt>
                <c:pt idx="8">
                  <c:v>LEAD GUIDER</c:v>
                </c:pt>
                <c:pt idx="9">
                  <c:v>BOTTOM</c:v>
                </c:pt>
                <c:pt idx="10">
                  <c:v>BASE</c:v>
                </c:pt>
                <c:pt idx="11">
                  <c:v>RIVET</c:v>
                </c:pt>
                <c:pt idx="12">
                  <c:v>BASE</c:v>
                </c:pt>
                <c:pt idx="13">
                  <c:v>790</c:v>
                </c:pt>
                <c:pt idx="14">
                  <c:v>SLIDER</c:v>
                </c:pt>
                <c:pt idx="16">
                  <c:v>COVER</c:v>
                </c:pt>
                <c:pt idx="18">
                  <c:v>REAR COVER</c:v>
                </c:pt>
                <c:pt idx="19">
                  <c:v>BASE</c:v>
                </c:pt>
                <c:pt idx="23">
                  <c:v>LEAD GUIDER</c:v>
                </c:pt>
                <c:pt idx="24">
                  <c:v>SLIDER</c:v>
                </c:pt>
                <c:pt idx="25">
                  <c:v>COVER</c:v>
                </c:pt>
              </c:strCache>
            </c:strRef>
          </c:cat>
          <c:val>
            <c:numRef>
              <c:f>'14'!$AD$6:$AD$32</c:f>
              <c:numCache>
                <c:formatCode>0%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0.16666666666666666</c:v>
                </c:pt>
                <c:pt idx="3">
                  <c:v>0.29166666666666669</c:v>
                </c:pt>
                <c:pt idx="4">
                  <c:v>0.83333333333333337</c:v>
                </c:pt>
                <c:pt idx="5">
                  <c:v>1</c:v>
                </c:pt>
                <c:pt idx="6">
                  <c:v>0.20833333333333334</c:v>
                </c:pt>
                <c:pt idx="7">
                  <c:v>0.54166666666666663</c:v>
                </c:pt>
                <c:pt idx="8">
                  <c:v>0.95833333333333337</c:v>
                </c:pt>
                <c:pt idx="9">
                  <c:v>0.375</c:v>
                </c:pt>
                <c:pt idx="10">
                  <c:v>0</c:v>
                </c:pt>
                <c:pt idx="11">
                  <c:v>0</c:v>
                </c:pt>
                <c:pt idx="12">
                  <c:v>0.45833333333333331</c:v>
                </c:pt>
                <c:pt idx="13">
                  <c:v>0.41666666666666669</c:v>
                </c:pt>
                <c:pt idx="14">
                  <c:v>0</c:v>
                </c:pt>
                <c:pt idx="15">
                  <c:v>0.41666666666666669</c:v>
                </c:pt>
                <c:pt idx="16">
                  <c:v>0.20833333333333334</c:v>
                </c:pt>
                <c:pt idx="17">
                  <c:v>0.29166666666666669</c:v>
                </c:pt>
                <c:pt idx="18">
                  <c:v>0.625</c:v>
                </c:pt>
                <c:pt idx="19">
                  <c:v>0.58333333333333337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56-46AB-AD0E-4C7CCCD46442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956-46AB-AD0E-4C7CCCD4644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'14'!$D$6:$D$32</c:f>
              <c:strCache>
                <c:ptCount val="26"/>
                <c:pt idx="0">
                  <c:v>ADAPTER</c:v>
                </c:pt>
                <c:pt idx="1">
                  <c:v>INNER</c:v>
                </c:pt>
                <c:pt idx="2">
                  <c:v>BASE</c:v>
                </c:pt>
                <c:pt idx="3">
                  <c:v>BASE</c:v>
                </c:pt>
                <c:pt idx="4">
                  <c:v>STOPPER</c:v>
                </c:pt>
                <c:pt idx="5">
                  <c:v>COVER</c:v>
                </c:pt>
                <c:pt idx="6">
                  <c:v>LEAD GUIDER</c:v>
                </c:pt>
                <c:pt idx="7">
                  <c:v>22P</c:v>
                </c:pt>
                <c:pt idx="8">
                  <c:v>LEAD GUIDER</c:v>
                </c:pt>
                <c:pt idx="9">
                  <c:v>BOTTOM</c:v>
                </c:pt>
                <c:pt idx="10">
                  <c:v>BASE</c:v>
                </c:pt>
                <c:pt idx="11">
                  <c:v>RIVET</c:v>
                </c:pt>
                <c:pt idx="12">
                  <c:v>BASE</c:v>
                </c:pt>
                <c:pt idx="13">
                  <c:v>790</c:v>
                </c:pt>
                <c:pt idx="14">
                  <c:v>SLIDER</c:v>
                </c:pt>
                <c:pt idx="16">
                  <c:v>COVER</c:v>
                </c:pt>
                <c:pt idx="18">
                  <c:v>REAR COVER</c:v>
                </c:pt>
                <c:pt idx="19">
                  <c:v>BASE</c:v>
                </c:pt>
                <c:pt idx="23">
                  <c:v>LEAD GUIDER</c:v>
                </c:pt>
                <c:pt idx="24">
                  <c:v>SLIDER</c:v>
                </c:pt>
                <c:pt idx="25">
                  <c:v>COVER</c:v>
                </c:pt>
              </c:strCache>
            </c:strRef>
          </c:cat>
          <c:val>
            <c:numRef>
              <c:f>'14'!$AE$6:$AE$32</c:f>
              <c:numCache>
                <c:formatCode>0%</c:formatCode>
                <c:ptCount val="27"/>
                <c:pt idx="0">
                  <c:v>0.42129629629629628</c:v>
                </c:pt>
                <c:pt idx="1">
                  <c:v>0.42129629629629628</c:v>
                </c:pt>
                <c:pt idx="2">
                  <c:v>0.42129629629629628</c:v>
                </c:pt>
                <c:pt idx="3">
                  <c:v>0.42129629629629628</c:v>
                </c:pt>
                <c:pt idx="4">
                  <c:v>0.42129629629629628</c:v>
                </c:pt>
                <c:pt idx="5">
                  <c:v>0.42129629629629628</c:v>
                </c:pt>
                <c:pt idx="6">
                  <c:v>0.42129629629629628</c:v>
                </c:pt>
                <c:pt idx="7">
                  <c:v>0.42129629629629628</c:v>
                </c:pt>
                <c:pt idx="8">
                  <c:v>0.42129629629629628</c:v>
                </c:pt>
                <c:pt idx="9">
                  <c:v>0.42129629629629628</c:v>
                </c:pt>
                <c:pt idx="10">
                  <c:v>0.42129629629629628</c:v>
                </c:pt>
                <c:pt idx="11">
                  <c:v>0.42129629629629628</c:v>
                </c:pt>
                <c:pt idx="12">
                  <c:v>0.42129629629629628</c:v>
                </c:pt>
                <c:pt idx="13">
                  <c:v>0.42129629629629628</c:v>
                </c:pt>
                <c:pt idx="14">
                  <c:v>0.42129629629629628</c:v>
                </c:pt>
                <c:pt idx="15">
                  <c:v>0.42129629629629628</c:v>
                </c:pt>
                <c:pt idx="16">
                  <c:v>0.42129629629629628</c:v>
                </c:pt>
                <c:pt idx="17">
                  <c:v>0.42129629629629628</c:v>
                </c:pt>
                <c:pt idx="18">
                  <c:v>0.42129629629629628</c:v>
                </c:pt>
                <c:pt idx="19">
                  <c:v>0.42129629629629628</c:v>
                </c:pt>
                <c:pt idx="20">
                  <c:v>0.42129629629629628</c:v>
                </c:pt>
                <c:pt idx="21">
                  <c:v>0.42129629629629628</c:v>
                </c:pt>
                <c:pt idx="22">
                  <c:v>0.42129629629629628</c:v>
                </c:pt>
                <c:pt idx="23">
                  <c:v>0.42129629629629628</c:v>
                </c:pt>
                <c:pt idx="24">
                  <c:v>0.42129629629629628</c:v>
                </c:pt>
                <c:pt idx="25">
                  <c:v>0.42129629629629628</c:v>
                </c:pt>
                <c:pt idx="26">
                  <c:v>0.42129629629629628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56-46AB-AD0E-4C7CCCD46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864127889076517E-2"/>
          <c:y val="6.4095047578651546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'14'!$D$6:$D$32</c:f>
              <c:strCache>
                <c:ptCount val="26"/>
                <c:pt idx="0">
                  <c:v>ADAPTER</c:v>
                </c:pt>
                <c:pt idx="1">
                  <c:v>INNER</c:v>
                </c:pt>
                <c:pt idx="2">
                  <c:v>BASE</c:v>
                </c:pt>
                <c:pt idx="3">
                  <c:v>BASE</c:v>
                </c:pt>
                <c:pt idx="4">
                  <c:v>STOPPER</c:v>
                </c:pt>
                <c:pt idx="5">
                  <c:v>COVER</c:v>
                </c:pt>
                <c:pt idx="6">
                  <c:v>LEAD GUIDER</c:v>
                </c:pt>
                <c:pt idx="7">
                  <c:v>22P</c:v>
                </c:pt>
                <c:pt idx="8">
                  <c:v>LEAD GUIDER</c:v>
                </c:pt>
                <c:pt idx="9">
                  <c:v>BOTTOM</c:v>
                </c:pt>
                <c:pt idx="10">
                  <c:v>BASE</c:v>
                </c:pt>
                <c:pt idx="11">
                  <c:v>RIVET</c:v>
                </c:pt>
                <c:pt idx="12">
                  <c:v>BASE</c:v>
                </c:pt>
                <c:pt idx="13">
                  <c:v>790</c:v>
                </c:pt>
                <c:pt idx="14">
                  <c:v>SLIDER</c:v>
                </c:pt>
                <c:pt idx="16">
                  <c:v>COVER</c:v>
                </c:pt>
                <c:pt idx="18">
                  <c:v>REAR COVER</c:v>
                </c:pt>
                <c:pt idx="19">
                  <c:v>BASE</c:v>
                </c:pt>
                <c:pt idx="23">
                  <c:v>LEAD GUIDER</c:v>
                </c:pt>
                <c:pt idx="24">
                  <c:v>SLIDER</c:v>
                </c:pt>
                <c:pt idx="25">
                  <c:v>COVER</c:v>
                </c:pt>
              </c:strCache>
            </c:strRef>
          </c:cat>
          <c:val>
            <c:numRef>
              <c:f>'14'!$L$6:$L$32</c:f>
              <c:numCache>
                <c:formatCode>_(* #,##0_);_(* \(#,##0\);_(* "-"_);_(@_)</c:formatCode>
                <c:ptCount val="27"/>
                <c:pt idx="1">
                  <c:v>21264</c:v>
                </c:pt>
                <c:pt idx="2">
                  <c:v>217</c:v>
                </c:pt>
                <c:pt idx="3">
                  <c:v>527</c:v>
                </c:pt>
                <c:pt idx="4">
                  <c:v>4751</c:v>
                </c:pt>
                <c:pt idx="5">
                  <c:v>4715</c:v>
                </c:pt>
                <c:pt idx="6">
                  <c:v>800</c:v>
                </c:pt>
                <c:pt idx="7">
                  <c:v>11704</c:v>
                </c:pt>
                <c:pt idx="8">
                  <c:v>4452</c:v>
                </c:pt>
                <c:pt idx="9">
                  <c:v>1379</c:v>
                </c:pt>
                <c:pt idx="12">
                  <c:v>2445</c:v>
                </c:pt>
                <c:pt idx="13">
                  <c:v>5688</c:v>
                </c:pt>
                <c:pt idx="15">
                  <c:v>9340</c:v>
                </c:pt>
                <c:pt idx="16">
                  <c:v>800</c:v>
                </c:pt>
                <c:pt idx="17">
                  <c:v>1229</c:v>
                </c:pt>
                <c:pt idx="18">
                  <c:v>12762</c:v>
                </c:pt>
                <c:pt idx="19">
                  <c:v>6276</c:v>
                </c:pt>
                <c:pt idx="20">
                  <c:v>62760</c:v>
                </c:pt>
                <c:pt idx="21">
                  <c:v>461412</c:v>
                </c:pt>
                <c:pt idx="26">
                  <c:v>81764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6-4E20-B04F-6027D89D5B37}"/>
            </c:ext>
          </c:extLst>
        </c:ser>
        <c:ser>
          <c:idx val="1"/>
          <c:order val="1"/>
          <c:tx>
            <c:v>계획</c:v>
          </c:tx>
          <c:cat>
            <c:strRef>
              <c:f>'14'!$D$6:$D$32</c:f>
              <c:strCache>
                <c:ptCount val="26"/>
                <c:pt idx="0">
                  <c:v>ADAPTER</c:v>
                </c:pt>
                <c:pt idx="1">
                  <c:v>INNER</c:v>
                </c:pt>
                <c:pt idx="2">
                  <c:v>BASE</c:v>
                </c:pt>
                <c:pt idx="3">
                  <c:v>BASE</c:v>
                </c:pt>
                <c:pt idx="4">
                  <c:v>STOPPER</c:v>
                </c:pt>
                <c:pt idx="5">
                  <c:v>COVER</c:v>
                </c:pt>
                <c:pt idx="6">
                  <c:v>LEAD GUIDER</c:v>
                </c:pt>
                <c:pt idx="7">
                  <c:v>22P</c:v>
                </c:pt>
                <c:pt idx="8">
                  <c:v>LEAD GUIDER</c:v>
                </c:pt>
                <c:pt idx="9">
                  <c:v>BOTTOM</c:v>
                </c:pt>
                <c:pt idx="10">
                  <c:v>BASE</c:v>
                </c:pt>
                <c:pt idx="11">
                  <c:v>RIVET</c:v>
                </c:pt>
                <c:pt idx="12">
                  <c:v>BASE</c:v>
                </c:pt>
                <c:pt idx="13">
                  <c:v>790</c:v>
                </c:pt>
                <c:pt idx="14">
                  <c:v>SLIDER</c:v>
                </c:pt>
                <c:pt idx="16">
                  <c:v>COVER</c:v>
                </c:pt>
                <c:pt idx="18">
                  <c:v>REAR COVER</c:v>
                </c:pt>
                <c:pt idx="19">
                  <c:v>BASE</c:v>
                </c:pt>
                <c:pt idx="23">
                  <c:v>LEAD GUIDER</c:v>
                </c:pt>
                <c:pt idx="24">
                  <c:v>SLIDER</c:v>
                </c:pt>
                <c:pt idx="25">
                  <c:v>COVER</c:v>
                </c:pt>
              </c:strCache>
            </c:strRef>
          </c:cat>
          <c:val>
            <c:numRef>
              <c:f>'14'!$J$6:$J$32</c:f>
              <c:numCache>
                <c:formatCode>_(* #,##0_);_(* \(#,##0\);_(* "-"_);_(@_)</c:formatCode>
                <c:ptCount val="27"/>
                <c:pt idx="0">
                  <c:v>655</c:v>
                </c:pt>
                <c:pt idx="1">
                  <c:v>21264</c:v>
                </c:pt>
                <c:pt idx="2">
                  <c:v>217</c:v>
                </c:pt>
                <c:pt idx="3">
                  <c:v>527</c:v>
                </c:pt>
                <c:pt idx="4">
                  <c:v>4751</c:v>
                </c:pt>
                <c:pt idx="5">
                  <c:v>4715</c:v>
                </c:pt>
                <c:pt idx="6">
                  <c:v>800</c:v>
                </c:pt>
                <c:pt idx="7">
                  <c:v>11704</c:v>
                </c:pt>
                <c:pt idx="8">
                  <c:v>4452</c:v>
                </c:pt>
                <c:pt idx="9">
                  <c:v>1379</c:v>
                </c:pt>
                <c:pt idx="10">
                  <c:v>391</c:v>
                </c:pt>
                <c:pt idx="11">
                  <c:v>40504</c:v>
                </c:pt>
                <c:pt idx="12">
                  <c:v>2445</c:v>
                </c:pt>
                <c:pt idx="13">
                  <c:v>5688</c:v>
                </c:pt>
                <c:pt idx="14">
                  <c:v>10178</c:v>
                </c:pt>
                <c:pt idx="15">
                  <c:v>9340</c:v>
                </c:pt>
                <c:pt idx="16">
                  <c:v>800</c:v>
                </c:pt>
                <c:pt idx="17">
                  <c:v>1229</c:v>
                </c:pt>
                <c:pt idx="18">
                  <c:v>12762</c:v>
                </c:pt>
                <c:pt idx="19">
                  <c:v>6276</c:v>
                </c:pt>
                <c:pt idx="20">
                  <c:v>62760</c:v>
                </c:pt>
                <c:pt idx="21">
                  <c:v>461412</c:v>
                </c:pt>
                <c:pt idx="22">
                  <c:v>0</c:v>
                </c:pt>
                <c:pt idx="23">
                  <c:v>31996</c:v>
                </c:pt>
                <c:pt idx="24">
                  <c:v>28802</c:v>
                </c:pt>
                <c:pt idx="25">
                  <c:v>26944</c:v>
                </c:pt>
                <c:pt idx="26">
                  <c:v>81764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E6-4E20-B04F-6027D89D5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'14'!$AD$6:$AD$32</c:f>
              <c:strCache>
                <c:ptCount val="27"/>
                <c:pt idx="0">
                  <c:v>0%</c:v>
                </c:pt>
                <c:pt idx="1">
                  <c:v>100%</c:v>
                </c:pt>
                <c:pt idx="2">
                  <c:v>17%</c:v>
                </c:pt>
                <c:pt idx="3">
                  <c:v>29%</c:v>
                </c:pt>
                <c:pt idx="4">
                  <c:v>83%</c:v>
                </c:pt>
                <c:pt idx="5">
                  <c:v>100%</c:v>
                </c:pt>
                <c:pt idx="6">
                  <c:v>21%</c:v>
                </c:pt>
                <c:pt idx="7">
                  <c:v>54%</c:v>
                </c:pt>
                <c:pt idx="8">
                  <c:v>96%</c:v>
                </c:pt>
                <c:pt idx="9">
                  <c:v>38%</c:v>
                </c:pt>
                <c:pt idx="10">
                  <c:v>0%</c:v>
                </c:pt>
                <c:pt idx="11">
                  <c:v>0%</c:v>
                </c:pt>
                <c:pt idx="12">
                  <c:v>46%</c:v>
                </c:pt>
                <c:pt idx="13">
                  <c:v>42%</c:v>
                </c:pt>
                <c:pt idx="14">
                  <c:v>0%</c:v>
                </c:pt>
                <c:pt idx="15">
                  <c:v>42%</c:v>
                </c:pt>
                <c:pt idx="16">
                  <c:v>21%</c:v>
                </c:pt>
                <c:pt idx="17">
                  <c:v>29%</c:v>
                </c:pt>
                <c:pt idx="18">
                  <c:v>63%</c:v>
                </c:pt>
                <c:pt idx="19">
                  <c:v>58%</c:v>
                </c:pt>
                <c:pt idx="20">
                  <c:v>100%</c:v>
                </c:pt>
                <c:pt idx="21">
                  <c:v>100%</c:v>
                </c:pt>
                <c:pt idx="22">
                  <c:v>0%</c:v>
                </c:pt>
                <c:pt idx="23">
                  <c:v>0%</c:v>
                </c:pt>
                <c:pt idx="24">
                  <c:v>0%</c:v>
                </c:pt>
                <c:pt idx="25">
                  <c:v>0%</c:v>
                </c:pt>
                <c:pt idx="26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'14'!$D$6:$D$32</c:f>
              <c:strCache>
                <c:ptCount val="26"/>
                <c:pt idx="0">
                  <c:v>ADAPTER</c:v>
                </c:pt>
                <c:pt idx="1">
                  <c:v>INNER</c:v>
                </c:pt>
                <c:pt idx="2">
                  <c:v>BASE</c:v>
                </c:pt>
                <c:pt idx="3">
                  <c:v>BASE</c:v>
                </c:pt>
                <c:pt idx="4">
                  <c:v>STOPPER</c:v>
                </c:pt>
                <c:pt idx="5">
                  <c:v>COVER</c:v>
                </c:pt>
                <c:pt idx="6">
                  <c:v>LEAD GUIDER</c:v>
                </c:pt>
                <c:pt idx="7">
                  <c:v>22P</c:v>
                </c:pt>
                <c:pt idx="8">
                  <c:v>LEAD GUIDER</c:v>
                </c:pt>
                <c:pt idx="9">
                  <c:v>BOTTOM</c:v>
                </c:pt>
                <c:pt idx="10">
                  <c:v>BASE</c:v>
                </c:pt>
                <c:pt idx="11">
                  <c:v>RIVET</c:v>
                </c:pt>
                <c:pt idx="12">
                  <c:v>BASE</c:v>
                </c:pt>
                <c:pt idx="13">
                  <c:v>790</c:v>
                </c:pt>
                <c:pt idx="14">
                  <c:v>SLIDER</c:v>
                </c:pt>
                <c:pt idx="16">
                  <c:v>COVER</c:v>
                </c:pt>
                <c:pt idx="18">
                  <c:v>REAR COVER</c:v>
                </c:pt>
                <c:pt idx="19">
                  <c:v>BASE</c:v>
                </c:pt>
                <c:pt idx="23">
                  <c:v>LEAD GUIDER</c:v>
                </c:pt>
                <c:pt idx="24">
                  <c:v>SLIDER</c:v>
                </c:pt>
                <c:pt idx="25">
                  <c:v>COVER</c:v>
                </c:pt>
              </c:strCache>
            </c:strRef>
          </c:cat>
          <c:val>
            <c:numRef>
              <c:f>'14'!$AD$6:$AD$32</c:f>
              <c:numCache>
                <c:formatCode>0%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0.16666666666666666</c:v>
                </c:pt>
                <c:pt idx="3">
                  <c:v>0.29166666666666669</c:v>
                </c:pt>
                <c:pt idx="4">
                  <c:v>0.83333333333333337</c:v>
                </c:pt>
                <c:pt idx="5">
                  <c:v>1</c:v>
                </c:pt>
                <c:pt idx="6">
                  <c:v>0.20833333333333334</c:v>
                </c:pt>
                <c:pt idx="7">
                  <c:v>0.54166666666666663</c:v>
                </c:pt>
                <c:pt idx="8">
                  <c:v>0.95833333333333337</c:v>
                </c:pt>
                <c:pt idx="9">
                  <c:v>0.375</c:v>
                </c:pt>
                <c:pt idx="10">
                  <c:v>0</c:v>
                </c:pt>
                <c:pt idx="11">
                  <c:v>0</c:v>
                </c:pt>
                <c:pt idx="12">
                  <c:v>0.45833333333333331</c:v>
                </c:pt>
                <c:pt idx="13">
                  <c:v>0.41666666666666669</c:v>
                </c:pt>
                <c:pt idx="14">
                  <c:v>0</c:v>
                </c:pt>
                <c:pt idx="15">
                  <c:v>0.41666666666666669</c:v>
                </c:pt>
                <c:pt idx="16">
                  <c:v>0.20833333333333334</c:v>
                </c:pt>
                <c:pt idx="17">
                  <c:v>0.29166666666666669</c:v>
                </c:pt>
                <c:pt idx="18">
                  <c:v>0.625</c:v>
                </c:pt>
                <c:pt idx="19">
                  <c:v>0.58333333333333337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C-4493-B02C-D09E539F1F4F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5C-4493-B02C-D09E539F1F4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'14'!$D$6:$D$32</c:f>
              <c:strCache>
                <c:ptCount val="26"/>
                <c:pt idx="0">
                  <c:v>ADAPTER</c:v>
                </c:pt>
                <c:pt idx="1">
                  <c:v>INNER</c:v>
                </c:pt>
                <c:pt idx="2">
                  <c:v>BASE</c:v>
                </c:pt>
                <c:pt idx="3">
                  <c:v>BASE</c:v>
                </c:pt>
                <c:pt idx="4">
                  <c:v>STOPPER</c:v>
                </c:pt>
                <c:pt idx="5">
                  <c:v>COVER</c:v>
                </c:pt>
                <c:pt idx="6">
                  <c:v>LEAD GUIDER</c:v>
                </c:pt>
                <c:pt idx="7">
                  <c:v>22P</c:v>
                </c:pt>
                <c:pt idx="8">
                  <c:v>LEAD GUIDER</c:v>
                </c:pt>
                <c:pt idx="9">
                  <c:v>BOTTOM</c:v>
                </c:pt>
                <c:pt idx="10">
                  <c:v>BASE</c:v>
                </c:pt>
                <c:pt idx="11">
                  <c:v>RIVET</c:v>
                </c:pt>
                <c:pt idx="12">
                  <c:v>BASE</c:v>
                </c:pt>
                <c:pt idx="13">
                  <c:v>790</c:v>
                </c:pt>
                <c:pt idx="14">
                  <c:v>SLIDER</c:v>
                </c:pt>
                <c:pt idx="16">
                  <c:v>COVER</c:v>
                </c:pt>
                <c:pt idx="18">
                  <c:v>REAR COVER</c:v>
                </c:pt>
                <c:pt idx="19">
                  <c:v>BASE</c:v>
                </c:pt>
                <c:pt idx="23">
                  <c:v>LEAD GUIDER</c:v>
                </c:pt>
                <c:pt idx="24">
                  <c:v>SLIDER</c:v>
                </c:pt>
                <c:pt idx="25">
                  <c:v>COVER</c:v>
                </c:pt>
              </c:strCache>
            </c:strRef>
          </c:cat>
          <c:val>
            <c:numRef>
              <c:f>'14'!$AE$6:$AE$32</c:f>
              <c:numCache>
                <c:formatCode>0%</c:formatCode>
                <c:ptCount val="27"/>
                <c:pt idx="0">
                  <c:v>0.42129629629629628</c:v>
                </c:pt>
                <c:pt idx="1">
                  <c:v>0.42129629629629628</c:v>
                </c:pt>
                <c:pt idx="2">
                  <c:v>0.42129629629629628</c:v>
                </c:pt>
                <c:pt idx="3">
                  <c:v>0.42129629629629628</c:v>
                </c:pt>
                <c:pt idx="4">
                  <c:v>0.42129629629629628</c:v>
                </c:pt>
                <c:pt idx="5">
                  <c:v>0.42129629629629628</c:v>
                </c:pt>
                <c:pt idx="6">
                  <c:v>0.42129629629629628</c:v>
                </c:pt>
                <c:pt idx="7">
                  <c:v>0.42129629629629628</c:v>
                </c:pt>
                <c:pt idx="8">
                  <c:v>0.42129629629629628</c:v>
                </c:pt>
                <c:pt idx="9">
                  <c:v>0.42129629629629628</c:v>
                </c:pt>
                <c:pt idx="10">
                  <c:v>0.42129629629629628</c:v>
                </c:pt>
                <c:pt idx="11">
                  <c:v>0.42129629629629628</c:v>
                </c:pt>
                <c:pt idx="12">
                  <c:v>0.42129629629629628</c:v>
                </c:pt>
                <c:pt idx="13">
                  <c:v>0.42129629629629628</c:v>
                </c:pt>
                <c:pt idx="14">
                  <c:v>0.42129629629629628</c:v>
                </c:pt>
                <c:pt idx="15">
                  <c:v>0.42129629629629628</c:v>
                </c:pt>
                <c:pt idx="16">
                  <c:v>0.42129629629629628</c:v>
                </c:pt>
                <c:pt idx="17">
                  <c:v>0.42129629629629628</c:v>
                </c:pt>
                <c:pt idx="18">
                  <c:v>0.42129629629629628</c:v>
                </c:pt>
                <c:pt idx="19">
                  <c:v>0.42129629629629628</c:v>
                </c:pt>
                <c:pt idx="20">
                  <c:v>0.42129629629629628</c:v>
                </c:pt>
                <c:pt idx="21">
                  <c:v>0.42129629629629628</c:v>
                </c:pt>
                <c:pt idx="22">
                  <c:v>0.42129629629629628</c:v>
                </c:pt>
                <c:pt idx="23">
                  <c:v>0.42129629629629628</c:v>
                </c:pt>
                <c:pt idx="24">
                  <c:v>0.42129629629629628</c:v>
                </c:pt>
                <c:pt idx="25">
                  <c:v>0.42129629629629628</c:v>
                </c:pt>
                <c:pt idx="26">
                  <c:v>0.42129629629629628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5C-4493-B02C-D09E539F1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총괄!$A$25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6D8B-4E8B-953C-16773587B2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총괄!$B$25:$AG$25</c:f>
              <c:numCache>
                <c:formatCode>0%</c:formatCode>
                <c:ptCount val="32"/>
                <c:pt idx="0">
                  <c:v>0.59455128205128216</c:v>
                </c:pt>
                <c:pt idx="1">
                  <c:v>0.64666666666666672</c:v>
                </c:pt>
                <c:pt idx="2">
                  <c:v>0.53166666666666662</c:v>
                </c:pt>
                <c:pt idx="3">
                  <c:v>0.46376811594202894</c:v>
                </c:pt>
                <c:pt idx="5">
                  <c:v>0.47159090909090912</c:v>
                </c:pt>
                <c:pt idx="6">
                  <c:v>0.40705128205128205</c:v>
                </c:pt>
                <c:pt idx="7">
                  <c:v>0.3737847222222222</c:v>
                </c:pt>
                <c:pt idx="8">
                  <c:v>0.56310012437810952</c:v>
                </c:pt>
                <c:pt idx="9">
                  <c:v>0.55862000713761029</c:v>
                </c:pt>
                <c:pt idx="12">
                  <c:v>0.60416666666666652</c:v>
                </c:pt>
                <c:pt idx="13">
                  <c:v>0.42129629629629628</c:v>
                </c:pt>
                <c:pt idx="14">
                  <c:v>0.50666666666666671</c:v>
                </c:pt>
                <c:pt idx="15">
                  <c:v>0.58333333333333337</c:v>
                </c:pt>
                <c:pt idx="16">
                  <c:v>0.6382575757575758</c:v>
                </c:pt>
                <c:pt idx="22">
                  <c:v>0.58876811594202916</c:v>
                </c:pt>
                <c:pt idx="23">
                  <c:v>0.67424242424242431</c:v>
                </c:pt>
                <c:pt idx="26">
                  <c:v>0.40909090909090901</c:v>
                </c:pt>
                <c:pt idx="27">
                  <c:v>0.47463768115942034</c:v>
                </c:pt>
                <c:pt idx="28">
                  <c:v>0.43840579710144922</c:v>
                </c:pt>
                <c:pt idx="29">
                  <c:v>0.61413043478260865</c:v>
                </c:pt>
                <c:pt idx="31">
                  <c:v>0.35212652257487181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8B-4E8B-953C-16773587B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D8B-4E8B-953C-16773587B2B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총괄!$B$26:$AG$26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8B-4E8B-953C-16773587B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'15'!$D$6:$D$30</c:f>
              <c:strCache>
                <c:ptCount val="24"/>
                <c:pt idx="0">
                  <c:v>ADAPTER</c:v>
                </c:pt>
                <c:pt idx="1">
                  <c:v>INNER</c:v>
                </c:pt>
                <c:pt idx="2">
                  <c:v>BASE</c:v>
                </c:pt>
                <c:pt idx="3">
                  <c:v>STOPPER</c:v>
                </c:pt>
                <c:pt idx="4">
                  <c:v>COVER</c:v>
                </c:pt>
                <c:pt idx="5">
                  <c:v>SLIDER</c:v>
                </c:pt>
                <c:pt idx="6">
                  <c:v>22P</c:v>
                </c:pt>
                <c:pt idx="7">
                  <c:v>LEAD GUIDER</c:v>
                </c:pt>
                <c:pt idx="8">
                  <c:v>TOP</c:v>
                </c:pt>
                <c:pt idx="9">
                  <c:v>BASE</c:v>
                </c:pt>
                <c:pt idx="10">
                  <c:v>ADAPTER</c:v>
                </c:pt>
                <c:pt idx="11">
                  <c:v>SLIDER</c:v>
                </c:pt>
                <c:pt idx="12">
                  <c:v>790</c:v>
                </c:pt>
                <c:pt idx="13">
                  <c:v>SLIDER</c:v>
                </c:pt>
                <c:pt idx="14">
                  <c:v>BASE</c:v>
                </c:pt>
                <c:pt idx="15">
                  <c:v>LATCH</c:v>
                </c:pt>
                <c:pt idx="16">
                  <c:v>REAR COVER</c:v>
                </c:pt>
                <c:pt idx="17">
                  <c:v>BASE</c:v>
                </c:pt>
                <c:pt idx="21">
                  <c:v>LEAD GUIDER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'15'!$L$6:$L$30</c:f>
              <c:numCache>
                <c:formatCode>_(* #,##0_);_(* \(#,##0\);_(* "-"_);_(@_)</c:formatCode>
                <c:ptCount val="25"/>
                <c:pt idx="0">
                  <c:v>5402</c:v>
                </c:pt>
                <c:pt idx="1">
                  <c:v>21702</c:v>
                </c:pt>
                <c:pt idx="2">
                  <c:v>719</c:v>
                </c:pt>
                <c:pt idx="3">
                  <c:v>4306</c:v>
                </c:pt>
                <c:pt idx="4">
                  <c:v>1739</c:v>
                </c:pt>
                <c:pt idx="5">
                  <c:v>976</c:v>
                </c:pt>
                <c:pt idx="6">
                  <c:v>13952</c:v>
                </c:pt>
                <c:pt idx="7">
                  <c:v>3191</c:v>
                </c:pt>
                <c:pt idx="8">
                  <c:v>3357</c:v>
                </c:pt>
                <c:pt idx="10">
                  <c:v>5920</c:v>
                </c:pt>
                <c:pt idx="11">
                  <c:v>8262</c:v>
                </c:pt>
                <c:pt idx="12">
                  <c:v>2384</c:v>
                </c:pt>
                <c:pt idx="13">
                  <c:v>13281</c:v>
                </c:pt>
                <c:pt idx="14">
                  <c:v>950</c:v>
                </c:pt>
                <c:pt idx="15">
                  <c:v>2240</c:v>
                </c:pt>
                <c:pt idx="16">
                  <c:v>18085</c:v>
                </c:pt>
                <c:pt idx="17">
                  <c:v>9709</c:v>
                </c:pt>
                <c:pt idx="18">
                  <c:v>62928</c:v>
                </c:pt>
                <c:pt idx="19">
                  <c:v>245056</c:v>
                </c:pt>
                <c:pt idx="24">
                  <c:v>83428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DC-410D-9834-F2A68CA4ED71}"/>
            </c:ext>
          </c:extLst>
        </c:ser>
        <c:ser>
          <c:idx val="1"/>
          <c:order val="1"/>
          <c:tx>
            <c:v>계획</c:v>
          </c:tx>
          <c:cat>
            <c:strRef>
              <c:f>'15'!$D$6:$D$30</c:f>
              <c:strCache>
                <c:ptCount val="24"/>
                <c:pt idx="0">
                  <c:v>ADAPTER</c:v>
                </c:pt>
                <c:pt idx="1">
                  <c:v>INNER</c:v>
                </c:pt>
                <c:pt idx="2">
                  <c:v>BASE</c:v>
                </c:pt>
                <c:pt idx="3">
                  <c:v>STOPPER</c:v>
                </c:pt>
                <c:pt idx="4">
                  <c:v>COVER</c:v>
                </c:pt>
                <c:pt idx="5">
                  <c:v>SLIDER</c:v>
                </c:pt>
                <c:pt idx="6">
                  <c:v>22P</c:v>
                </c:pt>
                <c:pt idx="7">
                  <c:v>LEAD GUIDER</c:v>
                </c:pt>
                <c:pt idx="8">
                  <c:v>TOP</c:v>
                </c:pt>
                <c:pt idx="9">
                  <c:v>BASE</c:v>
                </c:pt>
                <c:pt idx="10">
                  <c:v>ADAPTER</c:v>
                </c:pt>
                <c:pt idx="11">
                  <c:v>SLIDER</c:v>
                </c:pt>
                <c:pt idx="12">
                  <c:v>790</c:v>
                </c:pt>
                <c:pt idx="13">
                  <c:v>SLIDER</c:v>
                </c:pt>
                <c:pt idx="14">
                  <c:v>BASE</c:v>
                </c:pt>
                <c:pt idx="15">
                  <c:v>LATCH</c:v>
                </c:pt>
                <c:pt idx="16">
                  <c:v>REAR COVER</c:v>
                </c:pt>
                <c:pt idx="17">
                  <c:v>BASE</c:v>
                </c:pt>
                <c:pt idx="21">
                  <c:v>LEAD GUIDER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'15'!$J$6:$J$30</c:f>
              <c:numCache>
                <c:formatCode>_(* #,##0_);_(* \(#,##0\);_(* "-"_);_(@_)</c:formatCode>
                <c:ptCount val="25"/>
                <c:pt idx="0">
                  <c:v>5402</c:v>
                </c:pt>
                <c:pt idx="1">
                  <c:v>21702</c:v>
                </c:pt>
                <c:pt idx="2">
                  <c:v>719</c:v>
                </c:pt>
                <c:pt idx="3">
                  <c:v>4306</c:v>
                </c:pt>
                <c:pt idx="4">
                  <c:v>1739</c:v>
                </c:pt>
                <c:pt idx="5">
                  <c:v>976</c:v>
                </c:pt>
                <c:pt idx="6">
                  <c:v>13952</c:v>
                </c:pt>
                <c:pt idx="7">
                  <c:v>3191</c:v>
                </c:pt>
                <c:pt idx="8">
                  <c:v>3357</c:v>
                </c:pt>
                <c:pt idx="9">
                  <c:v>391</c:v>
                </c:pt>
                <c:pt idx="10">
                  <c:v>5920</c:v>
                </c:pt>
                <c:pt idx="11">
                  <c:v>8262</c:v>
                </c:pt>
                <c:pt idx="12">
                  <c:v>2384</c:v>
                </c:pt>
                <c:pt idx="13">
                  <c:v>13281</c:v>
                </c:pt>
                <c:pt idx="14">
                  <c:v>950</c:v>
                </c:pt>
                <c:pt idx="15">
                  <c:v>2240</c:v>
                </c:pt>
                <c:pt idx="16">
                  <c:v>18085</c:v>
                </c:pt>
                <c:pt idx="17">
                  <c:v>9709</c:v>
                </c:pt>
                <c:pt idx="18">
                  <c:v>62928</c:v>
                </c:pt>
                <c:pt idx="19">
                  <c:v>245056</c:v>
                </c:pt>
                <c:pt idx="20">
                  <c:v>0</c:v>
                </c:pt>
                <c:pt idx="21">
                  <c:v>31996</c:v>
                </c:pt>
                <c:pt idx="22">
                  <c:v>28802</c:v>
                </c:pt>
                <c:pt idx="23">
                  <c:v>26944</c:v>
                </c:pt>
                <c:pt idx="24">
                  <c:v>83428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DC-410D-9834-F2A68CA4E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'15'!$AD$6:$AD$30</c:f>
              <c:strCache>
                <c:ptCount val="25"/>
                <c:pt idx="0">
                  <c:v>58%</c:v>
                </c:pt>
                <c:pt idx="1">
                  <c:v>100%</c:v>
                </c:pt>
                <c:pt idx="2">
                  <c:v>42%</c:v>
                </c:pt>
                <c:pt idx="3">
                  <c:v>88%</c:v>
                </c:pt>
                <c:pt idx="4">
                  <c:v>33%</c:v>
                </c:pt>
                <c:pt idx="5">
                  <c:v>21%</c:v>
                </c:pt>
                <c:pt idx="6">
                  <c:v>42%</c:v>
                </c:pt>
                <c:pt idx="7">
                  <c:v>75%</c:v>
                </c:pt>
                <c:pt idx="8">
                  <c:v>88%</c:v>
                </c:pt>
                <c:pt idx="9">
                  <c:v>0%</c:v>
                </c:pt>
                <c:pt idx="10">
                  <c:v>58%</c:v>
                </c:pt>
                <c:pt idx="11">
                  <c:v>67%</c:v>
                </c:pt>
                <c:pt idx="12">
                  <c:v>25%</c:v>
                </c:pt>
                <c:pt idx="13">
                  <c:v>83%</c:v>
                </c:pt>
                <c:pt idx="14">
                  <c:v>25%</c:v>
                </c:pt>
                <c:pt idx="15">
                  <c:v>25%</c:v>
                </c:pt>
                <c:pt idx="16">
                  <c:v>100%</c:v>
                </c:pt>
                <c:pt idx="17">
                  <c:v>92%</c:v>
                </c:pt>
                <c:pt idx="18">
                  <c:v>100%</c:v>
                </c:pt>
                <c:pt idx="19">
                  <c:v>46%</c:v>
                </c:pt>
                <c:pt idx="20">
                  <c:v>0%</c:v>
                </c:pt>
                <c:pt idx="21">
                  <c:v>0%</c:v>
                </c:pt>
                <c:pt idx="22">
                  <c:v>0%</c:v>
                </c:pt>
                <c:pt idx="23">
                  <c:v>0%</c:v>
                </c:pt>
                <c:pt idx="24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'15'!$D$6:$D$30</c:f>
              <c:strCache>
                <c:ptCount val="24"/>
                <c:pt idx="0">
                  <c:v>ADAPTER</c:v>
                </c:pt>
                <c:pt idx="1">
                  <c:v>INNER</c:v>
                </c:pt>
                <c:pt idx="2">
                  <c:v>BASE</c:v>
                </c:pt>
                <c:pt idx="3">
                  <c:v>STOPPER</c:v>
                </c:pt>
                <c:pt idx="4">
                  <c:v>COVER</c:v>
                </c:pt>
                <c:pt idx="5">
                  <c:v>SLIDER</c:v>
                </c:pt>
                <c:pt idx="6">
                  <c:v>22P</c:v>
                </c:pt>
                <c:pt idx="7">
                  <c:v>LEAD GUIDER</c:v>
                </c:pt>
                <c:pt idx="8">
                  <c:v>TOP</c:v>
                </c:pt>
                <c:pt idx="9">
                  <c:v>BASE</c:v>
                </c:pt>
                <c:pt idx="10">
                  <c:v>ADAPTER</c:v>
                </c:pt>
                <c:pt idx="11">
                  <c:v>SLIDER</c:v>
                </c:pt>
                <c:pt idx="12">
                  <c:v>790</c:v>
                </c:pt>
                <c:pt idx="13">
                  <c:v>SLIDER</c:v>
                </c:pt>
                <c:pt idx="14">
                  <c:v>BASE</c:v>
                </c:pt>
                <c:pt idx="15">
                  <c:v>LATCH</c:v>
                </c:pt>
                <c:pt idx="16">
                  <c:v>REAR COVER</c:v>
                </c:pt>
                <c:pt idx="17">
                  <c:v>BASE</c:v>
                </c:pt>
                <c:pt idx="21">
                  <c:v>LEAD GUIDER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'15'!$AD$6:$AD$30</c:f>
              <c:numCache>
                <c:formatCode>0%</c:formatCode>
                <c:ptCount val="25"/>
                <c:pt idx="0">
                  <c:v>0.58333333333333337</c:v>
                </c:pt>
                <c:pt idx="1">
                  <c:v>1</c:v>
                </c:pt>
                <c:pt idx="2">
                  <c:v>0.41666666666666669</c:v>
                </c:pt>
                <c:pt idx="3">
                  <c:v>0.875</c:v>
                </c:pt>
                <c:pt idx="4">
                  <c:v>0.33333333333333331</c:v>
                </c:pt>
                <c:pt idx="5">
                  <c:v>0.20833333333333334</c:v>
                </c:pt>
                <c:pt idx="6">
                  <c:v>0.41666666666666669</c:v>
                </c:pt>
                <c:pt idx="7">
                  <c:v>0.75</c:v>
                </c:pt>
                <c:pt idx="8">
                  <c:v>0.875</c:v>
                </c:pt>
                <c:pt idx="9">
                  <c:v>0</c:v>
                </c:pt>
                <c:pt idx="10">
                  <c:v>0.58333333333333337</c:v>
                </c:pt>
                <c:pt idx="11">
                  <c:v>0.66666666666666663</c:v>
                </c:pt>
                <c:pt idx="12">
                  <c:v>0.25</c:v>
                </c:pt>
                <c:pt idx="13">
                  <c:v>0.83333333333333337</c:v>
                </c:pt>
                <c:pt idx="14">
                  <c:v>0.25</c:v>
                </c:pt>
                <c:pt idx="15">
                  <c:v>0.25</c:v>
                </c:pt>
                <c:pt idx="16">
                  <c:v>1</c:v>
                </c:pt>
                <c:pt idx="17">
                  <c:v>0.91666666666666663</c:v>
                </c:pt>
                <c:pt idx="18">
                  <c:v>1</c:v>
                </c:pt>
                <c:pt idx="19">
                  <c:v>0.45833333333333331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B6-4191-8A26-D8293E1ECA1B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B6-4191-8A26-D8293E1ECA1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'15'!$D$6:$D$30</c:f>
              <c:strCache>
                <c:ptCount val="24"/>
                <c:pt idx="0">
                  <c:v>ADAPTER</c:v>
                </c:pt>
                <c:pt idx="1">
                  <c:v>INNER</c:v>
                </c:pt>
                <c:pt idx="2">
                  <c:v>BASE</c:v>
                </c:pt>
                <c:pt idx="3">
                  <c:v>STOPPER</c:v>
                </c:pt>
                <c:pt idx="4">
                  <c:v>COVER</c:v>
                </c:pt>
                <c:pt idx="5">
                  <c:v>SLIDER</c:v>
                </c:pt>
                <c:pt idx="6">
                  <c:v>22P</c:v>
                </c:pt>
                <c:pt idx="7">
                  <c:v>LEAD GUIDER</c:v>
                </c:pt>
                <c:pt idx="8">
                  <c:v>TOP</c:v>
                </c:pt>
                <c:pt idx="9">
                  <c:v>BASE</c:v>
                </c:pt>
                <c:pt idx="10">
                  <c:v>ADAPTER</c:v>
                </c:pt>
                <c:pt idx="11">
                  <c:v>SLIDER</c:v>
                </c:pt>
                <c:pt idx="12">
                  <c:v>790</c:v>
                </c:pt>
                <c:pt idx="13">
                  <c:v>SLIDER</c:v>
                </c:pt>
                <c:pt idx="14">
                  <c:v>BASE</c:v>
                </c:pt>
                <c:pt idx="15">
                  <c:v>LATCH</c:v>
                </c:pt>
                <c:pt idx="16">
                  <c:v>REAR COVER</c:v>
                </c:pt>
                <c:pt idx="17">
                  <c:v>BASE</c:v>
                </c:pt>
                <c:pt idx="21">
                  <c:v>LEAD GUIDER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'15'!$AE$6:$AE$30</c:f>
              <c:numCache>
                <c:formatCode>0%</c:formatCode>
                <c:ptCount val="25"/>
                <c:pt idx="0">
                  <c:v>0.50666666666666671</c:v>
                </c:pt>
                <c:pt idx="1">
                  <c:v>0.50666666666666671</c:v>
                </c:pt>
                <c:pt idx="2">
                  <c:v>0.50666666666666671</c:v>
                </c:pt>
                <c:pt idx="3">
                  <c:v>0.50666666666666671</c:v>
                </c:pt>
                <c:pt idx="4">
                  <c:v>0.50666666666666671</c:v>
                </c:pt>
                <c:pt idx="5">
                  <c:v>0.50666666666666671</c:v>
                </c:pt>
                <c:pt idx="6">
                  <c:v>0.50666666666666671</c:v>
                </c:pt>
                <c:pt idx="7">
                  <c:v>0.50666666666666671</c:v>
                </c:pt>
                <c:pt idx="8">
                  <c:v>0.50666666666666671</c:v>
                </c:pt>
                <c:pt idx="9">
                  <c:v>0.50666666666666671</c:v>
                </c:pt>
                <c:pt idx="10">
                  <c:v>0.50666666666666671</c:v>
                </c:pt>
                <c:pt idx="11">
                  <c:v>0.50666666666666671</c:v>
                </c:pt>
                <c:pt idx="12">
                  <c:v>0.50666666666666671</c:v>
                </c:pt>
                <c:pt idx="13">
                  <c:v>0.50666666666666671</c:v>
                </c:pt>
                <c:pt idx="14">
                  <c:v>0.50666666666666671</c:v>
                </c:pt>
                <c:pt idx="15">
                  <c:v>0.50666666666666671</c:v>
                </c:pt>
                <c:pt idx="16">
                  <c:v>0.50666666666666671</c:v>
                </c:pt>
                <c:pt idx="17">
                  <c:v>0.50666666666666671</c:v>
                </c:pt>
                <c:pt idx="18">
                  <c:v>0.50666666666666671</c:v>
                </c:pt>
                <c:pt idx="19">
                  <c:v>0.50666666666666671</c:v>
                </c:pt>
                <c:pt idx="20">
                  <c:v>0.50666666666666671</c:v>
                </c:pt>
                <c:pt idx="21">
                  <c:v>0.50666666666666671</c:v>
                </c:pt>
                <c:pt idx="22">
                  <c:v>0.50666666666666671</c:v>
                </c:pt>
                <c:pt idx="23">
                  <c:v>0.50666666666666671</c:v>
                </c:pt>
                <c:pt idx="24">
                  <c:v>0.50666666666666671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B6-4191-8A26-D8293E1EC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864127889076517E-2"/>
          <c:y val="6.4095047578651546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'15'!$D$6:$D$30</c:f>
              <c:strCache>
                <c:ptCount val="24"/>
                <c:pt idx="0">
                  <c:v>ADAPTER</c:v>
                </c:pt>
                <c:pt idx="1">
                  <c:v>INNER</c:v>
                </c:pt>
                <c:pt idx="2">
                  <c:v>BASE</c:v>
                </c:pt>
                <c:pt idx="3">
                  <c:v>STOPPER</c:v>
                </c:pt>
                <c:pt idx="4">
                  <c:v>COVER</c:v>
                </c:pt>
                <c:pt idx="5">
                  <c:v>SLIDER</c:v>
                </c:pt>
                <c:pt idx="6">
                  <c:v>22P</c:v>
                </c:pt>
                <c:pt idx="7">
                  <c:v>LEAD GUIDER</c:v>
                </c:pt>
                <c:pt idx="8">
                  <c:v>TOP</c:v>
                </c:pt>
                <c:pt idx="9">
                  <c:v>BASE</c:v>
                </c:pt>
                <c:pt idx="10">
                  <c:v>ADAPTER</c:v>
                </c:pt>
                <c:pt idx="11">
                  <c:v>SLIDER</c:v>
                </c:pt>
                <c:pt idx="12">
                  <c:v>790</c:v>
                </c:pt>
                <c:pt idx="13">
                  <c:v>SLIDER</c:v>
                </c:pt>
                <c:pt idx="14">
                  <c:v>BASE</c:v>
                </c:pt>
                <c:pt idx="15">
                  <c:v>LATCH</c:v>
                </c:pt>
                <c:pt idx="16">
                  <c:v>REAR COVER</c:v>
                </c:pt>
                <c:pt idx="17">
                  <c:v>BASE</c:v>
                </c:pt>
                <c:pt idx="21">
                  <c:v>LEAD GUIDER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'15'!$L$6:$L$30</c:f>
              <c:numCache>
                <c:formatCode>_(* #,##0_);_(* \(#,##0\);_(* "-"_);_(@_)</c:formatCode>
                <c:ptCount val="25"/>
                <c:pt idx="0">
                  <c:v>5402</c:v>
                </c:pt>
                <c:pt idx="1">
                  <c:v>21702</c:v>
                </c:pt>
                <c:pt idx="2">
                  <c:v>719</c:v>
                </c:pt>
                <c:pt idx="3">
                  <c:v>4306</c:v>
                </c:pt>
                <c:pt idx="4">
                  <c:v>1739</c:v>
                </c:pt>
                <c:pt idx="5">
                  <c:v>976</c:v>
                </c:pt>
                <c:pt idx="6">
                  <c:v>13952</c:v>
                </c:pt>
                <c:pt idx="7">
                  <c:v>3191</c:v>
                </c:pt>
                <c:pt idx="8">
                  <c:v>3357</c:v>
                </c:pt>
                <c:pt idx="10">
                  <c:v>5920</c:v>
                </c:pt>
                <c:pt idx="11">
                  <c:v>8262</c:v>
                </c:pt>
                <c:pt idx="12">
                  <c:v>2384</c:v>
                </c:pt>
                <c:pt idx="13">
                  <c:v>13281</c:v>
                </c:pt>
                <c:pt idx="14">
                  <c:v>950</c:v>
                </c:pt>
                <c:pt idx="15">
                  <c:v>2240</c:v>
                </c:pt>
                <c:pt idx="16">
                  <c:v>18085</c:v>
                </c:pt>
                <c:pt idx="17">
                  <c:v>9709</c:v>
                </c:pt>
                <c:pt idx="18">
                  <c:v>62928</c:v>
                </c:pt>
                <c:pt idx="19">
                  <c:v>245056</c:v>
                </c:pt>
                <c:pt idx="24">
                  <c:v>83428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A-40A5-B47D-667F489E20D8}"/>
            </c:ext>
          </c:extLst>
        </c:ser>
        <c:ser>
          <c:idx val="1"/>
          <c:order val="1"/>
          <c:tx>
            <c:v>계획</c:v>
          </c:tx>
          <c:cat>
            <c:strRef>
              <c:f>'15'!$D$6:$D$30</c:f>
              <c:strCache>
                <c:ptCount val="24"/>
                <c:pt idx="0">
                  <c:v>ADAPTER</c:v>
                </c:pt>
                <c:pt idx="1">
                  <c:v>INNER</c:v>
                </c:pt>
                <c:pt idx="2">
                  <c:v>BASE</c:v>
                </c:pt>
                <c:pt idx="3">
                  <c:v>STOPPER</c:v>
                </c:pt>
                <c:pt idx="4">
                  <c:v>COVER</c:v>
                </c:pt>
                <c:pt idx="5">
                  <c:v>SLIDER</c:v>
                </c:pt>
                <c:pt idx="6">
                  <c:v>22P</c:v>
                </c:pt>
                <c:pt idx="7">
                  <c:v>LEAD GUIDER</c:v>
                </c:pt>
                <c:pt idx="8">
                  <c:v>TOP</c:v>
                </c:pt>
                <c:pt idx="9">
                  <c:v>BASE</c:v>
                </c:pt>
                <c:pt idx="10">
                  <c:v>ADAPTER</c:v>
                </c:pt>
                <c:pt idx="11">
                  <c:v>SLIDER</c:v>
                </c:pt>
                <c:pt idx="12">
                  <c:v>790</c:v>
                </c:pt>
                <c:pt idx="13">
                  <c:v>SLIDER</c:v>
                </c:pt>
                <c:pt idx="14">
                  <c:v>BASE</c:v>
                </c:pt>
                <c:pt idx="15">
                  <c:v>LATCH</c:v>
                </c:pt>
                <c:pt idx="16">
                  <c:v>REAR COVER</c:v>
                </c:pt>
                <c:pt idx="17">
                  <c:v>BASE</c:v>
                </c:pt>
                <c:pt idx="21">
                  <c:v>LEAD GUIDER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'15'!$J$6:$J$30</c:f>
              <c:numCache>
                <c:formatCode>_(* #,##0_);_(* \(#,##0\);_(* "-"_);_(@_)</c:formatCode>
                <c:ptCount val="25"/>
                <c:pt idx="0">
                  <c:v>5402</c:v>
                </c:pt>
                <c:pt idx="1">
                  <c:v>21702</c:v>
                </c:pt>
                <c:pt idx="2">
                  <c:v>719</c:v>
                </c:pt>
                <c:pt idx="3">
                  <c:v>4306</c:v>
                </c:pt>
                <c:pt idx="4">
                  <c:v>1739</c:v>
                </c:pt>
                <c:pt idx="5">
                  <c:v>976</c:v>
                </c:pt>
                <c:pt idx="6">
                  <c:v>13952</c:v>
                </c:pt>
                <c:pt idx="7">
                  <c:v>3191</c:v>
                </c:pt>
                <c:pt idx="8">
                  <c:v>3357</c:v>
                </c:pt>
                <c:pt idx="9">
                  <c:v>391</c:v>
                </c:pt>
                <c:pt idx="10">
                  <c:v>5920</c:v>
                </c:pt>
                <c:pt idx="11">
                  <c:v>8262</c:v>
                </c:pt>
                <c:pt idx="12">
                  <c:v>2384</c:v>
                </c:pt>
                <c:pt idx="13">
                  <c:v>13281</c:v>
                </c:pt>
                <c:pt idx="14">
                  <c:v>950</c:v>
                </c:pt>
                <c:pt idx="15">
                  <c:v>2240</c:v>
                </c:pt>
                <c:pt idx="16">
                  <c:v>18085</c:v>
                </c:pt>
                <c:pt idx="17">
                  <c:v>9709</c:v>
                </c:pt>
                <c:pt idx="18">
                  <c:v>62928</c:v>
                </c:pt>
                <c:pt idx="19">
                  <c:v>245056</c:v>
                </c:pt>
                <c:pt idx="20">
                  <c:v>0</c:v>
                </c:pt>
                <c:pt idx="21">
                  <c:v>31996</c:v>
                </c:pt>
                <c:pt idx="22">
                  <c:v>28802</c:v>
                </c:pt>
                <c:pt idx="23">
                  <c:v>26944</c:v>
                </c:pt>
                <c:pt idx="24">
                  <c:v>83428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A-40A5-B47D-667F489E2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'15'!$AD$6:$AD$30</c:f>
              <c:strCache>
                <c:ptCount val="25"/>
                <c:pt idx="0">
                  <c:v>58%</c:v>
                </c:pt>
                <c:pt idx="1">
                  <c:v>100%</c:v>
                </c:pt>
                <c:pt idx="2">
                  <c:v>42%</c:v>
                </c:pt>
                <c:pt idx="3">
                  <c:v>88%</c:v>
                </c:pt>
                <c:pt idx="4">
                  <c:v>33%</c:v>
                </c:pt>
                <c:pt idx="5">
                  <c:v>21%</c:v>
                </c:pt>
                <c:pt idx="6">
                  <c:v>42%</c:v>
                </c:pt>
                <c:pt idx="7">
                  <c:v>75%</c:v>
                </c:pt>
                <c:pt idx="8">
                  <c:v>88%</c:v>
                </c:pt>
                <c:pt idx="9">
                  <c:v>0%</c:v>
                </c:pt>
                <c:pt idx="10">
                  <c:v>58%</c:v>
                </c:pt>
                <c:pt idx="11">
                  <c:v>67%</c:v>
                </c:pt>
                <c:pt idx="12">
                  <c:v>25%</c:v>
                </c:pt>
                <c:pt idx="13">
                  <c:v>83%</c:v>
                </c:pt>
                <c:pt idx="14">
                  <c:v>25%</c:v>
                </c:pt>
                <c:pt idx="15">
                  <c:v>25%</c:v>
                </c:pt>
                <c:pt idx="16">
                  <c:v>100%</c:v>
                </c:pt>
                <c:pt idx="17">
                  <c:v>92%</c:v>
                </c:pt>
                <c:pt idx="18">
                  <c:v>100%</c:v>
                </c:pt>
                <c:pt idx="19">
                  <c:v>46%</c:v>
                </c:pt>
                <c:pt idx="20">
                  <c:v>0%</c:v>
                </c:pt>
                <c:pt idx="21">
                  <c:v>0%</c:v>
                </c:pt>
                <c:pt idx="22">
                  <c:v>0%</c:v>
                </c:pt>
                <c:pt idx="23">
                  <c:v>0%</c:v>
                </c:pt>
                <c:pt idx="24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'15'!$D$6:$D$30</c:f>
              <c:strCache>
                <c:ptCount val="24"/>
                <c:pt idx="0">
                  <c:v>ADAPTER</c:v>
                </c:pt>
                <c:pt idx="1">
                  <c:v>INNER</c:v>
                </c:pt>
                <c:pt idx="2">
                  <c:v>BASE</c:v>
                </c:pt>
                <c:pt idx="3">
                  <c:v>STOPPER</c:v>
                </c:pt>
                <c:pt idx="4">
                  <c:v>COVER</c:v>
                </c:pt>
                <c:pt idx="5">
                  <c:v>SLIDER</c:v>
                </c:pt>
                <c:pt idx="6">
                  <c:v>22P</c:v>
                </c:pt>
                <c:pt idx="7">
                  <c:v>LEAD GUIDER</c:v>
                </c:pt>
                <c:pt idx="8">
                  <c:v>TOP</c:v>
                </c:pt>
                <c:pt idx="9">
                  <c:v>BASE</c:v>
                </c:pt>
                <c:pt idx="10">
                  <c:v>ADAPTER</c:v>
                </c:pt>
                <c:pt idx="11">
                  <c:v>SLIDER</c:v>
                </c:pt>
                <c:pt idx="12">
                  <c:v>790</c:v>
                </c:pt>
                <c:pt idx="13">
                  <c:v>SLIDER</c:v>
                </c:pt>
                <c:pt idx="14">
                  <c:v>BASE</c:v>
                </c:pt>
                <c:pt idx="15">
                  <c:v>LATCH</c:v>
                </c:pt>
                <c:pt idx="16">
                  <c:v>REAR COVER</c:v>
                </c:pt>
                <c:pt idx="17">
                  <c:v>BASE</c:v>
                </c:pt>
                <c:pt idx="21">
                  <c:v>LEAD GUIDER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'15'!$AD$6:$AD$30</c:f>
              <c:numCache>
                <c:formatCode>0%</c:formatCode>
                <c:ptCount val="25"/>
                <c:pt idx="0">
                  <c:v>0.58333333333333337</c:v>
                </c:pt>
                <c:pt idx="1">
                  <c:v>1</c:v>
                </c:pt>
                <c:pt idx="2">
                  <c:v>0.41666666666666669</c:v>
                </c:pt>
                <c:pt idx="3">
                  <c:v>0.875</c:v>
                </c:pt>
                <c:pt idx="4">
                  <c:v>0.33333333333333331</c:v>
                </c:pt>
                <c:pt idx="5">
                  <c:v>0.20833333333333334</c:v>
                </c:pt>
                <c:pt idx="6">
                  <c:v>0.41666666666666669</c:v>
                </c:pt>
                <c:pt idx="7">
                  <c:v>0.75</c:v>
                </c:pt>
                <c:pt idx="8">
                  <c:v>0.875</c:v>
                </c:pt>
                <c:pt idx="9">
                  <c:v>0</c:v>
                </c:pt>
                <c:pt idx="10">
                  <c:v>0.58333333333333337</c:v>
                </c:pt>
                <c:pt idx="11">
                  <c:v>0.66666666666666663</c:v>
                </c:pt>
                <c:pt idx="12">
                  <c:v>0.25</c:v>
                </c:pt>
                <c:pt idx="13">
                  <c:v>0.83333333333333337</c:v>
                </c:pt>
                <c:pt idx="14">
                  <c:v>0.25</c:v>
                </c:pt>
                <c:pt idx="15">
                  <c:v>0.25</c:v>
                </c:pt>
                <c:pt idx="16">
                  <c:v>1</c:v>
                </c:pt>
                <c:pt idx="17">
                  <c:v>0.91666666666666663</c:v>
                </c:pt>
                <c:pt idx="18">
                  <c:v>1</c:v>
                </c:pt>
                <c:pt idx="19">
                  <c:v>0.45833333333333331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7-4CA2-A074-E542CC3087B1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67-4CA2-A074-E542CC3087B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'15'!$D$6:$D$30</c:f>
              <c:strCache>
                <c:ptCount val="24"/>
                <c:pt idx="0">
                  <c:v>ADAPTER</c:v>
                </c:pt>
                <c:pt idx="1">
                  <c:v>INNER</c:v>
                </c:pt>
                <c:pt idx="2">
                  <c:v>BASE</c:v>
                </c:pt>
                <c:pt idx="3">
                  <c:v>STOPPER</c:v>
                </c:pt>
                <c:pt idx="4">
                  <c:v>COVER</c:v>
                </c:pt>
                <c:pt idx="5">
                  <c:v>SLIDER</c:v>
                </c:pt>
                <c:pt idx="6">
                  <c:v>22P</c:v>
                </c:pt>
                <c:pt idx="7">
                  <c:v>LEAD GUIDER</c:v>
                </c:pt>
                <c:pt idx="8">
                  <c:v>TOP</c:v>
                </c:pt>
                <c:pt idx="9">
                  <c:v>BASE</c:v>
                </c:pt>
                <c:pt idx="10">
                  <c:v>ADAPTER</c:v>
                </c:pt>
                <c:pt idx="11">
                  <c:v>SLIDER</c:v>
                </c:pt>
                <c:pt idx="12">
                  <c:v>790</c:v>
                </c:pt>
                <c:pt idx="13">
                  <c:v>SLIDER</c:v>
                </c:pt>
                <c:pt idx="14">
                  <c:v>BASE</c:v>
                </c:pt>
                <c:pt idx="15">
                  <c:v>LATCH</c:v>
                </c:pt>
                <c:pt idx="16">
                  <c:v>REAR COVER</c:v>
                </c:pt>
                <c:pt idx="17">
                  <c:v>BASE</c:v>
                </c:pt>
                <c:pt idx="21">
                  <c:v>LEAD GUIDER</c:v>
                </c:pt>
                <c:pt idx="22">
                  <c:v>SLIDER</c:v>
                </c:pt>
                <c:pt idx="23">
                  <c:v>COVER</c:v>
                </c:pt>
              </c:strCache>
            </c:strRef>
          </c:cat>
          <c:val>
            <c:numRef>
              <c:f>'15'!$AE$6:$AE$30</c:f>
              <c:numCache>
                <c:formatCode>0%</c:formatCode>
                <c:ptCount val="25"/>
                <c:pt idx="0">
                  <c:v>0.50666666666666671</c:v>
                </c:pt>
                <c:pt idx="1">
                  <c:v>0.50666666666666671</c:v>
                </c:pt>
                <c:pt idx="2">
                  <c:v>0.50666666666666671</c:v>
                </c:pt>
                <c:pt idx="3">
                  <c:v>0.50666666666666671</c:v>
                </c:pt>
                <c:pt idx="4">
                  <c:v>0.50666666666666671</c:v>
                </c:pt>
                <c:pt idx="5">
                  <c:v>0.50666666666666671</c:v>
                </c:pt>
                <c:pt idx="6">
                  <c:v>0.50666666666666671</c:v>
                </c:pt>
                <c:pt idx="7">
                  <c:v>0.50666666666666671</c:v>
                </c:pt>
                <c:pt idx="8">
                  <c:v>0.50666666666666671</c:v>
                </c:pt>
                <c:pt idx="9">
                  <c:v>0.50666666666666671</c:v>
                </c:pt>
                <c:pt idx="10">
                  <c:v>0.50666666666666671</c:v>
                </c:pt>
                <c:pt idx="11">
                  <c:v>0.50666666666666671</c:v>
                </c:pt>
                <c:pt idx="12">
                  <c:v>0.50666666666666671</c:v>
                </c:pt>
                <c:pt idx="13">
                  <c:v>0.50666666666666671</c:v>
                </c:pt>
                <c:pt idx="14">
                  <c:v>0.50666666666666671</c:v>
                </c:pt>
                <c:pt idx="15">
                  <c:v>0.50666666666666671</c:v>
                </c:pt>
                <c:pt idx="16">
                  <c:v>0.50666666666666671</c:v>
                </c:pt>
                <c:pt idx="17">
                  <c:v>0.50666666666666671</c:v>
                </c:pt>
                <c:pt idx="18">
                  <c:v>0.50666666666666671</c:v>
                </c:pt>
                <c:pt idx="19">
                  <c:v>0.50666666666666671</c:v>
                </c:pt>
                <c:pt idx="20">
                  <c:v>0.50666666666666671</c:v>
                </c:pt>
                <c:pt idx="21">
                  <c:v>0.50666666666666671</c:v>
                </c:pt>
                <c:pt idx="22">
                  <c:v>0.50666666666666671</c:v>
                </c:pt>
                <c:pt idx="23">
                  <c:v>0.50666666666666671</c:v>
                </c:pt>
                <c:pt idx="24">
                  <c:v>0.50666666666666671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67-4CA2-A074-E542CC308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'02'!$D$6:$D$30</c:f>
              <c:strCache>
                <c:ptCount val="25"/>
                <c:pt idx="0">
                  <c:v>F/A</c:v>
                </c:pt>
                <c:pt idx="1">
                  <c:v>ADAPTER</c:v>
                </c:pt>
                <c:pt idx="2">
                  <c:v>SLIDER</c:v>
                </c:pt>
                <c:pt idx="4">
                  <c:v>COVER</c:v>
                </c:pt>
                <c:pt idx="5">
                  <c:v>BOTTOM</c:v>
                </c:pt>
                <c:pt idx="6">
                  <c:v>ADAPTER</c:v>
                </c:pt>
                <c:pt idx="7">
                  <c:v>BASE</c:v>
                </c:pt>
                <c:pt idx="8">
                  <c:v>TOP</c:v>
                </c:pt>
                <c:pt idx="9">
                  <c:v>BOTTOM</c:v>
                </c:pt>
                <c:pt idx="10">
                  <c:v>TOP</c:v>
                </c:pt>
                <c:pt idx="11">
                  <c:v>BASE</c:v>
                </c:pt>
                <c:pt idx="12">
                  <c:v>FLOATING</c:v>
                </c:pt>
                <c:pt idx="14">
                  <c:v>COVER</c:v>
                </c:pt>
                <c:pt idx="15">
                  <c:v>BASE</c:v>
                </c:pt>
                <c:pt idx="16">
                  <c:v>BASE</c:v>
                </c:pt>
                <c:pt idx="17">
                  <c:v>BASE</c:v>
                </c:pt>
                <c:pt idx="21">
                  <c:v>LEAD GUIDER</c:v>
                </c:pt>
                <c:pt idx="22">
                  <c:v>SLIDER</c:v>
                </c:pt>
                <c:pt idx="23">
                  <c:v>COVER</c:v>
                </c:pt>
                <c:pt idx="24">
                  <c:v>BASE</c:v>
                </c:pt>
              </c:strCache>
            </c:strRef>
          </c:cat>
          <c:val>
            <c:numRef>
              <c:f>'02'!$L$6:$L$30</c:f>
              <c:numCache>
                <c:formatCode>_(* #,##0_);_(* \(#,##0\);_(* "-"_);_(@_)</c:formatCode>
                <c:ptCount val="25"/>
                <c:pt idx="0">
                  <c:v>5516</c:v>
                </c:pt>
                <c:pt idx="1">
                  <c:v>11230</c:v>
                </c:pt>
                <c:pt idx="2">
                  <c:v>9608</c:v>
                </c:pt>
                <c:pt idx="3">
                  <c:v>12518</c:v>
                </c:pt>
                <c:pt idx="4">
                  <c:v>5669</c:v>
                </c:pt>
                <c:pt idx="5">
                  <c:v>1419</c:v>
                </c:pt>
                <c:pt idx="6">
                  <c:v>2115</c:v>
                </c:pt>
                <c:pt idx="7">
                  <c:v>7218</c:v>
                </c:pt>
                <c:pt idx="8">
                  <c:v>1222</c:v>
                </c:pt>
                <c:pt idx="9">
                  <c:v>1732</c:v>
                </c:pt>
                <c:pt idx="10">
                  <c:v>617</c:v>
                </c:pt>
                <c:pt idx="12">
                  <c:v>1490</c:v>
                </c:pt>
                <c:pt idx="13">
                  <c:v>8416</c:v>
                </c:pt>
                <c:pt idx="15">
                  <c:v>12392</c:v>
                </c:pt>
                <c:pt idx="16">
                  <c:v>6380</c:v>
                </c:pt>
                <c:pt idx="17">
                  <c:v>11010</c:v>
                </c:pt>
                <c:pt idx="18">
                  <c:v>62940</c:v>
                </c:pt>
                <c:pt idx="19">
                  <c:v>498300</c:v>
                </c:pt>
                <c:pt idx="21">
                  <c:v>31996</c:v>
                </c:pt>
                <c:pt idx="22">
                  <c:v>28802</c:v>
                </c:pt>
                <c:pt idx="24">
                  <c:v>19965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0-41B8-B95B-14D0832BB401}"/>
            </c:ext>
          </c:extLst>
        </c:ser>
        <c:ser>
          <c:idx val="1"/>
          <c:order val="1"/>
          <c:tx>
            <c:v>계획</c:v>
          </c:tx>
          <c:cat>
            <c:strRef>
              <c:f>'02'!$D$6:$D$30</c:f>
              <c:strCache>
                <c:ptCount val="25"/>
                <c:pt idx="0">
                  <c:v>F/A</c:v>
                </c:pt>
                <c:pt idx="1">
                  <c:v>ADAPTER</c:v>
                </c:pt>
                <c:pt idx="2">
                  <c:v>SLIDER</c:v>
                </c:pt>
                <c:pt idx="4">
                  <c:v>COVER</c:v>
                </c:pt>
                <c:pt idx="5">
                  <c:v>BOTTOM</c:v>
                </c:pt>
                <c:pt idx="6">
                  <c:v>ADAPTER</c:v>
                </c:pt>
                <c:pt idx="7">
                  <c:v>BASE</c:v>
                </c:pt>
                <c:pt idx="8">
                  <c:v>TOP</c:v>
                </c:pt>
                <c:pt idx="9">
                  <c:v>BOTTOM</c:v>
                </c:pt>
                <c:pt idx="10">
                  <c:v>TOP</c:v>
                </c:pt>
                <c:pt idx="11">
                  <c:v>BASE</c:v>
                </c:pt>
                <c:pt idx="12">
                  <c:v>FLOATING</c:v>
                </c:pt>
                <c:pt idx="14">
                  <c:v>COVER</c:v>
                </c:pt>
                <c:pt idx="15">
                  <c:v>BASE</c:v>
                </c:pt>
                <c:pt idx="16">
                  <c:v>BASE</c:v>
                </c:pt>
                <c:pt idx="17">
                  <c:v>BASE</c:v>
                </c:pt>
                <c:pt idx="21">
                  <c:v>LEAD GUIDER</c:v>
                </c:pt>
                <c:pt idx="22">
                  <c:v>SLIDER</c:v>
                </c:pt>
                <c:pt idx="23">
                  <c:v>COVER</c:v>
                </c:pt>
                <c:pt idx="24">
                  <c:v>BASE</c:v>
                </c:pt>
              </c:strCache>
            </c:strRef>
          </c:cat>
          <c:val>
            <c:numRef>
              <c:f>'02'!$J$6:$J$30</c:f>
              <c:numCache>
                <c:formatCode>_(* #,##0_);_(* \(#,##0\);_(* "-"_);_(@_)</c:formatCode>
                <c:ptCount val="25"/>
                <c:pt idx="0">
                  <c:v>5516</c:v>
                </c:pt>
                <c:pt idx="1">
                  <c:v>11230</c:v>
                </c:pt>
                <c:pt idx="2">
                  <c:v>9608</c:v>
                </c:pt>
                <c:pt idx="3">
                  <c:v>12518</c:v>
                </c:pt>
                <c:pt idx="4">
                  <c:v>5669</c:v>
                </c:pt>
                <c:pt idx="5">
                  <c:v>1419</c:v>
                </c:pt>
                <c:pt idx="6">
                  <c:v>2115</c:v>
                </c:pt>
                <c:pt idx="7">
                  <c:v>7218</c:v>
                </c:pt>
                <c:pt idx="8">
                  <c:v>1222</c:v>
                </c:pt>
                <c:pt idx="9">
                  <c:v>1732</c:v>
                </c:pt>
                <c:pt idx="10">
                  <c:v>617</c:v>
                </c:pt>
                <c:pt idx="11">
                  <c:v>391</c:v>
                </c:pt>
                <c:pt idx="12">
                  <c:v>1490</c:v>
                </c:pt>
                <c:pt idx="13">
                  <c:v>8416</c:v>
                </c:pt>
                <c:pt idx="14">
                  <c:v>21252</c:v>
                </c:pt>
                <c:pt idx="15">
                  <c:v>12392</c:v>
                </c:pt>
                <c:pt idx="16">
                  <c:v>6380</c:v>
                </c:pt>
                <c:pt idx="17">
                  <c:v>11010</c:v>
                </c:pt>
                <c:pt idx="18">
                  <c:v>62940</c:v>
                </c:pt>
                <c:pt idx="19">
                  <c:v>498300</c:v>
                </c:pt>
                <c:pt idx="20">
                  <c:v>0</c:v>
                </c:pt>
                <c:pt idx="21">
                  <c:v>31996</c:v>
                </c:pt>
                <c:pt idx="22">
                  <c:v>28802</c:v>
                </c:pt>
                <c:pt idx="23">
                  <c:v>26944</c:v>
                </c:pt>
                <c:pt idx="24">
                  <c:v>19965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A0-41B8-B95B-14D0832BB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총괄!$A$25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06C4-4F31-89AC-EF4029AB75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총괄!$B$25:$AG$25</c:f>
              <c:numCache>
                <c:formatCode>0%</c:formatCode>
                <c:ptCount val="32"/>
                <c:pt idx="0">
                  <c:v>0.59455128205128216</c:v>
                </c:pt>
                <c:pt idx="1">
                  <c:v>0.64666666666666672</c:v>
                </c:pt>
                <c:pt idx="2">
                  <c:v>0.53166666666666662</c:v>
                </c:pt>
                <c:pt idx="3">
                  <c:v>0.46376811594202894</c:v>
                </c:pt>
                <c:pt idx="5">
                  <c:v>0.47159090909090912</c:v>
                </c:pt>
                <c:pt idx="6">
                  <c:v>0.40705128205128205</c:v>
                </c:pt>
                <c:pt idx="7">
                  <c:v>0.3737847222222222</c:v>
                </c:pt>
                <c:pt idx="8">
                  <c:v>0.56310012437810952</c:v>
                </c:pt>
                <c:pt idx="9">
                  <c:v>0.55862000713761029</c:v>
                </c:pt>
                <c:pt idx="12">
                  <c:v>0.60416666666666652</c:v>
                </c:pt>
                <c:pt idx="13">
                  <c:v>0.42129629629629628</c:v>
                </c:pt>
                <c:pt idx="14">
                  <c:v>0.50666666666666671</c:v>
                </c:pt>
                <c:pt idx="15">
                  <c:v>0.58333333333333337</c:v>
                </c:pt>
                <c:pt idx="16">
                  <c:v>0.6382575757575758</c:v>
                </c:pt>
                <c:pt idx="22">
                  <c:v>0.58876811594202916</c:v>
                </c:pt>
                <c:pt idx="23">
                  <c:v>0.67424242424242431</c:v>
                </c:pt>
                <c:pt idx="26">
                  <c:v>0.40909090909090901</c:v>
                </c:pt>
                <c:pt idx="27">
                  <c:v>0.47463768115942034</c:v>
                </c:pt>
                <c:pt idx="28">
                  <c:v>0.43840579710144922</c:v>
                </c:pt>
                <c:pt idx="29">
                  <c:v>0.61413043478260865</c:v>
                </c:pt>
                <c:pt idx="31">
                  <c:v>0.35212652257487181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C4-4F31-89AC-EF4029AB7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06C4-4F31-89AC-EF4029AB757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총괄!$B$26:$AG$26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C4-4F31-89AC-EF4029AB7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'16'!$D$6:$D$28</c:f>
              <c:strCache>
                <c:ptCount val="22"/>
                <c:pt idx="0">
                  <c:v>ADAPTER</c:v>
                </c:pt>
                <c:pt idx="1">
                  <c:v>INNER</c:v>
                </c:pt>
                <c:pt idx="2">
                  <c:v>COVER/HOLDER</c:v>
                </c:pt>
                <c:pt idx="3">
                  <c:v>STOPPER</c:v>
                </c:pt>
                <c:pt idx="4">
                  <c:v>COVER</c:v>
                </c:pt>
                <c:pt idx="5">
                  <c:v>22P</c:v>
                </c:pt>
                <c:pt idx="6">
                  <c:v>LEAD GUIDER</c:v>
                </c:pt>
                <c:pt idx="7">
                  <c:v>TOP</c:v>
                </c:pt>
                <c:pt idx="8">
                  <c:v>BASE</c:v>
                </c:pt>
                <c:pt idx="9">
                  <c:v>ADAPTER</c:v>
                </c:pt>
                <c:pt idx="10">
                  <c:v>SLIDER</c:v>
                </c:pt>
                <c:pt idx="11">
                  <c:v>SLIDER</c:v>
                </c:pt>
                <c:pt idx="12">
                  <c:v>PLUNGER</c:v>
                </c:pt>
                <c:pt idx="13">
                  <c:v>TOP/BOTTOM</c:v>
                </c:pt>
                <c:pt idx="14">
                  <c:v>REAR COVER</c:v>
                </c:pt>
                <c:pt idx="15">
                  <c:v>BASE</c:v>
                </c:pt>
                <c:pt idx="17">
                  <c:v>BASE</c:v>
                </c:pt>
                <c:pt idx="19">
                  <c:v>LEAD GUIDER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'16'!$L$6:$L$28</c:f>
              <c:numCache>
                <c:formatCode>_(* #,##0_);_(* \(#,##0\);_(* "-"_);_(@_)</c:formatCode>
                <c:ptCount val="23"/>
                <c:pt idx="1">
                  <c:v>20685</c:v>
                </c:pt>
                <c:pt idx="2">
                  <c:v>5665</c:v>
                </c:pt>
                <c:pt idx="3">
                  <c:v>5070</c:v>
                </c:pt>
                <c:pt idx="6">
                  <c:v>2676</c:v>
                </c:pt>
                <c:pt idx="7">
                  <c:v>4440</c:v>
                </c:pt>
                <c:pt idx="9">
                  <c:v>10578</c:v>
                </c:pt>
                <c:pt idx="10">
                  <c:v>5992</c:v>
                </c:pt>
                <c:pt idx="11">
                  <c:v>18096</c:v>
                </c:pt>
                <c:pt idx="12">
                  <c:v>1068</c:v>
                </c:pt>
                <c:pt idx="13">
                  <c:v>1250</c:v>
                </c:pt>
                <c:pt idx="14">
                  <c:v>23730</c:v>
                </c:pt>
                <c:pt idx="15">
                  <c:v>8542</c:v>
                </c:pt>
                <c:pt idx="16">
                  <c:v>64084</c:v>
                </c:pt>
                <c:pt idx="17">
                  <c:v>13424</c:v>
                </c:pt>
                <c:pt idx="19">
                  <c:v>16720</c:v>
                </c:pt>
                <c:pt idx="20">
                  <c:v>15172</c:v>
                </c:pt>
                <c:pt idx="22">
                  <c:v>47688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4-4EDA-9490-69AB447B5360}"/>
            </c:ext>
          </c:extLst>
        </c:ser>
        <c:ser>
          <c:idx val="1"/>
          <c:order val="1"/>
          <c:tx>
            <c:v>계획</c:v>
          </c:tx>
          <c:cat>
            <c:strRef>
              <c:f>'16'!$D$6:$D$28</c:f>
              <c:strCache>
                <c:ptCount val="22"/>
                <c:pt idx="0">
                  <c:v>ADAPTER</c:v>
                </c:pt>
                <c:pt idx="1">
                  <c:v>INNER</c:v>
                </c:pt>
                <c:pt idx="2">
                  <c:v>COVER/HOLDER</c:v>
                </c:pt>
                <c:pt idx="3">
                  <c:v>STOPPER</c:v>
                </c:pt>
                <c:pt idx="4">
                  <c:v>COVER</c:v>
                </c:pt>
                <c:pt idx="5">
                  <c:v>22P</c:v>
                </c:pt>
                <c:pt idx="6">
                  <c:v>LEAD GUIDER</c:v>
                </c:pt>
                <c:pt idx="7">
                  <c:v>TOP</c:v>
                </c:pt>
                <c:pt idx="8">
                  <c:v>BASE</c:v>
                </c:pt>
                <c:pt idx="9">
                  <c:v>ADAPTER</c:v>
                </c:pt>
                <c:pt idx="10">
                  <c:v>SLIDER</c:v>
                </c:pt>
                <c:pt idx="11">
                  <c:v>SLIDER</c:v>
                </c:pt>
                <c:pt idx="12">
                  <c:v>PLUNGER</c:v>
                </c:pt>
                <c:pt idx="13">
                  <c:v>TOP/BOTTOM</c:v>
                </c:pt>
                <c:pt idx="14">
                  <c:v>REAR COVER</c:v>
                </c:pt>
                <c:pt idx="15">
                  <c:v>BASE</c:v>
                </c:pt>
                <c:pt idx="17">
                  <c:v>BASE</c:v>
                </c:pt>
                <c:pt idx="19">
                  <c:v>LEAD GUIDER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'16'!$J$6:$J$28</c:f>
              <c:numCache>
                <c:formatCode>_(* #,##0_);_(* \(#,##0\);_(* "-"_);_(@_)</c:formatCode>
                <c:ptCount val="23"/>
                <c:pt idx="0">
                  <c:v>5402</c:v>
                </c:pt>
                <c:pt idx="1">
                  <c:v>20685</c:v>
                </c:pt>
                <c:pt idx="2">
                  <c:v>5665</c:v>
                </c:pt>
                <c:pt idx="3">
                  <c:v>5070</c:v>
                </c:pt>
                <c:pt idx="4">
                  <c:v>1739</c:v>
                </c:pt>
                <c:pt idx="5">
                  <c:v>13952</c:v>
                </c:pt>
                <c:pt idx="6">
                  <c:v>2676</c:v>
                </c:pt>
                <c:pt idx="7">
                  <c:v>4440</c:v>
                </c:pt>
                <c:pt idx="8">
                  <c:v>391</c:v>
                </c:pt>
                <c:pt idx="9">
                  <c:v>10578</c:v>
                </c:pt>
                <c:pt idx="10">
                  <c:v>5992</c:v>
                </c:pt>
                <c:pt idx="11">
                  <c:v>18096</c:v>
                </c:pt>
                <c:pt idx="12">
                  <c:v>1068</c:v>
                </c:pt>
                <c:pt idx="13">
                  <c:v>1250</c:v>
                </c:pt>
                <c:pt idx="14">
                  <c:v>23730</c:v>
                </c:pt>
                <c:pt idx="15">
                  <c:v>8542</c:v>
                </c:pt>
                <c:pt idx="16">
                  <c:v>64084</c:v>
                </c:pt>
                <c:pt idx="17">
                  <c:v>13424</c:v>
                </c:pt>
                <c:pt idx="18">
                  <c:v>0</c:v>
                </c:pt>
                <c:pt idx="19">
                  <c:v>16720</c:v>
                </c:pt>
                <c:pt idx="20">
                  <c:v>15172</c:v>
                </c:pt>
                <c:pt idx="21">
                  <c:v>26944</c:v>
                </c:pt>
                <c:pt idx="22">
                  <c:v>47688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4-4EDA-9490-69AB447B5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'16'!$AD$6:$AD$28</c:f>
              <c:strCache>
                <c:ptCount val="23"/>
                <c:pt idx="0">
                  <c:v>0%</c:v>
                </c:pt>
                <c:pt idx="1">
                  <c:v>100%</c:v>
                </c:pt>
                <c:pt idx="2">
                  <c:v>96%</c:v>
                </c:pt>
                <c:pt idx="3">
                  <c:v>96%</c:v>
                </c:pt>
                <c:pt idx="4">
                  <c:v>0%</c:v>
                </c:pt>
                <c:pt idx="5">
                  <c:v>0%</c:v>
                </c:pt>
                <c:pt idx="6">
                  <c:v>71%</c:v>
                </c:pt>
                <c:pt idx="7">
                  <c:v>100%</c:v>
                </c:pt>
                <c:pt idx="8">
                  <c:v>0%</c:v>
                </c:pt>
                <c:pt idx="9">
                  <c:v>100%</c:v>
                </c:pt>
                <c:pt idx="10">
                  <c:v>100%</c:v>
                </c:pt>
                <c:pt idx="11">
                  <c:v>100%</c:v>
                </c:pt>
                <c:pt idx="12">
                  <c:v>21%</c:v>
                </c:pt>
                <c:pt idx="13">
                  <c:v>29%</c:v>
                </c:pt>
                <c:pt idx="14">
                  <c:v>100%</c:v>
                </c:pt>
                <c:pt idx="15">
                  <c:v>88%</c:v>
                </c:pt>
                <c:pt idx="16">
                  <c:v>100%</c:v>
                </c:pt>
                <c:pt idx="17">
                  <c:v>58%</c:v>
                </c:pt>
                <c:pt idx="18">
                  <c:v>0%</c:v>
                </c:pt>
                <c:pt idx="19">
                  <c:v>63%</c:v>
                </c:pt>
                <c:pt idx="20">
                  <c:v>58%</c:v>
                </c:pt>
                <c:pt idx="21">
                  <c:v>0%</c:v>
                </c:pt>
                <c:pt idx="22">
                  <c:v>63%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'16'!$D$6:$D$28</c:f>
              <c:strCache>
                <c:ptCount val="22"/>
                <c:pt idx="0">
                  <c:v>ADAPTER</c:v>
                </c:pt>
                <c:pt idx="1">
                  <c:v>INNER</c:v>
                </c:pt>
                <c:pt idx="2">
                  <c:v>COVER/HOLDER</c:v>
                </c:pt>
                <c:pt idx="3">
                  <c:v>STOPPER</c:v>
                </c:pt>
                <c:pt idx="4">
                  <c:v>COVER</c:v>
                </c:pt>
                <c:pt idx="5">
                  <c:v>22P</c:v>
                </c:pt>
                <c:pt idx="6">
                  <c:v>LEAD GUIDER</c:v>
                </c:pt>
                <c:pt idx="7">
                  <c:v>TOP</c:v>
                </c:pt>
                <c:pt idx="8">
                  <c:v>BASE</c:v>
                </c:pt>
                <c:pt idx="9">
                  <c:v>ADAPTER</c:v>
                </c:pt>
                <c:pt idx="10">
                  <c:v>SLIDER</c:v>
                </c:pt>
                <c:pt idx="11">
                  <c:v>SLIDER</c:v>
                </c:pt>
                <c:pt idx="12">
                  <c:v>PLUNGER</c:v>
                </c:pt>
                <c:pt idx="13">
                  <c:v>TOP/BOTTOM</c:v>
                </c:pt>
                <c:pt idx="14">
                  <c:v>REAR COVER</c:v>
                </c:pt>
                <c:pt idx="15">
                  <c:v>BASE</c:v>
                </c:pt>
                <c:pt idx="17">
                  <c:v>BASE</c:v>
                </c:pt>
                <c:pt idx="19">
                  <c:v>LEAD GUIDER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'16'!$AD$6:$AD$28</c:f>
              <c:numCache>
                <c:formatCode>0%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</c:v>
                </c:pt>
                <c:pt idx="5">
                  <c:v>0</c:v>
                </c:pt>
                <c:pt idx="6">
                  <c:v>0.70833333333333337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0.20833333333333334</c:v>
                </c:pt>
                <c:pt idx="13">
                  <c:v>0.29166666666666669</c:v>
                </c:pt>
                <c:pt idx="14">
                  <c:v>1</c:v>
                </c:pt>
                <c:pt idx="15">
                  <c:v>0.875</c:v>
                </c:pt>
                <c:pt idx="16">
                  <c:v>1</c:v>
                </c:pt>
                <c:pt idx="17">
                  <c:v>0.58333333333333337</c:v>
                </c:pt>
                <c:pt idx="18">
                  <c:v>0</c:v>
                </c:pt>
                <c:pt idx="19">
                  <c:v>0.625</c:v>
                </c:pt>
                <c:pt idx="20">
                  <c:v>0.58333333333333337</c:v>
                </c:pt>
                <c:pt idx="21">
                  <c:v>0</c:v>
                </c:pt>
                <c:pt idx="22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4-4480-9CA0-C2E7B6C2CDD8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04-4480-9CA0-C2E7B6C2CDD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'16'!$D$6:$D$28</c:f>
              <c:strCache>
                <c:ptCount val="22"/>
                <c:pt idx="0">
                  <c:v>ADAPTER</c:v>
                </c:pt>
                <c:pt idx="1">
                  <c:v>INNER</c:v>
                </c:pt>
                <c:pt idx="2">
                  <c:v>COVER/HOLDER</c:v>
                </c:pt>
                <c:pt idx="3">
                  <c:v>STOPPER</c:v>
                </c:pt>
                <c:pt idx="4">
                  <c:v>COVER</c:v>
                </c:pt>
                <c:pt idx="5">
                  <c:v>22P</c:v>
                </c:pt>
                <c:pt idx="6">
                  <c:v>LEAD GUIDER</c:v>
                </c:pt>
                <c:pt idx="7">
                  <c:v>TOP</c:v>
                </c:pt>
                <c:pt idx="8">
                  <c:v>BASE</c:v>
                </c:pt>
                <c:pt idx="9">
                  <c:v>ADAPTER</c:v>
                </c:pt>
                <c:pt idx="10">
                  <c:v>SLIDER</c:v>
                </c:pt>
                <c:pt idx="11">
                  <c:v>SLIDER</c:v>
                </c:pt>
                <c:pt idx="12">
                  <c:v>PLUNGER</c:v>
                </c:pt>
                <c:pt idx="13">
                  <c:v>TOP/BOTTOM</c:v>
                </c:pt>
                <c:pt idx="14">
                  <c:v>REAR COVER</c:v>
                </c:pt>
                <c:pt idx="15">
                  <c:v>BASE</c:v>
                </c:pt>
                <c:pt idx="17">
                  <c:v>BASE</c:v>
                </c:pt>
                <c:pt idx="19">
                  <c:v>LEAD GUIDER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'16'!$AE$6:$AE$28</c:f>
              <c:numCache>
                <c:formatCode>0%</c:formatCode>
                <c:ptCount val="23"/>
                <c:pt idx="0">
                  <c:v>0.58333333333333337</c:v>
                </c:pt>
                <c:pt idx="1">
                  <c:v>0.58333333333333337</c:v>
                </c:pt>
                <c:pt idx="2">
                  <c:v>0.58333333333333337</c:v>
                </c:pt>
                <c:pt idx="3">
                  <c:v>0.58333333333333337</c:v>
                </c:pt>
                <c:pt idx="4">
                  <c:v>0.58333333333333337</c:v>
                </c:pt>
                <c:pt idx="5">
                  <c:v>0.58333333333333337</c:v>
                </c:pt>
                <c:pt idx="6">
                  <c:v>0.58333333333333337</c:v>
                </c:pt>
                <c:pt idx="7">
                  <c:v>0.58333333333333337</c:v>
                </c:pt>
                <c:pt idx="8">
                  <c:v>0.58333333333333337</c:v>
                </c:pt>
                <c:pt idx="9">
                  <c:v>0.58333333333333337</c:v>
                </c:pt>
                <c:pt idx="10">
                  <c:v>0.58333333333333337</c:v>
                </c:pt>
                <c:pt idx="11">
                  <c:v>0.58333333333333337</c:v>
                </c:pt>
                <c:pt idx="12">
                  <c:v>0.58333333333333337</c:v>
                </c:pt>
                <c:pt idx="13">
                  <c:v>0.58333333333333337</c:v>
                </c:pt>
                <c:pt idx="14">
                  <c:v>0.58333333333333337</c:v>
                </c:pt>
                <c:pt idx="15">
                  <c:v>0.58333333333333337</c:v>
                </c:pt>
                <c:pt idx="16">
                  <c:v>0.58333333333333337</c:v>
                </c:pt>
                <c:pt idx="17">
                  <c:v>0.58333333333333337</c:v>
                </c:pt>
                <c:pt idx="18">
                  <c:v>0.58333333333333337</c:v>
                </c:pt>
                <c:pt idx="19">
                  <c:v>0.58333333333333337</c:v>
                </c:pt>
                <c:pt idx="20">
                  <c:v>0.58333333333333337</c:v>
                </c:pt>
                <c:pt idx="21">
                  <c:v>0.58333333333333337</c:v>
                </c:pt>
                <c:pt idx="22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4-4480-9CA0-C2E7B6C2C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864127889076517E-2"/>
          <c:y val="6.4095047578651546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'16'!$D$6:$D$28</c:f>
              <c:strCache>
                <c:ptCount val="22"/>
                <c:pt idx="0">
                  <c:v>ADAPTER</c:v>
                </c:pt>
                <c:pt idx="1">
                  <c:v>INNER</c:v>
                </c:pt>
                <c:pt idx="2">
                  <c:v>COVER/HOLDER</c:v>
                </c:pt>
                <c:pt idx="3">
                  <c:v>STOPPER</c:v>
                </c:pt>
                <c:pt idx="4">
                  <c:v>COVER</c:v>
                </c:pt>
                <c:pt idx="5">
                  <c:v>22P</c:v>
                </c:pt>
                <c:pt idx="6">
                  <c:v>LEAD GUIDER</c:v>
                </c:pt>
                <c:pt idx="7">
                  <c:v>TOP</c:v>
                </c:pt>
                <c:pt idx="8">
                  <c:v>BASE</c:v>
                </c:pt>
                <c:pt idx="9">
                  <c:v>ADAPTER</c:v>
                </c:pt>
                <c:pt idx="10">
                  <c:v>SLIDER</c:v>
                </c:pt>
                <c:pt idx="11">
                  <c:v>SLIDER</c:v>
                </c:pt>
                <c:pt idx="12">
                  <c:v>PLUNGER</c:v>
                </c:pt>
                <c:pt idx="13">
                  <c:v>TOP/BOTTOM</c:v>
                </c:pt>
                <c:pt idx="14">
                  <c:v>REAR COVER</c:v>
                </c:pt>
                <c:pt idx="15">
                  <c:v>BASE</c:v>
                </c:pt>
                <c:pt idx="17">
                  <c:v>BASE</c:v>
                </c:pt>
                <c:pt idx="19">
                  <c:v>LEAD GUIDER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'16'!$L$6:$L$28</c:f>
              <c:numCache>
                <c:formatCode>_(* #,##0_);_(* \(#,##0\);_(* "-"_);_(@_)</c:formatCode>
                <c:ptCount val="23"/>
                <c:pt idx="1">
                  <c:v>20685</c:v>
                </c:pt>
                <c:pt idx="2">
                  <c:v>5665</c:v>
                </c:pt>
                <c:pt idx="3">
                  <c:v>5070</c:v>
                </c:pt>
                <c:pt idx="6">
                  <c:v>2676</c:v>
                </c:pt>
                <c:pt idx="7">
                  <c:v>4440</c:v>
                </c:pt>
                <c:pt idx="9">
                  <c:v>10578</c:v>
                </c:pt>
                <c:pt idx="10">
                  <c:v>5992</c:v>
                </c:pt>
                <c:pt idx="11">
                  <c:v>18096</c:v>
                </c:pt>
                <c:pt idx="12">
                  <c:v>1068</c:v>
                </c:pt>
                <c:pt idx="13">
                  <c:v>1250</c:v>
                </c:pt>
                <c:pt idx="14">
                  <c:v>23730</c:v>
                </c:pt>
                <c:pt idx="15">
                  <c:v>8542</c:v>
                </c:pt>
                <c:pt idx="16">
                  <c:v>64084</c:v>
                </c:pt>
                <c:pt idx="17">
                  <c:v>13424</c:v>
                </c:pt>
                <c:pt idx="19">
                  <c:v>16720</c:v>
                </c:pt>
                <c:pt idx="20">
                  <c:v>15172</c:v>
                </c:pt>
                <c:pt idx="22">
                  <c:v>47688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4-4E20-A7E1-89F79D8D7417}"/>
            </c:ext>
          </c:extLst>
        </c:ser>
        <c:ser>
          <c:idx val="1"/>
          <c:order val="1"/>
          <c:tx>
            <c:v>계획</c:v>
          </c:tx>
          <c:cat>
            <c:strRef>
              <c:f>'16'!$D$6:$D$28</c:f>
              <c:strCache>
                <c:ptCount val="22"/>
                <c:pt idx="0">
                  <c:v>ADAPTER</c:v>
                </c:pt>
                <c:pt idx="1">
                  <c:v>INNER</c:v>
                </c:pt>
                <c:pt idx="2">
                  <c:v>COVER/HOLDER</c:v>
                </c:pt>
                <c:pt idx="3">
                  <c:v>STOPPER</c:v>
                </c:pt>
                <c:pt idx="4">
                  <c:v>COVER</c:v>
                </c:pt>
                <c:pt idx="5">
                  <c:v>22P</c:v>
                </c:pt>
                <c:pt idx="6">
                  <c:v>LEAD GUIDER</c:v>
                </c:pt>
                <c:pt idx="7">
                  <c:v>TOP</c:v>
                </c:pt>
                <c:pt idx="8">
                  <c:v>BASE</c:v>
                </c:pt>
                <c:pt idx="9">
                  <c:v>ADAPTER</c:v>
                </c:pt>
                <c:pt idx="10">
                  <c:v>SLIDER</c:v>
                </c:pt>
                <c:pt idx="11">
                  <c:v>SLIDER</c:v>
                </c:pt>
                <c:pt idx="12">
                  <c:v>PLUNGER</c:v>
                </c:pt>
                <c:pt idx="13">
                  <c:v>TOP/BOTTOM</c:v>
                </c:pt>
                <c:pt idx="14">
                  <c:v>REAR COVER</c:v>
                </c:pt>
                <c:pt idx="15">
                  <c:v>BASE</c:v>
                </c:pt>
                <c:pt idx="17">
                  <c:v>BASE</c:v>
                </c:pt>
                <c:pt idx="19">
                  <c:v>LEAD GUIDER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'16'!$J$6:$J$28</c:f>
              <c:numCache>
                <c:formatCode>_(* #,##0_);_(* \(#,##0\);_(* "-"_);_(@_)</c:formatCode>
                <c:ptCount val="23"/>
                <c:pt idx="0">
                  <c:v>5402</c:v>
                </c:pt>
                <c:pt idx="1">
                  <c:v>20685</c:v>
                </c:pt>
                <c:pt idx="2">
                  <c:v>5665</c:v>
                </c:pt>
                <c:pt idx="3">
                  <c:v>5070</c:v>
                </c:pt>
                <c:pt idx="4">
                  <c:v>1739</c:v>
                </c:pt>
                <c:pt idx="5">
                  <c:v>13952</c:v>
                </c:pt>
                <c:pt idx="6">
                  <c:v>2676</c:v>
                </c:pt>
                <c:pt idx="7">
                  <c:v>4440</c:v>
                </c:pt>
                <c:pt idx="8">
                  <c:v>391</c:v>
                </c:pt>
                <c:pt idx="9">
                  <c:v>10578</c:v>
                </c:pt>
                <c:pt idx="10">
                  <c:v>5992</c:v>
                </c:pt>
                <c:pt idx="11">
                  <c:v>18096</c:v>
                </c:pt>
                <c:pt idx="12">
                  <c:v>1068</c:v>
                </c:pt>
                <c:pt idx="13">
                  <c:v>1250</c:v>
                </c:pt>
                <c:pt idx="14">
                  <c:v>23730</c:v>
                </c:pt>
                <c:pt idx="15">
                  <c:v>8542</c:v>
                </c:pt>
                <c:pt idx="16">
                  <c:v>64084</c:v>
                </c:pt>
                <c:pt idx="17">
                  <c:v>13424</c:v>
                </c:pt>
                <c:pt idx="18">
                  <c:v>0</c:v>
                </c:pt>
                <c:pt idx="19">
                  <c:v>16720</c:v>
                </c:pt>
                <c:pt idx="20">
                  <c:v>15172</c:v>
                </c:pt>
                <c:pt idx="21">
                  <c:v>26944</c:v>
                </c:pt>
                <c:pt idx="22">
                  <c:v>47688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24-4E20-A7E1-89F79D8D7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'16'!$AD$6:$AD$28</c:f>
              <c:strCache>
                <c:ptCount val="23"/>
                <c:pt idx="0">
                  <c:v>0%</c:v>
                </c:pt>
                <c:pt idx="1">
                  <c:v>100%</c:v>
                </c:pt>
                <c:pt idx="2">
                  <c:v>96%</c:v>
                </c:pt>
                <c:pt idx="3">
                  <c:v>96%</c:v>
                </c:pt>
                <c:pt idx="4">
                  <c:v>0%</c:v>
                </c:pt>
                <c:pt idx="5">
                  <c:v>0%</c:v>
                </c:pt>
                <c:pt idx="6">
                  <c:v>71%</c:v>
                </c:pt>
                <c:pt idx="7">
                  <c:v>100%</c:v>
                </c:pt>
                <c:pt idx="8">
                  <c:v>0%</c:v>
                </c:pt>
                <c:pt idx="9">
                  <c:v>100%</c:v>
                </c:pt>
                <c:pt idx="10">
                  <c:v>100%</c:v>
                </c:pt>
                <c:pt idx="11">
                  <c:v>100%</c:v>
                </c:pt>
                <c:pt idx="12">
                  <c:v>21%</c:v>
                </c:pt>
                <c:pt idx="13">
                  <c:v>29%</c:v>
                </c:pt>
                <c:pt idx="14">
                  <c:v>100%</c:v>
                </c:pt>
                <c:pt idx="15">
                  <c:v>88%</c:v>
                </c:pt>
                <c:pt idx="16">
                  <c:v>100%</c:v>
                </c:pt>
                <c:pt idx="17">
                  <c:v>58%</c:v>
                </c:pt>
                <c:pt idx="18">
                  <c:v>0%</c:v>
                </c:pt>
                <c:pt idx="19">
                  <c:v>63%</c:v>
                </c:pt>
                <c:pt idx="20">
                  <c:v>58%</c:v>
                </c:pt>
                <c:pt idx="21">
                  <c:v>0%</c:v>
                </c:pt>
                <c:pt idx="22">
                  <c:v>63%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'16'!$D$6:$D$28</c:f>
              <c:strCache>
                <c:ptCount val="22"/>
                <c:pt idx="0">
                  <c:v>ADAPTER</c:v>
                </c:pt>
                <c:pt idx="1">
                  <c:v>INNER</c:v>
                </c:pt>
                <c:pt idx="2">
                  <c:v>COVER/HOLDER</c:v>
                </c:pt>
                <c:pt idx="3">
                  <c:v>STOPPER</c:v>
                </c:pt>
                <c:pt idx="4">
                  <c:v>COVER</c:v>
                </c:pt>
                <c:pt idx="5">
                  <c:v>22P</c:v>
                </c:pt>
                <c:pt idx="6">
                  <c:v>LEAD GUIDER</c:v>
                </c:pt>
                <c:pt idx="7">
                  <c:v>TOP</c:v>
                </c:pt>
                <c:pt idx="8">
                  <c:v>BASE</c:v>
                </c:pt>
                <c:pt idx="9">
                  <c:v>ADAPTER</c:v>
                </c:pt>
                <c:pt idx="10">
                  <c:v>SLIDER</c:v>
                </c:pt>
                <c:pt idx="11">
                  <c:v>SLIDER</c:v>
                </c:pt>
                <c:pt idx="12">
                  <c:v>PLUNGER</c:v>
                </c:pt>
                <c:pt idx="13">
                  <c:v>TOP/BOTTOM</c:v>
                </c:pt>
                <c:pt idx="14">
                  <c:v>REAR COVER</c:v>
                </c:pt>
                <c:pt idx="15">
                  <c:v>BASE</c:v>
                </c:pt>
                <c:pt idx="17">
                  <c:v>BASE</c:v>
                </c:pt>
                <c:pt idx="19">
                  <c:v>LEAD GUIDER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'16'!$AD$6:$AD$28</c:f>
              <c:numCache>
                <c:formatCode>0%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</c:v>
                </c:pt>
                <c:pt idx="5">
                  <c:v>0</c:v>
                </c:pt>
                <c:pt idx="6">
                  <c:v>0.70833333333333337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0.20833333333333334</c:v>
                </c:pt>
                <c:pt idx="13">
                  <c:v>0.29166666666666669</c:v>
                </c:pt>
                <c:pt idx="14">
                  <c:v>1</c:v>
                </c:pt>
                <c:pt idx="15">
                  <c:v>0.875</c:v>
                </c:pt>
                <c:pt idx="16">
                  <c:v>1</c:v>
                </c:pt>
                <c:pt idx="17">
                  <c:v>0.58333333333333337</c:v>
                </c:pt>
                <c:pt idx="18">
                  <c:v>0</c:v>
                </c:pt>
                <c:pt idx="19">
                  <c:v>0.625</c:v>
                </c:pt>
                <c:pt idx="20">
                  <c:v>0.58333333333333337</c:v>
                </c:pt>
                <c:pt idx="21">
                  <c:v>0</c:v>
                </c:pt>
                <c:pt idx="22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2-461E-9A11-488332B6E3C2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522-461E-9A11-488332B6E3C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'16'!$D$6:$D$28</c:f>
              <c:strCache>
                <c:ptCount val="22"/>
                <c:pt idx="0">
                  <c:v>ADAPTER</c:v>
                </c:pt>
                <c:pt idx="1">
                  <c:v>INNER</c:v>
                </c:pt>
                <c:pt idx="2">
                  <c:v>COVER/HOLDER</c:v>
                </c:pt>
                <c:pt idx="3">
                  <c:v>STOPPER</c:v>
                </c:pt>
                <c:pt idx="4">
                  <c:v>COVER</c:v>
                </c:pt>
                <c:pt idx="5">
                  <c:v>22P</c:v>
                </c:pt>
                <c:pt idx="6">
                  <c:v>LEAD GUIDER</c:v>
                </c:pt>
                <c:pt idx="7">
                  <c:v>TOP</c:v>
                </c:pt>
                <c:pt idx="8">
                  <c:v>BASE</c:v>
                </c:pt>
                <c:pt idx="9">
                  <c:v>ADAPTER</c:v>
                </c:pt>
                <c:pt idx="10">
                  <c:v>SLIDER</c:v>
                </c:pt>
                <c:pt idx="11">
                  <c:v>SLIDER</c:v>
                </c:pt>
                <c:pt idx="12">
                  <c:v>PLUNGER</c:v>
                </c:pt>
                <c:pt idx="13">
                  <c:v>TOP/BOTTOM</c:v>
                </c:pt>
                <c:pt idx="14">
                  <c:v>REAR COVER</c:v>
                </c:pt>
                <c:pt idx="15">
                  <c:v>BASE</c:v>
                </c:pt>
                <c:pt idx="17">
                  <c:v>BASE</c:v>
                </c:pt>
                <c:pt idx="19">
                  <c:v>LEAD GUIDER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'16'!$AE$6:$AE$28</c:f>
              <c:numCache>
                <c:formatCode>0%</c:formatCode>
                <c:ptCount val="23"/>
                <c:pt idx="0">
                  <c:v>0.58333333333333337</c:v>
                </c:pt>
                <c:pt idx="1">
                  <c:v>0.58333333333333337</c:v>
                </c:pt>
                <c:pt idx="2">
                  <c:v>0.58333333333333337</c:v>
                </c:pt>
                <c:pt idx="3">
                  <c:v>0.58333333333333337</c:v>
                </c:pt>
                <c:pt idx="4">
                  <c:v>0.58333333333333337</c:v>
                </c:pt>
                <c:pt idx="5">
                  <c:v>0.58333333333333337</c:v>
                </c:pt>
                <c:pt idx="6">
                  <c:v>0.58333333333333337</c:v>
                </c:pt>
                <c:pt idx="7">
                  <c:v>0.58333333333333337</c:v>
                </c:pt>
                <c:pt idx="8">
                  <c:v>0.58333333333333337</c:v>
                </c:pt>
                <c:pt idx="9">
                  <c:v>0.58333333333333337</c:v>
                </c:pt>
                <c:pt idx="10">
                  <c:v>0.58333333333333337</c:v>
                </c:pt>
                <c:pt idx="11">
                  <c:v>0.58333333333333337</c:v>
                </c:pt>
                <c:pt idx="12">
                  <c:v>0.58333333333333337</c:v>
                </c:pt>
                <c:pt idx="13">
                  <c:v>0.58333333333333337</c:v>
                </c:pt>
                <c:pt idx="14">
                  <c:v>0.58333333333333337</c:v>
                </c:pt>
                <c:pt idx="15">
                  <c:v>0.58333333333333337</c:v>
                </c:pt>
                <c:pt idx="16">
                  <c:v>0.58333333333333337</c:v>
                </c:pt>
                <c:pt idx="17">
                  <c:v>0.58333333333333337</c:v>
                </c:pt>
                <c:pt idx="18">
                  <c:v>0.58333333333333337</c:v>
                </c:pt>
                <c:pt idx="19">
                  <c:v>0.58333333333333337</c:v>
                </c:pt>
                <c:pt idx="20">
                  <c:v>0.58333333333333337</c:v>
                </c:pt>
                <c:pt idx="21">
                  <c:v>0.58333333333333337</c:v>
                </c:pt>
                <c:pt idx="22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22-461E-9A11-488332B6E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총괄!$A$25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857B-467C-851D-7AD3E5C2C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총괄!$B$25:$AG$25</c:f>
              <c:numCache>
                <c:formatCode>0%</c:formatCode>
                <c:ptCount val="32"/>
                <c:pt idx="0">
                  <c:v>0.59455128205128216</c:v>
                </c:pt>
                <c:pt idx="1">
                  <c:v>0.64666666666666672</c:v>
                </c:pt>
                <c:pt idx="2">
                  <c:v>0.53166666666666662</c:v>
                </c:pt>
                <c:pt idx="3">
                  <c:v>0.46376811594202894</c:v>
                </c:pt>
                <c:pt idx="5">
                  <c:v>0.47159090909090912</c:v>
                </c:pt>
                <c:pt idx="6">
                  <c:v>0.40705128205128205</c:v>
                </c:pt>
                <c:pt idx="7">
                  <c:v>0.3737847222222222</c:v>
                </c:pt>
                <c:pt idx="8">
                  <c:v>0.56310012437810952</c:v>
                </c:pt>
                <c:pt idx="9">
                  <c:v>0.55862000713761029</c:v>
                </c:pt>
                <c:pt idx="12">
                  <c:v>0.60416666666666652</c:v>
                </c:pt>
                <c:pt idx="13">
                  <c:v>0.42129629629629628</c:v>
                </c:pt>
                <c:pt idx="14">
                  <c:v>0.50666666666666671</c:v>
                </c:pt>
                <c:pt idx="15">
                  <c:v>0.58333333333333337</c:v>
                </c:pt>
                <c:pt idx="16">
                  <c:v>0.6382575757575758</c:v>
                </c:pt>
                <c:pt idx="22">
                  <c:v>0.58876811594202916</c:v>
                </c:pt>
                <c:pt idx="23">
                  <c:v>0.67424242424242431</c:v>
                </c:pt>
                <c:pt idx="26">
                  <c:v>0.40909090909090901</c:v>
                </c:pt>
                <c:pt idx="27">
                  <c:v>0.47463768115942034</c:v>
                </c:pt>
                <c:pt idx="28">
                  <c:v>0.43840579710144922</c:v>
                </c:pt>
                <c:pt idx="29">
                  <c:v>0.61413043478260865</c:v>
                </c:pt>
                <c:pt idx="31">
                  <c:v>0.35212652257487181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7B-467C-851D-7AD3E5C2C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857B-467C-851D-7AD3E5C2C38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총괄!$B$26:$AG$26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B-467C-851D-7AD3E5C2C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'17'!$D$6:$D$27</c:f>
              <c:strCache>
                <c:ptCount val="21"/>
                <c:pt idx="0">
                  <c:v>ADAPTER</c:v>
                </c:pt>
                <c:pt idx="1">
                  <c:v>ADAPTER</c:v>
                </c:pt>
                <c:pt idx="2">
                  <c:v>COVER/HOLDER</c:v>
                </c:pt>
                <c:pt idx="3">
                  <c:v>STOPPER</c:v>
                </c:pt>
                <c:pt idx="4">
                  <c:v>COVER</c:v>
                </c:pt>
                <c:pt idx="5">
                  <c:v>22P</c:v>
                </c:pt>
                <c:pt idx="6">
                  <c:v>LEAD GUIDER</c:v>
                </c:pt>
                <c:pt idx="7">
                  <c:v>BOTTOM</c:v>
                </c:pt>
                <c:pt idx="8">
                  <c:v>BASE</c:v>
                </c:pt>
                <c:pt idx="9">
                  <c:v>ADAPTER</c:v>
                </c:pt>
                <c:pt idx="10">
                  <c:v>SLIDER</c:v>
                </c:pt>
                <c:pt idx="11">
                  <c:v>SLIDER</c:v>
                </c:pt>
                <c:pt idx="12">
                  <c:v>COVER</c:v>
                </c:pt>
                <c:pt idx="13">
                  <c:v>REAR COVER</c:v>
                </c:pt>
                <c:pt idx="14">
                  <c:v>BASE</c:v>
                </c:pt>
                <c:pt idx="16">
                  <c:v>BASE</c:v>
                </c:pt>
                <c:pt idx="18">
                  <c:v>LEAD GUIDER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'17'!$L$6:$L$27</c:f>
              <c:numCache>
                <c:formatCode>_(* #,##0_);_(* \(#,##0\);_(* "-"_);_(@_)</c:formatCode>
                <c:ptCount val="22"/>
                <c:pt idx="1">
                  <c:v>4962</c:v>
                </c:pt>
                <c:pt idx="2">
                  <c:v>5230</c:v>
                </c:pt>
                <c:pt idx="3">
                  <c:v>5164</c:v>
                </c:pt>
                <c:pt idx="5">
                  <c:v>4968</c:v>
                </c:pt>
                <c:pt idx="6">
                  <c:v>3717</c:v>
                </c:pt>
                <c:pt idx="7">
                  <c:v>1929</c:v>
                </c:pt>
                <c:pt idx="9">
                  <c:v>9948</c:v>
                </c:pt>
                <c:pt idx="10">
                  <c:v>5220</c:v>
                </c:pt>
                <c:pt idx="11">
                  <c:v>15855</c:v>
                </c:pt>
                <c:pt idx="12">
                  <c:v>5544</c:v>
                </c:pt>
                <c:pt idx="13">
                  <c:v>20784</c:v>
                </c:pt>
                <c:pt idx="14">
                  <c:v>9846</c:v>
                </c:pt>
                <c:pt idx="15">
                  <c:v>55912</c:v>
                </c:pt>
                <c:pt idx="16">
                  <c:v>21584</c:v>
                </c:pt>
                <c:pt idx="18">
                  <c:v>23067</c:v>
                </c:pt>
                <c:pt idx="19">
                  <c:v>24432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9-4552-A397-2D24897C4CAC}"/>
            </c:ext>
          </c:extLst>
        </c:ser>
        <c:ser>
          <c:idx val="1"/>
          <c:order val="1"/>
          <c:tx>
            <c:v>계획</c:v>
          </c:tx>
          <c:cat>
            <c:strRef>
              <c:f>'17'!$D$6:$D$27</c:f>
              <c:strCache>
                <c:ptCount val="21"/>
                <c:pt idx="0">
                  <c:v>ADAPTER</c:v>
                </c:pt>
                <c:pt idx="1">
                  <c:v>ADAPTER</c:v>
                </c:pt>
                <c:pt idx="2">
                  <c:v>COVER/HOLDER</c:v>
                </c:pt>
                <c:pt idx="3">
                  <c:v>STOPPER</c:v>
                </c:pt>
                <c:pt idx="4">
                  <c:v>COVER</c:v>
                </c:pt>
                <c:pt idx="5">
                  <c:v>22P</c:v>
                </c:pt>
                <c:pt idx="6">
                  <c:v>LEAD GUIDER</c:v>
                </c:pt>
                <c:pt idx="7">
                  <c:v>BOTTOM</c:v>
                </c:pt>
                <c:pt idx="8">
                  <c:v>BASE</c:v>
                </c:pt>
                <c:pt idx="9">
                  <c:v>ADAPTER</c:v>
                </c:pt>
                <c:pt idx="10">
                  <c:v>SLIDER</c:v>
                </c:pt>
                <c:pt idx="11">
                  <c:v>SLIDER</c:v>
                </c:pt>
                <c:pt idx="12">
                  <c:v>COVER</c:v>
                </c:pt>
                <c:pt idx="13">
                  <c:v>REAR COVER</c:v>
                </c:pt>
                <c:pt idx="14">
                  <c:v>BASE</c:v>
                </c:pt>
                <c:pt idx="16">
                  <c:v>BASE</c:v>
                </c:pt>
                <c:pt idx="18">
                  <c:v>LEAD GUIDER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'17'!$J$6:$J$27</c:f>
              <c:numCache>
                <c:formatCode>_(* #,##0_);_(* \(#,##0\);_(* "-"_);_(@_)</c:formatCode>
                <c:ptCount val="22"/>
                <c:pt idx="0">
                  <c:v>5402</c:v>
                </c:pt>
                <c:pt idx="1">
                  <c:v>4962</c:v>
                </c:pt>
                <c:pt idx="2">
                  <c:v>5230</c:v>
                </c:pt>
                <c:pt idx="3">
                  <c:v>5164</c:v>
                </c:pt>
                <c:pt idx="4">
                  <c:v>1739</c:v>
                </c:pt>
                <c:pt idx="5">
                  <c:v>4968</c:v>
                </c:pt>
                <c:pt idx="6">
                  <c:v>3717</c:v>
                </c:pt>
                <c:pt idx="7">
                  <c:v>1929</c:v>
                </c:pt>
                <c:pt idx="8">
                  <c:v>391</c:v>
                </c:pt>
                <c:pt idx="9">
                  <c:v>9948</c:v>
                </c:pt>
                <c:pt idx="10">
                  <c:v>5220</c:v>
                </c:pt>
                <c:pt idx="11">
                  <c:v>15855</c:v>
                </c:pt>
                <c:pt idx="12">
                  <c:v>5544</c:v>
                </c:pt>
                <c:pt idx="13">
                  <c:v>20784</c:v>
                </c:pt>
                <c:pt idx="14">
                  <c:v>9846</c:v>
                </c:pt>
                <c:pt idx="15">
                  <c:v>55912</c:v>
                </c:pt>
                <c:pt idx="16">
                  <c:v>21584</c:v>
                </c:pt>
                <c:pt idx="17">
                  <c:v>0</c:v>
                </c:pt>
                <c:pt idx="18">
                  <c:v>23067</c:v>
                </c:pt>
                <c:pt idx="19">
                  <c:v>24432</c:v>
                </c:pt>
                <c:pt idx="20">
                  <c:v>26944</c:v>
                </c:pt>
                <c:pt idx="21">
                  <c:v>47688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9-4552-A397-2D24897C4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'17'!$AD$6:$AD$27</c:f>
              <c:strCache>
                <c:ptCount val="22"/>
                <c:pt idx="0">
                  <c:v>0%</c:v>
                </c:pt>
                <c:pt idx="1">
                  <c:v>100%</c:v>
                </c:pt>
                <c:pt idx="2">
                  <c:v>100%</c:v>
                </c:pt>
                <c:pt idx="3">
                  <c:v>96%</c:v>
                </c:pt>
                <c:pt idx="4">
                  <c:v>0%</c:v>
                </c:pt>
                <c:pt idx="5">
                  <c:v>17%</c:v>
                </c:pt>
                <c:pt idx="6">
                  <c:v>88%</c:v>
                </c:pt>
                <c:pt idx="7">
                  <c:v>54%</c:v>
                </c:pt>
                <c:pt idx="8">
                  <c:v>0%</c:v>
                </c:pt>
                <c:pt idx="9">
                  <c:v>100%</c:v>
                </c:pt>
                <c:pt idx="10">
                  <c:v>100%</c:v>
                </c:pt>
                <c:pt idx="11">
                  <c:v>100%</c:v>
                </c:pt>
                <c:pt idx="12">
                  <c:v>54%</c:v>
                </c:pt>
                <c:pt idx="13">
                  <c:v>100%</c:v>
                </c:pt>
                <c:pt idx="14">
                  <c:v>100%</c:v>
                </c:pt>
                <c:pt idx="15">
                  <c:v>100%</c:v>
                </c:pt>
                <c:pt idx="16">
                  <c:v>100%</c:v>
                </c:pt>
                <c:pt idx="17">
                  <c:v>0%</c:v>
                </c:pt>
                <c:pt idx="18">
                  <c:v>96%</c:v>
                </c:pt>
                <c:pt idx="19">
                  <c:v>100%</c:v>
                </c:pt>
                <c:pt idx="20">
                  <c:v>0%</c:v>
                </c:pt>
                <c:pt idx="21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'17'!$D$6:$D$27</c:f>
              <c:strCache>
                <c:ptCount val="21"/>
                <c:pt idx="0">
                  <c:v>ADAPTER</c:v>
                </c:pt>
                <c:pt idx="1">
                  <c:v>ADAPTER</c:v>
                </c:pt>
                <c:pt idx="2">
                  <c:v>COVER/HOLDER</c:v>
                </c:pt>
                <c:pt idx="3">
                  <c:v>STOPPER</c:v>
                </c:pt>
                <c:pt idx="4">
                  <c:v>COVER</c:v>
                </c:pt>
                <c:pt idx="5">
                  <c:v>22P</c:v>
                </c:pt>
                <c:pt idx="6">
                  <c:v>LEAD GUIDER</c:v>
                </c:pt>
                <c:pt idx="7">
                  <c:v>BOTTOM</c:v>
                </c:pt>
                <c:pt idx="8">
                  <c:v>BASE</c:v>
                </c:pt>
                <c:pt idx="9">
                  <c:v>ADAPTER</c:v>
                </c:pt>
                <c:pt idx="10">
                  <c:v>SLIDER</c:v>
                </c:pt>
                <c:pt idx="11">
                  <c:v>SLIDER</c:v>
                </c:pt>
                <c:pt idx="12">
                  <c:v>COVER</c:v>
                </c:pt>
                <c:pt idx="13">
                  <c:v>REAR COVER</c:v>
                </c:pt>
                <c:pt idx="14">
                  <c:v>BASE</c:v>
                </c:pt>
                <c:pt idx="16">
                  <c:v>BASE</c:v>
                </c:pt>
                <c:pt idx="18">
                  <c:v>LEAD GUIDER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'17'!$AD$6:$AD$27</c:f>
              <c:numCache>
                <c:formatCode>0%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0.95833333333333337</c:v>
                </c:pt>
                <c:pt idx="4">
                  <c:v>0</c:v>
                </c:pt>
                <c:pt idx="5">
                  <c:v>0.16666666666666666</c:v>
                </c:pt>
                <c:pt idx="6">
                  <c:v>0.875</c:v>
                </c:pt>
                <c:pt idx="7">
                  <c:v>0.54166666666666663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0.54166666666666663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0.95833333333333337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E3-430B-9985-52F947031BF9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E3-430B-9985-52F947031BF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'17'!$D$6:$D$27</c:f>
              <c:strCache>
                <c:ptCount val="21"/>
                <c:pt idx="0">
                  <c:v>ADAPTER</c:v>
                </c:pt>
                <c:pt idx="1">
                  <c:v>ADAPTER</c:v>
                </c:pt>
                <c:pt idx="2">
                  <c:v>COVER/HOLDER</c:v>
                </c:pt>
                <c:pt idx="3">
                  <c:v>STOPPER</c:v>
                </c:pt>
                <c:pt idx="4">
                  <c:v>COVER</c:v>
                </c:pt>
                <c:pt idx="5">
                  <c:v>22P</c:v>
                </c:pt>
                <c:pt idx="6">
                  <c:v>LEAD GUIDER</c:v>
                </c:pt>
                <c:pt idx="7">
                  <c:v>BOTTOM</c:v>
                </c:pt>
                <c:pt idx="8">
                  <c:v>BASE</c:v>
                </c:pt>
                <c:pt idx="9">
                  <c:v>ADAPTER</c:v>
                </c:pt>
                <c:pt idx="10">
                  <c:v>SLIDER</c:v>
                </c:pt>
                <c:pt idx="11">
                  <c:v>SLIDER</c:v>
                </c:pt>
                <c:pt idx="12">
                  <c:v>COVER</c:v>
                </c:pt>
                <c:pt idx="13">
                  <c:v>REAR COVER</c:v>
                </c:pt>
                <c:pt idx="14">
                  <c:v>BASE</c:v>
                </c:pt>
                <c:pt idx="16">
                  <c:v>BASE</c:v>
                </c:pt>
                <c:pt idx="18">
                  <c:v>LEAD GUIDER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'17'!$AE$6:$AE$27</c:f>
              <c:numCache>
                <c:formatCode>0%</c:formatCode>
                <c:ptCount val="22"/>
                <c:pt idx="0">
                  <c:v>0.6382575757575758</c:v>
                </c:pt>
                <c:pt idx="1">
                  <c:v>0.6382575757575758</c:v>
                </c:pt>
                <c:pt idx="2">
                  <c:v>0.6382575757575758</c:v>
                </c:pt>
                <c:pt idx="3">
                  <c:v>0.6382575757575758</c:v>
                </c:pt>
                <c:pt idx="4">
                  <c:v>0.6382575757575758</c:v>
                </c:pt>
                <c:pt idx="5">
                  <c:v>0.6382575757575758</c:v>
                </c:pt>
                <c:pt idx="6">
                  <c:v>0.6382575757575758</c:v>
                </c:pt>
                <c:pt idx="7">
                  <c:v>0.6382575757575758</c:v>
                </c:pt>
                <c:pt idx="8">
                  <c:v>0.6382575757575758</c:v>
                </c:pt>
                <c:pt idx="9">
                  <c:v>0.6382575757575758</c:v>
                </c:pt>
                <c:pt idx="10">
                  <c:v>0.6382575757575758</c:v>
                </c:pt>
                <c:pt idx="11">
                  <c:v>0.6382575757575758</c:v>
                </c:pt>
                <c:pt idx="12">
                  <c:v>0.6382575757575758</c:v>
                </c:pt>
                <c:pt idx="13">
                  <c:v>0.6382575757575758</c:v>
                </c:pt>
                <c:pt idx="14">
                  <c:v>0.6382575757575758</c:v>
                </c:pt>
                <c:pt idx="15">
                  <c:v>0.6382575757575758</c:v>
                </c:pt>
                <c:pt idx="16">
                  <c:v>0.6382575757575758</c:v>
                </c:pt>
                <c:pt idx="17">
                  <c:v>0.6382575757575758</c:v>
                </c:pt>
                <c:pt idx="18">
                  <c:v>0.6382575757575758</c:v>
                </c:pt>
                <c:pt idx="19">
                  <c:v>0.6382575757575758</c:v>
                </c:pt>
                <c:pt idx="20">
                  <c:v>0.6382575757575758</c:v>
                </c:pt>
                <c:pt idx="21">
                  <c:v>0.6382575757575758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3-430B-9985-52F947031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864127889076517E-2"/>
          <c:y val="6.4095047578651546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'17'!$D$6:$D$27</c:f>
              <c:strCache>
                <c:ptCount val="21"/>
                <c:pt idx="0">
                  <c:v>ADAPTER</c:v>
                </c:pt>
                <c:pt idx="1">
                  <c:v>ADAPTER</c:v>
                </c:pt>
                <c:pt idx="2">
                  <c:v>COVER/HOLDER</c:v>
                </c:pt>
                <c:pt idx="3">
                  <c:v>STOPPER</c:v>
                </c:pt>
                <c:pt idx="4">
                  <c:v>COVER</c:v>
                </c:pt>
                <c:pt idx="5">
                  <c:v>22P</c:v>
                </c:pt>
                <c:pt idx="6">
                  <c:v>LEAD GUIDER</c:v>
                </c:pt>
                <c:pt idx="7">
                  <c:v>BOTTOM</c:v>
                </c:pt>
                <c:pt idx="8">
                  <c:v>BASE</c:v>
                </c:pt>
                <c:pt idx="9">
                  <c:v>ADAPTER</c:v>
                </c:pt>
                <c:pt idx="10">
                  <c:v>SLIDER</c:v>
                </c:pt>
                <c:pt idx="11">
                  <c:v>SLIDER</c:v>
                </c:pt>
                <c:pt idx="12">
                  <c:v>COVER</c:v>
                </c:pt>
                <c:pt idx="13">
                  <c:v>REAR COVER</c:v>
                </c:pt>
                <c:pt idx="14">
                  <c:v>BASE</c:v>
                </c:pt>
                <c:pt idx="16">
                  <c:v>BASE</c:v>
                </c:pt>
                <c:pt idx="18">
                  <c:v>LEAD GUIDER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'17'!$L$6:$L$27</c:f>
              <c:numCache>
                <c:formatCode>_(* #,##0_);_(* \(#,##0\);_(* "-"_);_(@_)</c:formatCode>
                <c:ptCount val="22"/>
                <c:pt idx="1">
                  <c:v>4962</c:v>
                </c:pt>
                <c:pt idx="2">
                  <c:v>5230</c:v>
                </c:pt>
                <c:pt idx="3">
                  <c:v>5164</c:v>
                </c:pt>
                <c:pt idx="5">
                  <c:v>4968</c:v>
                </c:pt>
                <c:pt idx="6">
                  <c:v>3717</c:v>
                </c:pt>
                <c:pt idx="7">
                  <c:v>1929</c:v>
                </c:pt>
                <c:pt idx="9">
                  <c:v>9948</c:v>
                </c:pt>
                <c:pt idx="10">
                  <c:v>5220</c:v>
                </c:pt>
                <c:pt idx="11">
                  <c:v>15855</c:v>
                </c:pt>
                <c:pt idx="12">
                  <c:v>5544</c:v>
                </c:pt>
                <c:pt idx="13">
                  <c:v>20784</c:v>
                </c:pt>
                <c:pt idx="14">
                  <c:v>9846</c:v>
                </c:pt>
                <c:pt idx="15">
                  <c:v>55912</c:v>
                </c:pt>
                <c:pt idx="16">
                  <c:v>21584</c:v>
                </c:pt>
                <c:pt idx="18">
                  <c:v>23067</c:v>
                </c:pt>
                <c:pt idx="19">
                  <c:v>24432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9-47FC-AD39-8EE0BE569270}"/>
            </c:ext>
          </c:extLst>
        </c:ser>
        <c:ser>
          <c:idx val="1"/>
          <c:order val="1"/>
          <c:tx>
            <c:v>계획</c:v>
          </c:tx>
          <c:cat>
            <c:strRef>
              <c:f>'17'!$D$6:$D$27</c:f>
              <c:strCache>
                <c:ptCount val="21"/>
                <c:pt idx="0">
                  <c:v>ADAPTER</c:v>
                </c:pt>
                <c:pt idx="1">
                  <c:v>ADAPTER</c:v>
                </c:pt>
                <c:pt idx="2">
                  <c:v>COVER/HOLDER</c:v>
                </c:pt>
                <c:pt idx="3">
                  <c:v>STOPPER</c:v>
                </c:pt>
                <c:pt idx="4">
                  <c:v>COVER</c:v>
                </c:pt>
                <c:pt idx="5">
                  <c:v>22P</c:v>
                </c:pt>
                <c:pt idx="6">
                  <c:v>LEAD GUIDER</c:v>
                </c:pt>
                <c:pt idx="7">
                  <c:v>BOTTOM</c:v>
                </c:pt>
                <c:pt idx="8">
                  <c:v>BASE</c:v>
                </c:pt>
                <c:pt idx="9">
                  <c:v>ADAPTER</c:v>
                </c:pt>
                <c:pt idx="10">
                  <c:v>SLIDER</c:v>
                </c:pt>
                <c:pt idx="11">
                  <c:v>SLIDER</c:v>
                </c:pt>
                <c:pt idx="12">
                  <c:v>COVER</c:v>
                </c:pt>
                <c:pt idx="13">
                  <c:v>REAR COVER</c:v>
                </c:pt>
                <c:pt idx="14">
                  <c:v>BASE</c:v>
                </c:pt>
                <c:pt idx="16">
                  <c:v>BASE</c:v>
                </c:pt>
                <c:pt idx="18">
                  <c:v>LEAD GUIDER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'17'!$J$6:$J$27</c:f>
              <c:numCache>
                <c:formatCode>_(* #,##0_);_(* \(#,##0\);_(* "-"_);_(@_)</c:formatCode>
                <c:ptCount val="22"/>
                <c:pt idx="0">
                  <c:v>5402</c:v>
                </c:pt>
                <c:pt idx="1">
                  <c:v>4962</c:v>
                </c:pt>
                <c:pt idx="2">
                  <c:v>5230</c:v>
                </c:pt>
                <c:pt idx="3">
                  <c:v>5164</c:v>
                </c:pt>
                <c:pt idx="4">
                  <c:v>1739</c:v>
                </c:pt>
                <c:pt idx="5">
                  <c:v>4968</c:v>
                </c:pt>
                <c:pt idx="6">
                  <c:v>3717</c:v>
                </c:pt>
                <c:pt idx="7">
                  <c:v>1929</c:v>
                </c:pt>
                <c:pt idx="8">
                  <c:v>391</c:v>
                </c:pt>
                <c:pt idx="9">
                  <c:v>9948</c:v>
                </c:pt>
                <c:pt idx="10">
                  <c:v>5220</c:v>
                </c:pt>
                <c:pt idx="11">
                  <c:v>15855</c:v>
                </c:pt>
                <c:pt idx="12">
                  <c:v>5544</c:v>
                </c:pt>
                <c:pt idx="13">
                  <c:v>20784</c:v>
                </c:pt>
                <c:pt idx="14">
                  <c:v>9846</c:v>
                </c:pt>
                <c:pt idx="15">
                  <c:v>55912</c:v>
                </c:pt>
                <c:pt idx="16">
                  <c:v>21584</c:v>
                </c:pt>
                <c:pt idx="17">
                  <c:v>0</c:v>
                </c:pt>
                <c:pt idx="18">
                  <c:v>23067</c:v>
                </c:pt>
                <c:pt idx="19">
                  <c:v>24432</c:v>
                </c:pt>
                <c:pt idx="20">
                  <c:v>26944</c:v>
                </c:pt>
                <c:pt idx="21">
                  <c:v>47688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19-47FC-AD39-8EE0BE569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'17'!$AD$6:$AD$27</c:f>
              <c:strCache>
                <c:ptCount val="22"/>
                <c:pt idx="0">
                  <c:v>0%</c:v>
                </c:pt>
                <c:pt idx="1">
                  <c:v>100%</c:v>
                </c:pt>
                <c:pt idx="2">
                  <c:v>100%</c:v>
                </c:pt>
                <c:pt idx="3">
                  <c:v>96%</c:v>
                </c:pt>
                <c:pt idx="4">
                  <c:v>0%</c:v>
                </c:pt>
                <c:pt idx="5">
                  <c:v>17%</c:v>
                </c:pt>
                <c:pt idx="6">
                  <c:v>88%</c:v>
                </c:pt>
                <c:pt idx="7">
                  <c:v>54%</c:v>
                </c:pt>
                <c:pt idx="8">
                  <c:v>0%</c:v>
                </c:pt>
                <c:pt idx="9">
                  <c:v>100%</c:v>
                </c:pt>
                <c:pt idx="10">
                  <c:v>100%</c:v>
                </c:pt>
                <c:pt idx="11">
                  <c:v>100%</c:v>
                </c:pt>
                <c:pt idx="12">
                  <c:v>54%</c:v>
                </c:pt>
                <c:pt idx="13">
                  <c:v>100%</c:v>
                </c:pt>
                <c:pt idx="14">
                  <c:v>100%</c:v>
                </c:pt>
                <c:pt idx="15">
                  <c:v>100%</c:v>
                </c:pt>
                <c:pt idx="16">
                  <c:v>100%</c:v>
                </c:pt>
                <c:pt idx="17">
                  <c:v>0%</c:v>
                </c:pt>
                <c:pt idx="18">
                  <c:v>96%</c:v>
                </c:pt>
                <c:pt idx="19">
                  <c:v>100%</c:v>
                </c:pt>
                <c:pt idx="20">
                  <c:v>0%</c:v>
                </c:pt>
                <c:pt idx="21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'17'!$D$6:$D$27</c:f>
              <c:strCache>
                <c:ptCount val="21"/>
                <c:pt idx="0">
                  <c:v>ADAPTER</c:v>
                </c:pt>
                <c:pt idx="1">
                  <c:v>ADAPTER</c:v>
                </c:pt>
                <c:pt idx="2">
                  <c:v>COVER/HOLDER</c:v>
                </c:pt>
                <c:pt idx="3">
                  <c:v>STOPPER</c:v>
                </c:pt>
                <c:pt idx="4">
                  <c:v>COVER</c:v>
                </c:pt>
                <c:pt idx="5">
                  <c:v>22P</c:v>
                </c:pt>
                <c:pt idx="6">
                  <c:v>LEAD GUIDER</c:v>
                </c:pt>
                <c:pt idx="7">
                  <c:v>BOTTOM</c:v>
                </c:pt>
                <c:pt idx="8">
                  <c:v>BASE</c:v>
                </c:pt>
                <c:pt idx="9">
                  <c:v>ADAPTER</c:v>
                </c:pt>
                <c:pt idx="10">
                  <c:v>SLIDER</c:v>
                </c:pt>
                <c:pt idx="11">
                  <c:v>SLIDER</c:v>
                </c:pt>
                <c:pt idx="12">
                  <c:v>COVER</c:v>
                </c:pt>
                <c:pt idx="13">
                  <c:v>REAR COVER</c:v>
                </c:pt>
                <c:pt idx="14">
                  <c:v>BASE</c:v>
                </c:pt>
                <c:pt idx="16">
                  <c:v>BASE</c:v>
                </c:pt>
                <c:pt idx="18">
                  <c:v>LEAD GUIDER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'17'!$AD$6:$AD$27</c:f>
              <c:numCache>
                <c:formatCode>0%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0.95833333333333337</c:v>
                </c:pt>
                <c:pt idx="4">
                  <c:v>0</c:v>
                </c:pt>
                <c:pt idx="5">
                  <c:v>0.16666666666666666</c:v>
                </c:pt>
                <c:pt idx="6">
                  <c:v>0.875</c:v>
                </c:pt>
                <c:pt idx="7">
                  <c:v>0.54166666666666663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0.54166666666666663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0.95833333333333337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A-4ED1-B053-661787B1B82D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29A-4ED1-B053-661787B1B82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'17'!$D$6:$D$27</c:f>
              <c:strCache>
                <c:ptCount val="21"/>
                <c:pt idx="0">
                  <c:v>ADAPTER</c:v>
                </c:pt>
                <c:pt idx="1">
                  <c:v>ADAPTER</c:v>
                </c:pt>
                <c:pt idx="2">
                  <c:v>COVER/HOLDER</c:v>
                </c:pt>
                <c:pt idx="3">
                  <c:v>STOPPER</c:v>
                </c:pt>
                <c:pt idx="4">
                  <c:v>COVER</c:v>
                </c:pt>
                <c:pt idx="5">
                  <c:v>22P</c:v>
                </c:pt>
                <c:pt idx="6">
                  <c:v>LEAD GUIDER</c:v>
                </c:pt>
                <c:pt idx="7">
                  <c:v>BOTTOM</c:v>
                </c:pt>
                <c:pt idx="8">
                  <c:v>BASE</c:v>
                </c:pt>
                <c:pt idx="9">
                  <c:v>ADAPTER</c:v>
                </c:pt>
                <c:pt idx="10">
                  <c:v>SLIDER</c:v>
                </c:pt>
                <c:pt idx="11">
                  <c:v>SLIDER</c:v>
                </c:pt>
                <c:pt idx="12">
                  <c:v>COVER</c:v>
                </c:pt>
                <c:pt idx="13">
                  <c:v>REAR COVER</c:v>
                </c:pt>
                <c:pt idx="14">
                  <c:v>BASE</c:v>
                </c:pt>
                <c:pt idx="16">
                  <c:v>BASE</c:v>
                </c:pt>
                <c:pt idx="18">
                  <c:v>LEAD GUIDER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'17'!$AE$6:$AE$27</c:f>
              <c:numCache>
                <c:formatCode>0%</c:formatCode>
                <c:ptCount val="22"/>
                <c:pt idx="0">
                  <c:v>0.6382575757575758</c:v>
                </c:pt>
                <c:pt idx="1">
                  <c:v>0.6382575757575758</c:v>
                </c:pt>
                <c:pt idx="2">
                  <c:v>0.6382575757575758</c:v>
                </c:pt>
                <c:pt idx="3">
                  <c:v>0.6382575757575758</c:v>
                </c:pt>
                <c:pt idx="4">
                  <c:v>0.6382575757575758</c:v>
                </c:pt>
                <c:pt idx="5">
                  <c:v>0.6382575757575758</c:v>
                </c:pt>
                <c:pt idx="6">
                  <c:v>0.6382575757575758</c:v>
                </c:pt>
                <c:pt idx="7">
                  <c:v>0.6382575757575758</c:v>
                </c:pt>
                <c:pt idx="8">
                  <c:v>0.6382575757575758</c:v>
                </c:pt>
                <c:pt idx="9">
                  <c:v>0.6382575757575758</c:v>
                </c:pt>
                <c:pt idx="10">
                  <c:v>0.6382575757575758</c:v>
                </c:pt>
                <c:pt idx="11">
                  <c:v>0.6382575757575758</c:v>
                </c:pt>
                <c:pt idx="12">
                  <c:v>0.6382575757575758</c:v>
                </c:pt>
                <c:pt idx="13">
                  <c:v>0.6382575757575758</c:v>
                </c:pt>
                <c:pt idx="14">
                  <c:v>0.6382575757575758</c:v>
                </c:pt>
                <c:pt idx="15">
                  <c:v>0.6382575757575758</c:v>
                </c:pt>
                <c:pt idx="16">
                  <c:v>0.6382575757575758</c:v>
                </c:pt>
                <c:pt idx="17">
                  <c:v>0.6382575757575758</c:v>
                </c:pt>
                <c:pt idx="18">
                  <c:v>0.6382575757575758</c:v>
                </c:pt>
                <c:pt idx="19">
                  <c:v>0.6382575757575758</c:v>
                </c:pt>
                <c:pt idx="20">
                  <c:v>0.6382575757575758</c:v>
                </c:pt>
                <c:pt idx="21">
                  <c:v>0.6382575757575758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A-4ED1-B053-661787B1B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'02'!$AD$6:$AD$30</c:f>
              <c:strCache>
                <c:ptCount val="25"/>
                <c:pt idx="0">
                  <c:v>100%</c:v>
                </c:pt>
                <c:pt idx="1">
                  <c:v>100%</c:v>
                </c:pt>
                <c:pt idx="2">
                  <c:v>100%</c:v>
                </c:pt>
                <c:pt idx="3">
                  <c:v>100%</c:v>
                </c:pt>
                <c:pt idx="4">
                  <c:v>96%</c:v>
                </c:pt>
                <c:pt idx="5">
                  <c:v>33%</c:v>
                </c:pt>
                <c:pt idx="6">
                  <c:v>54%</c:v>
                </c:pt>
                <c:pt idx="7">
                  <c:v>79%</c:v>
                </c:pt>
                <c:pt idx="8">
                  <c:v>25%</c:v>
                </c:pt>
                <c:pt idx="9">
                  <c:v>42%</c:v>
                </c:pt>
                <c:pt idx="10">
                  <c:v>17%</c:v>
                </c:pt>
                <c:pt idx="11">
                  <c:v>0%</c:v>
                </c:pt>
                <c:pt idx="12">
                  <c:v>33%</c:v>
                </c:pt>
                <c:pt idx="13">
                  <c:v>75%</c:v>
                </c:pt>
                <c:pt idx="14">
                  <c:v>0%</c:v>
                </c:pt>
                <c:pt idx="15">
                  <c:v>100%</c:v>
                </c:pt>
                <c:pt idx="16">
                  <c:v>63%</c:v>
                </c:pt>
                <c:pt idx="17">
                  <c:v>100%</c:v>
                </c:pt>
                <c:pt idx="18">
                  <c:v>100%</c:v>
                </c:pt>
                <c:pt idx="19">
                  <c:v>100%</c:v>
                </c:pt>
                <c:pt idx="20">
                  <c:v>0%</c:v>
                </c:pt>
                <c:pt idx="21">
                  <c:v>100%</c:v>
                </c:pt>
                <c:pt idx="22">
                  <c:v>100%</c:v>
                </c:pt>
                <c:pt idx="23">
                  <c:v>0%</c:v>
                </c:pt>
                <c:pt idx="24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'02'!$D$6:$D$30</c:f>
              <c:strCache>
                <c:ptCount val="25"/>
                <c:pt idx="0">
                  <c:v>F/A</c:v>
                </c:pt>
                <c:pt idx="1">
                  <c:v>ADAPTER</c:v>
                </c:pt>
                <c:pt idx="2">
                  <c:v>SLIDER</c:v>
                </c:pt>
                <c:pt idx="4">
                  <c:v>COVER</c:v>
                </c:pt>
                <c:pt idx="5">
                  <c:v>BOTTOM</c:v>
                </c:pt>
                <c:pt idx="6">
                  <c:v>ADAPTER</c:v>
                </c:pt>
                <c:pt idx="7">
                  <c:v>BASE</c:v>
                </c:pt>
                <c:pt idx="8">
                  <c:v>TOP</c:v>
                </c:pt>
                <c:pt idx="9">
                  <c:v>BOTTOM</c:v>
                </c:pt>
                <c:pt idx="10">
                  <c:v>TOP</c:v>
                </c:pt>
                <c:pt idx="11">
                  <c:v>BASE</c:v>
                </c:pt>
                <c:pt idx="12">
                  <c:v>FLOATING</c:v>
                </c:pt>
                <c:pt idx="14">
                  <c:v>COVER</c:v>
                </c:pt>
                <c:pt idx="15">
                  <c:v>BASE</c:v>
                </c:pt>
                <c:pt idx="16">
                  <c:v>BASE</c:v>
                </c:pt>
                <c:pt idx="17">
                  <c:v>BASE</c:v>
                </c:pt>
                <c:pt idx="21">
                  <c:v>LEAD GUIDER</c:v>
                </c:pt>
                <c:pt idx="22">
                  <c:v>SLIDER</c:v>
                </c:pt>
                <c:pt idx="23">
                  <c:v>COVER</c:v>
                </c:pt>
                <c:pt idx="24">
                  <c:v>BASE</c:v>
                </c:pt>
              </c:strCache>
            </c:strRef>
          </c:cat>
          <c:val>
            <c:numRef>
              <c:f>'02'!$AD$6:$AD$30</c:f>
              <c:numCache>
                <c:formatCode>0%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0.95833333333333337</c:v>
                </c:pt>
                <c:pt idx="5">
                  <c:v>0.33333333333333331</c:v>
                </c:pt>
                <c:pt idx="6">
                  <c:v>0.54166666666666663</c:v>
                </c:pt>
                <c:pt idx="7">
                  <c:v>0.79166666666666663</c:v>
                </c:pt>
                <c:pt idx="8">
                  <c:v>0.25</c:v>
                </c:pt>
                <c:pt idx="9">
                  <c:v>0.41666666666666669</c:v>
                </c:pt>
                <c:pt idx="10">
                  <c:v>0.16666666666666666</c:v>
                </c:pt>
                <c:pt idx="11">
                  <c:v>0</c:v>
                </c:pt>
                <c:pt idx="12">
                  <c:v>0.33333333333333331</c:v>
                </c:pt>
                <c:pt idx="13">
                  <c:v>0.75</c:v>
                </c:pt>
                <c:pt idx="14">
                  <c:v>0</c:v>
                </c:pt>
                <c:pt idx="15">
                  <c:v>1</c:v>
                </c:pt>
                <c:pt idx="16">
                  <c:v>0.625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4-4635-A336-EFBE831D6B30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94-4635-A336-EFBE831D6B3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'02'!$D$6:$D$30</c:f>
              <c:strCache>
                <c:ptCount val="25"/>
                <c:pt idx="0">
                  <c:v>F/A</c:v>
                </c:pt>
                <c:pt idx="1">
                  <c:v>ADAPTER</c:v>
                </c:pt>
                <c:pt idx="2">
                  <c:v>SLIDER</c:v>
                </c:pt>
                <c:pt idx="4">
                  <c:v>COVER</c:v>
                </c:pt>
                <c:pt idx="5">
                  <c:v>BOTTOM</c:v>
                </c:pt>
                <c:pt idx="6">
                  <c:v>ADAPTER</c:v>
                </c:pt>
                <c:pt idx="7">
                  <c:v>BASE</c:v>
                </c:pt>
                <c:pt idx="8">
                  <c:v>TOP</c:v>
                </c:pt>
                <c:pt idx="9">
                  <c:v>BOTTOM</c:v>
                </c:pt>
                <c:pt idx="10">
                  <c:v>TOP</c:v>
                </c:pt>
                <c:pt idx="11">
                  <c:v>BASE</c:v>
                </c:pt>
                <c:pt idx="12">
                  <c:v>FLOATING</c:v>
                </c:pt>
                <c:pt idx="14">
                  <c:v>COVER</c:v>
                </c:pt>
                <c:pt idx="15">
                  <c:v>BASE</c:v>
                </c:pt>
                <c:pt idx="16">
                  <c:v>BASE</c:v>
                </c:pt>
                <c:pt idx="17">
                  <c:v>BASE</c:v>
                </c:pt>
                <c:pt idx="21">
                  <c:v>LEAD GUIDER</c:v>
                </c:pt>
                <c:pt idx="22">
                  <c:v>SLIDER</c:v>
                </c:pt>
                <c:pt idx="23">
                  <c:v>COVER</c:v>
                </c:pt>
                <c:pt idx="24">
                  <c:v>BASE</c:v>
                </c:pt>
              </c:strCache>
            </c:strRef>
          </c:cat>
          <c:val>
            <c:numRef>
              <c:f>'02'!$AE$6:$AE$30</c:f>
              <c:numCache>
                <c:formatCode>0%</c:formatCode>
                <c:ptCount val="25"/>
                <c:pt idx="0">
                  <c:v>0.64666666666666672</c:v>
                </c:pt>
                <c:pt idx="1">
                  <c:v>0.64666666666666672</c:v>
                </c:pt>
                <c:pt idx="2">
                  <c:v>0.64666666666666672</c:v>
                </c:pt>
                <c:pt idx="3">
                  <c:v>0.64666666666666672</c:v>
                </c:pt>
                <c:pt idx="4">
                  <c:v>0.64666666666666672</c:v>
                </c:pt>
                <c:pt idx="5">
                  <c:v>0.64666666666666672</c:v>
                </c:pt>
                <c:pt idx="6">
                  <c:v>0.64666666666666672</c:v>
                </c:pt>
                <c:pt idx="7">
                  <c:v>0.64666666666666672</c:v>
                </c:pt>
                <c:pt idx="8">
                  <c:v>0.64666666666666672</c:v>
                </c:pt>
                <c:pt idx="9">
                  <c:v>0.64666666666666672</c:v>
                </c:pt>
                <c:pt idx="10">
                  <c:v>0.64666666666666672</c:v>
                </c:pt>
                <c:pt idx="11">
                  <c:v>0.64666666666666672</c:v>
                </c:pt>
                <c:pt idx="12">
                  <c:v>0.64666666666666672</c:v>
                </c:pt>
                <c:pt idx="13">
                  <c:v>0.64666666666666672</c:v>
                </c:pt>
                <c:pt idx="14">
                  <c:v>0.64666666666666672</c:v>
                </c:pt>
                <c:pt idx="15">
                  <c:v>0.64666666666666672</c:v>
                </c:pt>
                <c:pt idx="16">
                  <c:v>0.64666666666666672</c:v>
                </c:pt>
                <c:pt idx="17">
                  <c:v>0.64666666666666672</c:v>
                </c:pt>
                <c:pt idx="18">
                  <c:v>0.64666666666666672</c:v>
                </c:pt>
                <c:pt idx="19">
                  <c:v>0.64666666666666672</c:v>
                </c:pt>
                <c:pt idx="20">
                  <c:v>0.64666666666666672</c:v>
                </c:pt>
                <c:pt idx="21">
                  <c:v>0.64666666666666672</c:v>
                </c:pt>
                <c:pt idx="22">
                  <c:v>0.64666666666666672</c:v>
                </c:pt>
                <c:pt idx="23">
                  <c:v>0.64666666666666672</c:v>
                </c:pt>
                <c:pt idx="24">
                  <c:v>0.64666666666666672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4-4635-A336-EFBE831D6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총괄!$A$25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012B-4E90-86BF-72D55AC563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총괄!$B$25:$AG$25</c:f>
              <c:numCache>
                <c:formatCode>0%</c:formatCode>
                <c:ptCount val="32"/>
                <c:pt idx="0">
                  <c:v>0.59455128205128216</c:v>
                </c:pt>
                <c:pt idx="1">
                  <c:v>0.64666666666666672</c:v>
                </c:pt>
                <c:pt idx="2">
                  <c:v>0.53166666666666662</c:v>
                </c:pt>
                <c:pt idx="3">
                  <c:v>0.46376811594202894</c:v>
                </c:pt>
                <c:pt idx="5">
                  <c:v>0.47159090909090912</c:v>
                </c:pt>
                <c:pt idx="6">
                  <c:v>0.40705128205128205</c:v>
                </c:pt>
                <c:pt idx="7">
                  <c:v>0.3737847222222222</c:v>
                </c:pt>
                <c:pt idx="8">
                  <c:v>0.56310012437810952</c:v>
                </c:pt>
                <c:pt idx="9">
                  <c:v>0.55862000713761029</c:v>
                </c:pt>
                <c:pt idx="12">
                  <c:v>0.60416666666666652</c:v>
                </c:pt>
                <c:pt idx="13">
                  <c:v>0.42129629629629628</c:v>
                </c:pt>
                <c:pt idx="14">
                  <c:v>0.50666666666666671</c:v>
                </c:pt>
                <c:pt idx="15">
                  <c:v>0.58333333333333337</c:v>
                </c:pt>
                <c:pt idx="16">
                  <c:v>0.6382575757575758</c:v>
                </c:pt>
                <c:pt idx="22">
                  <c:v>0.58876811594202916</c:v>
                </c:pt>
                <c:pt idx="23">
                  <c:v>0.67424242424242431</c:v>
                </c:pt>
                <c:pt idx="26">
                  <c:v>0.40909090909090901</c:v>
                </c:pt>
                <c:pt idx="27">
                  <c:v>0.47463768115942034</c:v>
                </c:pt>
                <c:pt idx="28">
                  <c:v>0.43840579710144922</c:v>
                </c:pt>
                <c:pt idx="29">
                  <c:v>0.61413043478260865</c:v>
                </c:pt>
                <c:pt idx="31">
                  <c:v>0.35212652257487181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2B-4E90-86BF-72D55AC56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012B-4E90-86BF-72D55AC563F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총괄!$B$26:$AG$26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2B-4E90-86BF-72D55AC56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'23'!$D$6:$D$28</c:f>
              <c:strCache>
                <c:ptCount val="22"/>
                <c:pt idx="0">
                  <c:v>ADAPTER</c:v>
                </c:pt>
                <c:pt idx="1">
                  <c:v>ADAPTER</c:v>
                </c:pt>
                <c:pt idx="2">
                  <c:v>LATCH</c:v>
                </c:pt>
                <c:pt idx="3">
                  <c:v>LEAD GUIDER</c:v>
                </c:pt>
                <c:pt idx="4">
                  <c:v>STOPPER</c:v>
                </c:pt>
                <c:pt idx="5">
                  <c:v>COVER</c:v>
                </c:pt>
                <c:pt idx="6">
                  <c:v>22P</c:v>
                </c:pt>
                <c:pt idx="7">
                  <c:v>LEAD GUIDER</c:v>
                </c:pt>
                <c:pt idx="8">
                  <c:v>BOTTOM</c:v>
                </c:pt>
                <c:pt idx="9">
                  <c:v>BASE</c:v>
                </c:pt>
                <c:pt idx="10">
                  <c:v>ADAPTER</c:v>
                </c:pt>
                <c:pt idx="11">
                  <c:v>SLIDER</c:v>
                </c:pt>
                <c:pt idx="12">
                  <c:v>SLIDER</c:v>
                </c:pt>
                <c:pt idx="13">
                  <c:v>BASE</c:v>
                </c:pt>
                <c:pt idx="14">
                  <c:v>4LEAD</c:v>
                </c:pt>
                <c:pt idx="15">
                  <c:v>BASE</c:v>
                </c:pt>
                <c:pt idx="17">
                  <c:v>BASE</c:v>
                </c:pt>
                <c:pt idx="19">
                  <c:v>LEAD GUIDER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'23'!$L$6:$L$28</c:f>
              <c:numCache>
                <c:formatCode>_(* #,##0_);_(* \(#,##0\);_(* "-"_);_(@_)</c:formatCode>
                <c:ptCount val="23"/>
                <c:pt idx="0">
                  <c:v>844</c:v>
                </c:pt>
                <c:pt idx="1">
                  <c:v>5479</c:v>
                </c:pt>
                <c:pt idx="2">
                  <c:v>10320</c:v>
                </c:pt>
                <c:pt idx="3">
                  <c:v>6400</c:v>
                </c:pt>
                <c:pt idx="4">
                  <c:v>5544</c:v>
                </c:pt>
                <c:pt idx="5">
                  <c:v>3127</c:v>
                </c:pt>
                <c:pt idx="7">
                  <c:v>4759</c:v>
                </c:pt>
                <c:pt idx="8">
                  <c:v>1975</c:v>
                </c:pt>
                <c:pt idx="10">
                  <c:v>2950</c:v>
                </c:pt>
                <c:pt idx="11">
                  <c:v>9076</c:v>
                </c:pt>
                <c:pt idx="12">
                  <c:v>16785</c:v>
                </c:pt>
                <c:pt idx="13">
                  <c:v>2735</c:v>
                </c:pt>
                <c:pt idx="14">
                  <c:v>4725</c:v>
                </c:pt>
                <c:pt idx="15">
                  <c:v>6657</c:v>
                </c:pt>
                <c:pt idx="16">
                  <c:v>44824</c:v>
                </c:pt>
                <c:pt idx="17">
                  <c:v>22708</c:v>
                </c:pt>
                <c:pt idx="19">
                  <c:v>20250</c:v>
                </c:pt>
                <c:pt idx="20">
                  <c:v>25280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F-43EA-9FEE-8FA9F06F52A5}"/>
            </c:ext>
          </c:extLst>
        </c:ser>
        <c:ser>
          <c:idx val="1"/>
          <c:order val="1"/>
          <c:tx>
            <c:v>계획</c:v>
          </c:tx>
          <c:cat>
            <c:strRef>
              <c:f>'23'!$D$6:$D$28</c:f>
              <c:strCache>
                <c:ptCount val="22"/>
                <c:pt idx="0">
                  <c:v>ADAPTER</c:v>
                </c:pt>
                <c:pt idx="1">
                  <c:v>ADAPTER</c:v>
                </c:pt>
                <c:pt idx="2">
                  <c:v>LATCH</c:v>
                </c:pt>
                <c:pt idx="3">
                  <c:v>LEAD GUIDER</c:v>
                </c:pt>
                <c:pt idx="4">
                  <c:v>STOPPER</c:v>
                </c:pt>
                <c:pt idx="5">
                  <c:v>COVER</c:v>
                </c:pt>
                <c:pt idx="6">
                  <c:v>22P</c:v>
                </c:pt>
                <c:pt idx="7">
                  <c:v>LEAD GUIDER</c:v>
                </c:pt>
                <c:pt idx="8">
                  <c:v>BOTTOM</c:v>
                </c:pt>
                <c:pt idx="9">
                  <c:v>BASE</c:v>
                </c:pt>
                <c:pt idx="10">
                  <c:v>ADAPTER</c:v>
                </c:pt>
                <c:pt idx="11">
                  <c:v>SLIDER</c:v>
                </c:pt>
                <c:pt idx="12">
                  <c:v>SLIDER</c:v>
                </c:pt>
                <c:pt idx="13">
                  <c:v>BASE</c:v>
                </c:pt>
                <c:pt idx="14">
                  <c:v>4LEAD</c:v>
                </c:pt>
                <c:pt idx="15">
                  <c:v>BASE</c:v>
                </c:pt>
                <c:pt idx="17">
                  <c:v>BASE</c:v>
                </c:pt>
                <c:pt idx="19">
                  <c:v>LEAD GUIDER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'23'!$J$6:$J$28</c:f>
              <c:numCache>
                <c:formatCode>_(* #,##0_);_(* \(#,##0\);_(* "-"_);_(@_)</c:formatCode>
                <c:ptCount val="23"/>
                <c:pt idx="0">
                  <c:v>844</c:v>
                </c:pt>
                <c:pt idx="1">
                  <c:v>5479</c:v>
                </c:pt>
                <c:pt idx="2">
                  <c:v>10320</c:v>
                </c:pt>
                <c:pt idx="3">
                  <c:v>6400</c:v>
                </c:pt>
                <c:pt idx="4">
                  <c:v>5544</c:v>
                </c:pt>
                <c:pt idx="5">
                  <c:v>3127</c:v>
                </c:pt>
                <c:pt idx="6">
                  <c:v>4968</c:v>
                </c:pt>
                <c:pt idx="7">
                  <c:v>4759</c:v>
                </c:pt>
                <c:pt idx="8">
                  <c:v>1975</c:v>
                </c:pt>
                <c:pt idx="9">
                  <c:v>391</c:v>
                </c:pt>
                <c:pt idx="10">
                  <c:v>2950</c:v>
                </c:pt>
                <c:pt idx="11">
                  <c:v>9076</c:v>
                </c:pt>
                <c:pt idx="12">
                  <c:v>16785</c:v>
                </c:pt>
                <c:pt idx="13">
                  <c:v>2735</c:v>
                </c:pt>
                <c:pt idx="14">
                  <c:v>4725</c:v>
                </c:pt>
                <c:pt idx="15">
                  <c:v>6657</c:v>
                </c:pt>
                <c:pt idx="16">
                  <c:v>44824</c:v>
                </c:pt>
                <c:pt idx="17">
                  <c:v>22708</c:v>
                </c:pt>
                <c:pt idx="18">
                  <c:v>0</c:v>
                </c:pt>
                <c:pt idx="19">
                  <c:v>20250</c:v>
                </c:pt>
                <c:pt idx="20">
                  <c:v>25280</c:v>
                </c:pt>
                <c:pt idx="21">
                  <c:v>26944</c:v>
                </c:pt>
                <c:pt idx="22">
                  <c:v>47688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BF-43EA-9FEE-8FA9F06F5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'23'!$AD$6:$AD$28</c:f>
              <c:strCache>
                <c:ptCount val="23"/>
                <c:pt idx="0">
                  <c:v>21%</c:v>
                </c:pt>
                <c:pt idx="1">
                  <c:v>100%</c:v>
                </c:pt>
                <c:pt idx="2">
                  <c:v>46%</c:v>
                </c:pt>
                <c:pt idx="3">
                  <c:v>50%</c:v>
                </c:pt>
                <c:pt idx="4">
                  <c:v>96%</c:v>
                </c:pt>
                <c:pt idx="5">
                  <c:v>58%</c:v>
                </c:pt>
                <c:pt idx="6">
                  <c:v>0%</c:v>
                </c:pt>
                <c:pt idx="7">
                  <c:v>100%</c:v>
                </c:pt>
                <c:pt idx="8">
                  <c:v>42%</c:v>
                </c:pt>
                <c:pt idx="9">
                  <c:v>0%</c:v>
                </c:pt>
                <c:pt idx="10">
                  <c:v>29%</c:v>
                </c:pt>
                <c:pt idx="11">
                  <c:v>92%</c:v>
                </c:pt>
                <c:pt idx="12">
                  <c:v>100%</c:v>
                </c:pt>
                <c:pt idx="13">
                  <c:v>67%</c:v>
                </c:pt>
                <c:pt idx="14">
                  <c:v>96%</c:v>
                </c:pt>
                <c:pt idx="15">
                  <c:v>83%</c:v>
                </c:pt>
                <c:pt idx="16">
                  <c:v>75%</c:v>
                </c:pt>
                <c:pt idx="17">
                  <c:v>100%</c:v>
                </c:pt>
                <c:pt idx="18">
                  <c:v>0%</c:v>
                </c:pt>
                <c:pt idx="19">
                  <c:v>100%</c:v>
                </c:pt>
                <c:pt idx="20">
                  <c:v>100%</c:v>
                </c:pt>
                <c:pt idx="21">
                  <c:v>0%</c:v>
                </c:pt>
                <c:pt idx="22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'23'!$D$6:$D$28</c:f>
              <c:strCache>
                <c:ptCount val="22"/>
                <c:pt idx="0">
                  <c:v>ADAPTER</c:v>
                </c:pt>
                <c:pt idx="1">
                  <c:v>ADAPTER</c:v>
                </c:pt>
                <c:pt idx="2">
                  <c:v>LATCH</c:v>
                </c:pt>
                <c:pt idx="3">
                  <c:v>LEAD GUIDER</c:v>
                </c:pt>
                <c:pt idx="4">
                  <c:v>STOPPER</c:v>
                </c:pt>
                <c:pt idx="5">
                  <c:v>COVER</c:v>
                </c:pt>
                <c:pt idx="6">
                  <c:v>22P</c:v>
                </c:pt>
                <c:pt idx="7">
                  <c:v>LEAD GUIDER</c:v>
                </c:pt>
                <c:pt idx="8">
                  <c:v>BOTTOM</c:v>
                </c:pt>
                <c:pt idx="9">
                  <c:v>BASE</c:v>
                </c:pt>
                <c:pt idx="10">
                  <c:v>ADAPTER</c:v>
                </c:pt>
                <c:pt idx="11">
                  <c:v>SLIDER</c:v>
                </c:pt>
                <c:pt idx="12">
                  <c:v>SLIDER</c:v>
                </c:pt>
                <c:pt idx="13">
                  <c:v>BASE</c:v>
                </c:pt>
                <c:pt idx="14">
                  <c:v>4LEAD</c:v>
                </c:pt>
                <c:pt idx="15">
                  <c:v>BASE</c:v>
                </c:pt>
                <c:pt idx="17">
                  <c:v>BASE</c:v>
                </c:pt>
                <c:pt idx="19">
                  <c:v>LEAD GUIDER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'23'!$AD$6:$AD$28</c:f>
              <c:numCache>
                <c:formatCode>0%</c:formatCode>
                <c:ptCount val="23"/>
                <c:pt idx="0">
                  <c:v>0.20833333333333334</c:v>
                </c:pt>
                <c:pt idx="1">
                  <c:v>1</c:v>
                </c:pt>
                <c:pt idx="2">
                  <c:v>0.45833333333333331</c:v>
                </c:pt>
                <c:pt idx="3">
                  <c:v>0.5</c:v>
                </c:pt>
                <c:pt idx="4">
                  <c:v>0.95833333333333337</c:v>
                </c:pt>
                <c:pt idx="5">
                  <c:v>0.58333333333333337</c:v>
                </c:pt>
                <c:pt idx="6">
                  <c:v>0</c:v>
                </c:pt>
                <c:pt idx="7">
                  <c:v>1</c:v>
                </c:pt>
                <c:pt idx="8">
                  <c:v>0.41666666666666669</c:v>
                </c:pt>
                <c:pt idx="9">
                  <c:v>0</c:v>
                </c:pt>
                <c:pt idx="10">
                  <c:v>0.29166666666666669</c:v>
                </c:pt>
                <c:pt idx="11">
                  <c:v>0.91666666666666663</c:v>
                </c:pt>
                <c:pt idx="12">
                  <c:v>1</c:v>
                </c:pt>
                <c:pt idx="13">
                  <c:v>0.66666666666666663</c:v>
                </c:pt>
                <c:pt idx="14">
                  <c:v>0.95833333333333337</c:v>
                </c:pt>
                <c:pt idx="15">
                  <c:v>0.83333333333333337</c:v>
                </c:pt>
                <c:pt idx="16">
                  <c:v>0.75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4-4711-8424-245FDFA262C0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54-4711-8424-245FDFA262C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'23'!$D$6:$D$28</c:f>
              <c:strCache>
                <c:ptCount val="22"/>
                <c:pt idx="0">
                  <c:v>ADAPTER</c:v>
                </c:pt>
                <c:pt idx="1">
                  <c:v>ADAPTER</c:v>
                </c:pt>
                <c:pt idx="2">
                  <c:v>LATCH</c:v>
                </c:pt>
                <c:pt idx="3">
                  <c:v>LEAD GUIDER</c:v>
                </c:pt>
                <c:pt idx="4">
                  <c:v>STOPPER</c:v>
                </c:pt>
                <c:pt idx="5">
                  <c:v>COVER</c:v>
                </c:pt>
                <c:pt idx="6">
                  <c:v>22P</c:v>
                </c:pt>
                <c:pt idx="7">
                  <c:v>LEAD GUIDER</c:v>
                </c:pt>
                <c:pt idx="8">
                  <c:v>BOTTOM</c:v>
                </c:pt>
                <c:pt idx="9">
                  <c:v>BASE</c:v>
                </c:pt>
                <c:pt idx="10">
                  <c:v>ADAPTER</c:v>
                </c:pt>
                <c:pt idx="11">
                  <c:v>SLIDER</c:v>
                </c:pt>
                <c:pt idx="12">
                  <c:v>SLIDER</c:v>
                </c:pt>
                <c:pt idx="13">
                  <c:v>BASE</c:v>
                </c:pt>
                <c:pt idx="14">
                  <c:v>4LEAD</c:v>
                </c:pt>
                <c:pt idx="15">
                  <c:v>BASE</c:v>
                </c:pt>
                <c:pt idx="17">
                  <c:v>BASE</c:v>
                </c:pt>
                <c:pt idx="19">
                  <c:v>LEAD GUIDER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'23'!$AE$6:$AE$28</c:f>
              <c:numCache>
                <c:formatCode>0%</c:formatCode>
                <c:ptCount val="23"/>
                <c:pt idx="0">
                  <c:v>0.58876811594202916</c:v>
                </c:pt>
                <c:pt idx="1">
                  <c:v>0.58876811594202916</c:v>
                </c:pt>
                <c:pt idx="2">
                  <c:v>0.58876811594202916</c:v>
                </c:pt>
                <c:pt idx="3">
                  <c:v>0.58876811594202916</c:v>
                </c:pt>
                <c:pt idx="4">
                  <c:v>0.58876811594202916</c:v>
                </c:pt>
                <c:pt idx="5">
                  <c:v>0.58876811594202916</c:v>
                </c:pt>
                <c:pt idx="6">
                  <c:v>0.58876811594202916</c:v>
                </c:pt>
                <c:pt idx="7">
                  <c:v>0.58876811594202916</c:v>
                </c:pt>
                <c:pt idx="8">
                  <c:v>0.58876811594202916</c:v>
                </c:pt>
                <c:pt idx="9">
                  <c:v>0.58876811594202916</c:v>
                </c:pt>
                <c:pt idx="10">
                  <c:v>0.58876811594202916</c:v>
                </c:pt>
                <c:pt idx="11">
                  <c:v>0.58876811594202916</c:v>
                </c:pt>
                <c:pt idx="12">
                  <c:v>0.58876811594202916</c:v>
                </c:pt>
                <c:pt idx="13">
                  <c:v>0.58876811594202916</c:v>
                </c:pt>
                <c:pt idx="14">
                  <c:v>0.58876811594202916</c:v>
                </c:pt>
                <c:pt idx="15">
                  <c:v>0.58876811594202916</c:v>
                </c:pt>
                <c:pt idx="16">
                  <c:v>0.58876811594202916</c:v>
                </c:pt>
                <c:pt idx="17">
                  <c:v>0.58876811594202916</c:v>
                </c:pt>
                <c:pt idx="18">
                  <c:v>0.58876811594202916</c:v>
                </c:pt>
                <c:pt idx="19">
                  <c:v>0.58876811594202916</c:v>
                </c:pt>
                <c:pt idx="20">
                  <c:v>0.58876811594202916</c:v>
                </c:pt>
                <c:pt idx="21">
                  <c:v>0.58876811594202916</c:v>
                </c:pt>
                <c:pt idx="22">
                  <c:v>0.58876811594202916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54-4711-8424-245FDFA26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864127889076517E-2"/>
          <c:y val="6.4095047578651546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'23'!$D$6:$D$28</c:f>
              <c:strCache>
                <c:ptCount val="22"/>
                <c:pt idx="0">
                  <c:v>ADAPTER</c:v>
                </c:pt>
                <c:pt idx="1">
                  <c:v>ADAPTER</c:v>
                </c:pt>
                <c:pt idx="2">
                  <c:v>LATCH</c:v>
                </c:pt>
                <c:pt idx="3">
                  <c:v>LEAD GUIDER</c:v>
                </c:pt>
                <c:pt idx="4">
                  <c:v>STOPPER</c:v>
                </c:pt>
                <c:pt idx="5">
                  <c:v>COVER</c:v>
                </c:pt>
                <c:pt idx="6">
                  <c:v>22P</c:v>
                </c:pt>
                <c:pt idx="7">
                  <c:v>LEAD GUIDER</c:v>
                </c:pt>
                <c:pt idx="8">
                  <c:v>BOTTOM</c:v>
                </c:pt>
                <c:pt idx="9">
                  <c:v>BASE</c:v>
                </c:pt>
                <c:pt idx="10">
                  <c:v>ADAPTER</c:v>
                </c:pt>
                <c:pt idx="11">
                  <c:v>SLIDER</c:v>
                </c:pt>
                <c:pt idx="12">
                  <c:v>SLIDER</c:v>
                </c:pt>
                <c:pt idx="13">
                  <c:v>BASE</c:v>
                </c:pt>
                <c:pt idx="14">
                  <c:v>4LEAD</c:v>
                </c:pt>
                <c:pt idx="15">
                  <c:v>BASE</c:v>
                </c:pt>
                <c:pt idx="17">
                  <c:v>BASE</c:v>
                </c:pt>
                <c:pt idx="19">
                  <c:v>LEAD GUIDER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'23'!$L$6:$L$28</c:f>
              <c:numCache>
                <c:formatCode>_(* #,##0_);_(* \(#,##0\);_(* "-"_);_(@_)</c:formatCode>
                <c:ptCount val="23"/>
                <c:pt idx="0">
                  <c:v>844</c:v>
                </c:pt>
                <c:pt idx="1">
                  <c:v>5479</c:v>
                </c:pt>
                <c:pt idx="2">
                  <c:v>10320</c:v>
                </c:pt>
                <c:pt idx="3">
                  <c:v>6400</c:v>
                </c:pt>
                <c:pt idx="4">
                  <c:v>5544</c:v>
                </c:pt>
                <c:pt idx="5">
                  <c:v>3127</c:v>
                </c:pt>
                <c:pt idx="7">
                  <c:v>4759</c:v>
                </c:pt>
                <c:pt idx="8">
                  <c:v>1975</c:v>
                </c:pt>
                <c:pt idx="10">
                  <c:v>2950</c:v>
                </c:pt>
                <c:pt idx="11">
                  <c:v>9076</c:v>
                </c:pt>
                <c:pt idx="12">
                  <c:v>16785</c:v>
                </c:pt>
                <c:pt idx="13">
                  <c:v>2735</c:v>
                </c:pt>
                <c:pt idx="14">
                  <c:v>4725</c:v>
                </c:pt>
                <c:pt idx="15">
                  <c:v>6657</c:v>
                </c:pt>
                <c:pt idx="16">
                  <c:v>44824</c:v>
                </c:pt>
                <c:pt idx="17">
                  <c:v>22708</c:v>
                </c:pt>
                <c:pt idx="19">
                  <c:v>20250</c:v>
                </c:pt>
                <c:pt idx="20">
                  <c:v>25280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2-4DA9-9946-A032128D01BC}"/>
            </c:ext>
          </c:extLst>
        </c:ser>
        <c:ser>
          <c:idx val="1"/>
          <c:order val="1"/>
          <c:tx>
            <c:v>계획</c:v>
          </c:tx>
          <c:cat>
            <c:strRef>
              <c:f>'23'!$D$6:$D$28</c:f>
              <c:strCache>
                <c:ptCount val="22"/>
                <c:pt idx="0">
                  <c:v>ADAPTER</c:v>
                </c:pt>
                <c:pt idx="1">
                  <c:v>ADAPTER</c:v>
                </c:pt>
                <c:pt idx="2">
                  <c:v>LATCH</c:v>
                </c:pt>
                <c:pt idx="3">
                  <c:v>LEAD GUIDER</c:v>
                </c:pt>
                <c:pt idx="4">
                  <c:v>STOPPER</c:v>
                </c:pt>
                <c:pt idx="5">
                  <c:v>COVER</c:v>
                </c:pt>
                <c:pt idx="6">
                  <c:v>22P</c:v>
                </c:pt>
                <c:pt idx="7">
                  <c:v>LEAD GUIDER</c:v>
                </c:pt>
                <c:pt idx="8">
                  <c:v>BOTTOM</c:v>
                </c:pt>
                <c:pt idx="9">
                  <c:v>BASE</c:v>
                </c:pt>
                <c:pt idx="10">
                  <c:v>ADAPTER</c:v>
                </c:pt>
                <c:pt idx="11">
                  <c:v>SLIDER</c:v>
                </c:pt>
                <c:pt idx="12">
                  <c:v>SLIDER</c:v>
                </c:pt>
                <c:pt idx="13">
                  <c:v>BASE</c:v>
                </c:pt>
                <c:pt idx="14">
                  <c:v>4LEAD</c:v>
                </c:pt>
                <c:pt idx="15">
                  <c:v>BASE</c:v>
                </c:pt>
                <c:pt idx="17">
                  <c:v>BASE</c:v>
                </c:pt>
                <c:pt idx="19">
                  <c:v>LEAD GUIDER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'23'!$J$6:$J$28</c:f>
              <c:numCache>
                <c:formatCode>_(* #,##0_);_(* \(#,##0\);_(* "-"_);_(@_)</c:formatCode>
                <c:ptCount val="23"/>
                <c:pt idx="0">
                  <c:v>844</c:v>
                </c:pt>
                <c:pt idx="1">
                  <c:v>5479</c:v>
                </c:pt>
                <c:pt idx="2">
                  <c:v>10320</c:v>
                </c:pt>
                <c:pt idx="3">
                  <c:v>6400</c:v>
                </c:pt>
                <c:pt idx="4">
                  <c:v>5544</c:v>
                </c:pt>
                <c:pt idx="5">
                  <c:v>3127</c:v>
                </c:pt>
                <c:pt idx="6">
                  <c:v>4968</c:v>
                </c:pt>
                <c:pt idx="7">
                  <c:v>4759</c:v>
                </c:pt>
                <c:pt idx="8">
                  <c:v>1975</c:v>
                </c:pt>
                <c:pt idx="9">
                  <c:v>391</c:v>
                </c:pt>
                <c:pt idx="10">
                  <c:v>2950</c:v>
                </c:pt>
                <c:pt idx="11">
                  <c:v>9076</c:v>
                </c:pt>
                <c:pt idx="12">
                  <c:v>16785</c:v>
                </c:pt>
                <c:pt idx="13">
                  <c:v>2735</c:v>
                </c:pt>
                <c:pt idx="14">
                  <c:v>4725</c:v>
                </c:pt>
                <c:pt idx="15">
                  <c:v>6657</c:v>
                </c:pt>
                <c:pt idx="16">
                  <c:v>44824</c:v>
                </c:pt>
                <c:pt idx="17">
                  <c:v>22708</c:v>
                </c:pt>
                <c:pt idx="18">
                  <c:v>0</c:v>
                </c:pt>
                <c:pt idx="19">
                  <c:v>20250</c:v>
                </c:pt>
                <c:pt idx="20">
                  <c:v>25280</c:v>
                </c:pt>
                <c:pt idx="21">
                  <c:v>26944</c:v>
                </c:pt>
                <c:pt idx="22">
                  <c:v>47688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2-4DA9-9946-A032128D0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'23'!$AD$6:$AD$28</c:f>
              <c:strCache>
                <c:ptCount val="23"/>
                <c:pt idx="0">
                  <c:v>21%</c:v>
                </c:pt>
                <c:pt idx="1">
                  <c:v>100%</c:v>
                </c:pt>
                <c:pt idx="2">
                  <c:v>46%</c:v>
                </c:pt>
                <c:pt idx="3">
                  <c:v>50%</c:v>
                </c:pt>
                <c:pt idx="4">
                  <c:v>96%</c:v>
                </c:pt>
                <c:pt idx="5">
                  <c:v>58%</c:v>
                </c:pt>
                <c:pt idx="6">
                  <c:v>0%</c:v>
                </c:pt>
                <c:pt idx="7">
                  <c:v>100%</c:v>
                </c:pt>
                <c:pt idx="8">
                  <c:v>42%</c:v>
                </c:pt>
                <c:pt idx="9">
                  <c:v>0%</c:v>
                </c:pt>
                <c:pt idx="10">
                  <c:v>29%</c:v>
                </c:pt>
                <c:pt idx="11">
                  <c:v>92%</c:v>
                </c:pt>
                <c:pt idx="12">
                  <c:v>100%</c:v>
                </c:pt>
                <c:pt idx="13">
                  <c:v>67%</c:v>
                </c:pt>
                <c:pt idx="14">
                  <c:v>96%</c:v>
                </c:pt>
                <c:pt idx="15">
                  <c:v>83%</c:v>
                </c:pt>
                <c:pt idx="16">
                  <c:v>75%</c:v>
                </c:pt>
                <c:pt idx="17">
                  <c:v>100%</c:v>
                </c:pt>
                <c:pt idx="18">
                  <c:v>0%</c:v>
                </c:pt>
                <c:pt idx="19">
                  <c:v>100%</c:v>
                </c:pt>
                <c:pt idx="20">
                  <c:v>100%</c:v>
                </c:pt>
                <c:pt idx="21">
                  <c:v>0%</c:v>
                </c:pt>
                <c:pt idx="22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'23'!$D$6:$D$28</c:f>
              <c:strCache>
                <c:ptCount val="22"/>
                <c:pt idx="0">
                  <c:v>ADAPTER</c:v>
                </c:pt>
                <c:pt idx="1">
                  <c:v>ADAPTER</c:v>
                </c:pt>
                <c:pt idx="2">
                  <c:v>LATCH</c:v>
                </c:pt>
                <c:pt idx="3">
                  <c:v>LEAD GUIDER</c:v>
                </c:pt>
                <c:pt idx="4">
                  <c:v>STOPPER</c:v>
                </c:pt>
                <c:pt idx="5">
                  <c:v>COVER</c:v>
                </c:pt>
                <c:pt idx="6">
                  <c:v>22P</c:v>
                </c:pt>
                <c:pt idx="7">
                  <c:v>LEAD GUIDER</c:v>
                </c:pt>
                <c:pt idx="8">
                  <c:v>BOTTOM</c:v>
                </c:pt>
                <c:pt idx="9">
                  <c:v>BASE</c:v>
                </c:pt>
                <c:pt idx="10">
                  <c:v>ADAPTER</c:v>
                </c:pt>
                <c:pt idx="11">
                  <c:v>SLIDER</c:v>
                </c:pt>
                <c:pt idx="12">
                  <c:v>SLIDER</c:v>
                </c:pt>
                <c:pt idx="13">
                  <c:v>BASE</c:v>
                </c:pt>
                <c:pt idx="14">
                  <c:v>4LEAD</c:v>
                </c:pt>
                <c:pt idx="15">
                  <c:v>BASE</c:v>
                </c:pt>
                <c:pt idx="17">
                  <c:v>BASE</c:v>
                </c:pt>
                <c:pt idx="19">
                  <c:v>LEAD GUIDER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'23'!$AD$6:$AD$28</c:f>
              <c:numCache>
                <c:formatCode>0%</c:formatCode>
                <c:ptCount val="23"/>
                <c:pt idx="0">
                  <c:v>0.20833333333333334</c:v>
                </c:pt>
                <c:pt idx="1">
                  <c:v>1</c:v>
                </c:pt>
                <c:pt idx="2">
                  <c:v>0.45833333333333331</c:v>
                </c:pt>
                <c:pt idx="3">
                  <c:v>0.5</c:v>
                </c:pt>
                <c:pt idx="4">
                  <c:v>0.95833333333333337</c:v>
                </c:pt>
                <c:pt idx="5">
                  <c:v>0.58333333333333337</c:v>
                </c:pt>
                <c:pt idx="6">
                  <c:v>0</c:v>
                </c:pt>
                <c:pt idx="7">
                  <c:v>1</c:v>
                </c:pt>
                <c:pt idx="8">
                  <c:v>0.41666666666666669</c:v>
                </c:pt>
                <c:pt idx="9">
                  <c:v>0</c:v>
                </c:pt>
                <c:pt idx="10">
                  <c:v>0.29166666666666669</c:v>
                </c:pt>
                <c:pt idx="11">
                  <c:v>0.91666666666666663</c:v>
                </c:pt>
                <c:pt idx="12">
                  <c:v>1</c:v>
                </c:pt>
                <c:pt idx="13">
                  <c:v>0.66666666666666663</c:v>
                </c:pt>
                <c:pt idx="14">
                  <c:v>0.95833333333333337</c:v>
                </c:pt>
                <c:pt idx="15">
                  <c:v>0.83333333333333337</c:v>
                </c:pt>
                <c:pt idx="16">
                  <c:v>0.75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E-4C07-8CD2-74B9E750DEBD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AE-4C07-8CD2-74B9E750DEB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'23'!$D$6:$D$28</c:f>
              <c:strCache>
                <c:ptCount val="22"/>
                <c:pt idx="0">
                  <c:v>ADAPTER</c:v>
                </c:pt>
                <c:pt idx="1">
                  <c:v>ADAPTER</c:v>
                </c:pt>
                <c:pt idx="2">
                  <c:v>LATCH</c:v>
                </c:pt>
                <c:pt idx="3">
                  <c:v>LEAD GUIDER</c:v>
                </c:pt>
                <c:pt idx="4">
                  <c:v>STOPPER</c:v>
                </c:pt>
                <c:pt idx="5">
                  <c:v>COVER</c:v>
                </c:pt>
                <c:pt idx="6">
                  <c:v>22P</c:v>
                </c:pt>
                <c:pt idx="7">
                  <c:v>LEAD GUIDER</c:v>
                </c:pt>
                <c:pt idx="8">
                  <c:v>BOTTOM</c:v>
                </c:pt>
                <c:pt idx="9">
                  <c:v>BASE</c:v>
                </c:pt>
                <c:pt idx="10">
                  <c:v>ADAPTER</c:v>
                </c:pt>
                <c:pt idx="11">
                  <c:v>SLIDER</c:v>
                </c:pt>
                <c:pt idx="12">
                  <c:v>SLIDER</c:v>
                </c:pt>
                <c:pt idx="13">
                  <c:v>BASE</c:v>
                </c:pt>
                <c:pt idx="14">
                  <c:v>4LEAD</c:v>
                </c:pt>
                <c:pt idx="15">
                  <c:v>BASE</c:v>
                </c:pt>
                <c:pt idx="17">
                  <c:v>BASE</c:v>
                </c:pt>
                <c:pt idx="19">
                  <c:v>LEAD GUIDER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'23'!$AE$6:$AE$28</c:f>
              <c:numCache>
                <c:formatCode>0%</c:formatCode>
                <c:ptCount val="23"/>
                <c:pt idx="0">
                  <c:v>0.58876811594202916</c:v>
                </c:pt>
                <c:pt idx="1">
                  <c:v>0.58876811594202916</c:v>
                </c:pt>
                <c:pt idx="2">
                  <c:v>0.58876811594202916</c:v>
                </c:pt>
                <c:pt idx="3">
                  <c:v>0.58876811594202916</c:v>
                </c:pt>
                <c:pt idx="4">
                  <c:v>0.58876811594202916</c:v>
                </c:pt>
                <c:pt idx="5">
                  <c:v>0.58876811594202916</c:v>
                </c:pt>
                <c:pt idx="6">
                  <c:v>0.58876811594202916</c:v>
                </c:pt>
                <c:pt idx="7">
                  <c:v>0.58876811594202916</c:v>
                </c:pt>
                <c:pt idx="8">
                  <c:v>0.58876811594202916</c:v>
                </c:pt>
                <c:pt idx="9">
                  <c:v>0.58876811594202916</c:v>
                </c:pt>
                <c:pt idx="10">
                  <c:v>0.58876811594202916</c:v>
                </c:pt>
                <c:pt idx="11">
                  <c:v>0.58876811594202916</c:v>
                </c:pt>
                <c:pt idx="12">
                  <c:v>0.58876811594202916</c:v>
                </c:pt>
                <c:pt idx="13">
                  <c:v>0.58876811594202916</c:v>
                </c:pt>
                <c:pt idx="14">
                  <c:v>0.58876811594202916</c:v>
                </c:pt>
                <c:pt idx="15">
                  <c:v>0.58876811594202916</c:v>
                </c:pt>
                <c:pt idx="16">
                  <c:v>0.58876811594202916</c:v>
                </c:pt>
                <c:pt idx="17">
                  <c:v>0.58876811594202916</c:v>
                </c:pt>
                <c:pt idx="18">
                  <c:v>0.58876811594202916</c:v>
                </c:pt>
                <c:pt idx="19">
                  <c:v>0.58876811594202916</c:v>
                </c:pt>
                <c:pt idx="20">
                  <c:v>0.58876811594202916</c:v>
                </c:pt>
                <c:pt idx="21">
                  <c:v>0.58876811594202916</c:v>
                </c:pt>
                <c:pt idx="22">
                  <c:v>0.58876811594202916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AE-4C07-8CD2-74B9E750D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총괄!$A$25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2BDD-495E-829B-127FD9BCCD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총괄!$B$25:$AG$25</c:f>
              <c:numCache>
                <c:formatCode>0%</c:formatCode>
                <c:ptCount val="32"/>
                <c:pt idx="0">
                  <c:v>0.59455128205128216</c:v>
                </c:pt>
                <c:pt idx="1">
                  <c:v>0.64666666666666672</c:v>
                </c:pt>
                <c:pt idx="2">
                  <c:v>0.53166666666666662</c:v>
                </c:pt>
                <c:pt idx="3">
                  <c:v>0.46376811594202894</c:v>
                </c:pt>
                <c:pt idx="5">
                  <c:v>0.47159090909090912</c:v>
                </c:pt>
                <c:pt idx="6">
                  <c:v>0.40705128205128205</c:v>
                </c:pt>
                <c:pt idx="7">
                  <c:v>0.3737847222222222</c:v>
                </c:pt>
                <c:pt idx="8">
                  <c:v>0.56310012437810952</c:v>
                </c:pt>
                <c:pt idx="9">
                  <c:v>0.55862000713761029</c:v>
                </c:pt>
                <c:pt idx="12">
                  <c:v>0.60416666666666652</c:v>
                </c:pt>
                <c:pt idx="13">
                  <c:v>0.42129629629629628</c:v>
                </c:pt>
                <c:pt idx="14">
                  <c:v>0.50666666666666671</c:v>
                </c:pt>
                <c:pt idx="15">
                  <c:v>0.58333333333333337</c:v>
                </c:pt>
                <c:pt idx="16">
                  <c:v>0.6382575757575758</c:v>
                </c:pt>
                <c:pt idx="22">
                  <c:v>0.58876811594202916</c:v>
                </c:pt>
                <c:pt idx="23">
                  <c:v>0.67424242424242431</c:v>
                </c:pt>
                <c:pt idx="26">
                  <c:v>0.40909090909090901</c:v>
                </c:pt>
                <c:pt idx="27">
                  <c:v>0.47463768115942034</c:v>
                </c:pt>
                <c:pt idx="28">
                  <c:v>0.43840579710144922</c:v>
                </c:pt>
                <c:pt idx="29">
                  <c:v>0.61413043478260865</c:v>
                </c:pt>
                <c:pt idx="31">
                  <c:v>0.35212652257487181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DD-495E-829B-127FD9BCC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2BDD-495E-829B-127FD9BCCD2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총괄!$B$26:$AG$26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DD-495E-829B-127FD9BCC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'24'!$D$6:$D$27</c:f>
              <c:strCache>
                <c:ptCount val="21"/>
                <c:pt idx="0">
                  <c:v>ADAPTER</c:v>
                </c:pt>
                <c:pt idx="1">
                  <c:v>ADAPTER</c:v>
                </c:pt>
                <c:pt idx="2">
                  <c:v>STOPPER</c:v>
                </c:pt>
                <c:pt idx="3">
                  <c:v>STOPPER</c:v>
                </c:pt>
                <c:pt idx="4">
                  <c:v>COVER</c:v>
                </c:pt>
                <c:pt idx="5">
                  <c:v>22P</c:v>
                </c:pt>
                <c:pt idx="6">
                  <c:v>LEAD GUIDER</c:v>
                </c:pt>
                <c:pt idx="7">
                  <c:v>BOTTOM</c:v>
                </c:pt>
                <c:pt idx="8">
                  <c:v>BASE</c:v>
                </c:pt>
                <c:pt idx="9">
                  <c:v>F/A</c:v>
                </c:pt>
                <c:pt idx="10">
                  <c:v>BASE</c:v>
                </c:pt>
                <c:pt idx="11">
                  <c:v>SLIDER</c:v>
                </c:pt>
                <c:pt idx="12">
                  <c:v>BASE</c:v>
                </c:pt>
                <c:pt idx="13">
                  <c:v>4LEAD</c:v>
                </c:pt>
                <c:pt idx="14">
                  <c:v>BASE</c:v>
                </c:pt>
                <c:pt idx="16">
                  <c:v>BASE</c:v>
                </c:pt>
                <c:pt idx="18">
                  <c:v>LEAD GUIDER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'24'!$L$6:$L$27</c:f>
              <c:numCache>
                <c:formatCode>_(* #,##0_);_(* \(#,##0\);_(* "-"_);_(@_)</c:formatCode>
                <c:ptCount val="22"/>
                <c:pt idx="1">
                  <c:v>5974</c:v>
                </c:pt>
                <c:pt idx="2">
                  <c:v>7812</c:v>
                </c:pt>
                <c:pt idx="3">
                  <c:v>6344</c:v>
                </c:pt>
                <c:pt idx="4">
                  <c:v>5884</c:v>
                </c:pt>
                <c:pt idx="6">
                  <c:v>5028</c:v>
                </c:pt>
                <c:pt idx="7">
                  <c:v>4105</c:v>
                </c:pt>
                <c:pt idx="9">
                  <c:v>2828</c:v>
                </c:pt>
                <c:pt idx="10">
                  <c:v>8672</c:v>
                </c:pt>
                <c:pt idx="11">
                  <c:v>15360</c:v>
                </c:pt>
                <c:pt idx="12">
                  <c:v>5194</c:v>
                </c:pt>
                <c:pt idx="13">
                  <c:v>4958</c:v>
                </c:pt>
                <c:pt idx="14">
                  <c:v>2519</c:v>
                </c:pt>
                <c:pt idx="15">
                  <c:v>63988</c:v>
                </c:pt>
                <c:pt idx="16">
                  <c:v>24116</c:v>
                </c:pt>
                <c:pt idx="18">
                  <c:v>21522</c:v>
                </c:pt>
                <c:pt idx="19">
                  <c:v>26548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5-4A2C-852E-D50A18460B5F}"/>
            </c:ext>
          </c:extLst>
        </c:ser>
        <c:ser>
          <c:idx val="1"/>
          <c:order val="1"/>
          <c:tx>
            <c:v>계획</c:v>
          </c:tx>
          <c:cat>
            <c:strRef>
              <c:f>'24'!$D$6:$D$27</c:f>
              <c:strCache>
                <c:ptCount val="21"/>
                <c:pt idx="0">
                  <c:v>ADAPTER</c:v>
                </c:pt>
                <c:pt idx="1">
                  <c:v>ADAPTER</c:v>
                </c:pt>
                <c:pt idx="2">
                  <c:v>STOPPER</c:v>
                </c:pt>
                <c:pt idx="3">
                  <c:v>STOPPER</c:v>
                </c:pt>
                <c:pt idx="4">
                  <c:v>COVER</c:v>
                </c:pt>
                <c:pt idx="5">
                  <c:v>22P</c:v>
                </c:pt>
                <c:pt idx="6">
                  <c:v>LEAD GUIDER</c:v>
                </c:pt>
                <c:pt idx="7">
                  <c:v>BOTTOM</c:v>
                </c:pt>
                <c:pt idx="8">
                  <c:v>BASE</c:v>
                </c:pt>
                <c:pt idx="9">
                  <c:v>F/A</c:v>
                </c:pt>
                <c:pt idx="10">
                  <c:v>BASE</c:v>
                </c:pt>
                <c:pt idx="11">
                  <c:v>SLIDER</c:v>
                </c:pt>
                <c:pt idx="12">
                  <c:v>BASE</c:v>
                </c:pt>
                <c:pt idx="13">
                  <c:v>4LEAD</c:v>
                </c:pt>
                <c:pt idx="14">
                  <c:v>BASE</c:v>
                </c:pt>
                <c:pt idx="16">
                  <c:v>BASE</c:v>
                </c:pt>
                <c:pt idx="18">
                  <c:v>LEAD GUIDER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'24'!$J$6:$J$27</c:f>
              <c:numCache>
                <c:formatCode>_(* #,##0_);_(* \(#,##0\);_(* "-"_);_(@_)</c:formatCode>
                <c:ptCount val="22"/>
                <c:pt idx="0">
                  <c:v>844</c:v>
                </c:pt>
                <c:pt idx="1">
                  <c:v>5974</c:v>
                </c:pt>
                <c:pt idx="2">
                  <c:v>7812</c:v>
                </c:pt>
                <c:pt idx="3">
                  <c:v>6344</c:v>
                </c:pt>
                <c:pt idx="4">
                  <c:v>5884</c:v>
                </c:pt>
                <c:pt idx="5">
                  <c:v>4968</c:v>
                </c:pt>
                <c:pt idx="6">
                  <c:v>5028</c:v>
                </c:pt>
                <c:pt idx="7">
                  <c:v>4105</c:v>
                </c:pt>
                <c:pt idx="8">
                  <c:v>391</c:v>
                </c:pt>
                <c:pt idx="9">
                  <c:v>2828</c:v>
                </c:pt>
                <c:pt idx="10">
                  <c:v>8672</c:v>
                </c:pt>
                <c:pt idx="11">
                  <c:v>15360</c:v>
                </c:pt>
                <c:pt idx="12">
                  <c:v>5194</c:v>
                </c:pt>
                <c:pt idx="13">
                  <c:v>4958</c:v>
                </c:pt>
                <c:pt idx="14">
                  <c:v>2519</c:v>
                </c:pt>
                <c:pt idx="15">
                  <c:v>63988</c:v>
                </c:pt>
                <c:pt idx="16">
                  <c:v>24116</c:v>
                </c:pt>
                <c:pt idx="17">
                  <c:v>0</c:v>
                </c:pt>
                <c:pt idx="18">
                  <c:v>21522</c:v>
                </c:pt>
                <c:pt idx="19">
                  <c:v>26548</c:v>
                </c:pt>
                <c:pt idx="20">
                  <c:v>26944</c:v>
                </c:pt>
                <c:pt idx="21">
                  <c:v>47688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5-4A2C-852E-D50A18460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'24'!$AD$6:$AD$27</c:f>
              <c:strCache>
                <c:ptCount val="22"/>
                <c:pt idx="0">
                  <c:v>0%</c:v>
                </c:pt>
                <c:pt idx="1">
                  <c:v>100%</c:v>
                </c:pt>
                <c:pt idx="2">
                  <c:v>83%</c:v>
                </c:pt>
                <c:pt idx="3">
                  <c:v>100%</c:v>
                </c:pt>
                <c:pt idx="4">
                  <c:v>100%</c:v>
                </c:pt>
                <c:pt idx="5">
                  <c:v>0%</c:v>
                </c:pt>
                <c:pt idx="6">
                  <c:v>100%</c:v>
                </c:pt>
                <c:pt idx="7">
                  <c:v>96%</c:v>
                </c:pt>
                <c:pt idx="8">
                  <c:v>0%</c:v>
                </c:pt>
                <c:pt idx="9">
                  <c:v>58%</c:v>
                </c:pt>
                <c:pt idx="10">
                  <c:v>92%</c:v>
                </c:pt>
                <c:pt idx="11">
                  <c:v>100%</c:v>
                </c:pt>
                <c:pt idx="12">
                  <c:v>100%</c:v>
                </c:pt>
                <c:pt idx="13">
                  <c:v>100%</c:v>
                </c:pt>
                <c:pt idx="14">
                  <c:v>54%</c:v>
                </c:pt>
                <c:pt idx="15">
                  <c:v>100%</c:v>
                </c:pt>
                <c:pt idx="16">
                  <c:v>100%</c:v>
                </c:pt>
                <c:pt idx="17">
                  <c:v>0%</c:v>
                </c:pt>
                <c:pt idx="18">
                  <c:v>100%</c:v>
                </c:pt>
                <c:pt idx="19">
                  <c:v>100%</c:v>
                </c:pt>
                <c:pt idx="20">
                  <c:v>0%</c:v>
                </c:pt>
                <c:pt idx="21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'24'!$D$6:$D$27</c:f>
              <c:strCache>
                <c:ptCount val="21"/>
                <c:pt idx="0">
                  <c:v>ADAPTER</c:v>
                </c:pt>
                <c:pt idx="1">
                  <c:v>ADAPTER</c:v>
                </c:pt>
                <c:pt idx="2">
                  <c:v>STOPPER</c:v>
                </c:pt>
                <c:pt idx="3">
                  <c:v>STOPPER</c:v>
                </c:pt>
                <c:pt idx="4">
                  <c:v>COVER</c:v>
                </c:pt>
                <c:pt idx="5">
                  <c:v>22P</c:v>
                </c:pt>
                <c:pt idx="6">
                  <c:v>LEAD GUIDER</c:v>
                </c:pt>
                <c:pt idx="7">
                  <c:v>BOTTOM</c:v>
                </c:pt>
                <c:pt idx="8">
                  <c:v>BASE</c:v>
                </c:pt>
                <c:pt idx="9">
                  <c:v>F/A</c:v>
                </c:pt>
                <c:pt idx="10">
                  <c:v>BASE</c:v>
                </c:pt>
                <c:pt idx="11">
                  <c:v>SLIDER</c:v>
                </c:pt>
                <c:pt idx="12">
                  <c:v>BASE</c:v>
                </c:pt>
                <c:pt idx="13">
                  <c:v>4LEAD</c:v>
                </c:pt>
                <c:pt idx="14">
                  <c:v>BASE</c:v>
                </c:pt>
                <c:pt idx="16">
                  <c:v>BASE</c:v>
                </c:pt>
                <c:pt idx="18">
                  <c:v>LEAD GUIDER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'24'!$AD$6:$AD$27</c:f>
              <c:numCache>
                <c:formatCode>0%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0.83333333333333337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0.95833333333333337</c:v>
                </c:pt>
                <c:pt idx="8">
                  <c:v>0</c:v>
                </c:pt>
                <c:pt idx="9">
                  <c:v>0.58333333333333337</c:v>
                </c:pt>
                <c:pt idx="10">
                  <c:v>0.91666666666666663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0.54166666666666663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3-4461-8037-68063B7B527C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53-4461-8037-68063B7B527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'24'!$D$6:$D$27</c:f>
              <c:strCache>
                <c:ptCount val="21"/>
                <c:pt idx="0">
                  <c:v>ADAPTER</c:v>
                </c:pt>
                <c:pt idx="1">
                  <c:v>ADAPTER</c:v>
                </c:pt>
                <c:pt idx="2">
                  <c:v>STOPPER</c:v>
                </c:pt>
                <c:pt idx="3">
                  <c:v>STOPPER</c:v>
                </c:pt>
                <c:pt idx="4">
                  <c:v>COVER</c:v>
                </c:pt>
                <c:pt idx="5">
                  <c:v>22P</c:v>
                </c:pt>
                <c:pt idx="6">
                  <c:v>LEAD GUIDER</c:v>
                </c:pt>
                <c:pt idx="7">
                  <c:v>BOTTOM</c:v>
                </c:pt>
                <c:pt idx="8">
                  <c:v>BASE</c:v>
                </c:pt>
                <c:pt idx="9">
                  <c:v>F/A</c:v>
                </c:pt>
                <c:pt idx="10">
                  <c:v>BASE</c:v>
                </c:pt>
                <c:pt idx="11">
                  <c:v>SLIDER</c:v>
                </c:pt>
                <c:pt idx="12">
                  <c:v>BASE</c:v>
                </c:pt>
                <c:pt idx="13">
                  <c:v>4LEAD</c:v>
                </c:pt>
                <c:pt idx="14">
                  <c:v>BASE</c:v>
                </c:pt>
                <c:pt idx="16">
                  <c:v>BASE</c:v>
                </c:pt>
                <c:pt idx="18">
                  <c:v>LEAD GUIDER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'24'!$AE$6:$AE$27</c:f>
              <c:numCache>
                <c:formatCode>0%</c:formatCode>
                <c:ptCount val="22"/>
                <c:pt idx="0">
                  <c:v>0.67424242424242431</c:v>
                </c:pt>
                <c:pt idx="1">
                  <c:v>0.67424242424242431</c:v>
                </c:pt>
                <c:pt idx="2">
                  <c:v>0.67424242424242431</c:v>
                </c:pt>
                <c:pt idx="3">
                  <c:v>0.67424242424242431</c:v>
                </c:pt>
                <c:pt idx="4">
                  <c:v>0.67424242424242431</c:v>
                </c:pt>
                <c:pt idx="5">
                  <c:v>0.67424242424242431</c:v>
                </c:pt>
                <c:pt idx="6">
                  <c:v>0.67424242424242431</c:v>
                </c:pt>
                <c:pt idx="7">
                  <c:v>0.67424242424242431</c:v>
                </c:pt>
                <c:pt idx="8">
                  <c:v>0.67424242424242431</c:v>
                </c:pt>
                <c:pt idx="9">
                  <c:v>0.67424242424242431</c:v>
                </c:pt>
                <c:pt idx="10">
                  <c:v>0.67424242424242431</c:v>
                </c:pt>
                <c:pt idx="11">
                  <c:v>0.67424242424242431</c:v>
                </c:pt>
                <c:pt idx="12">
                  <c:v>0.67424242424242431</c:v>
                </c:pt>
                <c:pt idx="13">
                  <c:v>0.67424242424242431</c:v>
                </c:pt>
                <c:pt idx="14">
                  <c:v>0.67424242424242431</c:v>
                </c:pt>
                <c:pt idx="15">
                  <c:v>0.67424242424242431</c:v>
                </c:pt>
                <c:pt idx="16">
                  <c:v>0.67424242424242431</c:v>
                </c:pt>
                <c:pt idx="17">
                  <c:v>0.67424242424242431</c:v>
                </c:pt>
                <c:pt idx="18">
                  <c:v>0.67424242424242431</c:v>
                </c:pt>
                <c:pt idx="19">
                  <c:v>0.67424242424242431</c:v>
                </c:pt>
                <c:pt idx="20">
                  <c:v>0.67424242424242431</c:v>
                </c:pt>
                <c:pt idx="21">
                  <c:v>0.67424242424242431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53-4461-8037-68063B7B5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864127889076517E-2"/>
          <c:y val="6.4095047578651546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'24'!$D$6:$D$27</c:f>
              <c:strCache>
                <c:ptCount val="21"/>
                <c:pt idx="0">
                  <c:v>ADAPTER</c:v>
                </c:pt>
                <c:pt idx="1">
                  <c:v>ADAPTER</c:v>
                </c:pt>
                <c:pt idx="2">
                  <c:v>STOPPER</c:v>
                </c:pt>
                <c:pt idx="3">
                  <c:v>STOPPER</c:v>
                </c:pt>
                <c:pt idx="4">
                  <c:v>COVER</c:v>
                </c:pt>
                <c:pt idx="5">
                  <c:v>22P</c:v>
                </c:pt>
                <c:pt idx="6">
                  <c:v>LEAD GUIDER</c:v>
                </c:pt>
                <c:pt idx="7">
                  <c:v>BOTTOM</c:v>
                </c:pt>
                <c:pt idx="8">
                  <c:v>BASE</c:v>
                </c:pt>
                <c:pt idx="9">
                  <c:v>F/A</c:v>
                </c:pt>
                <c:pt idx="10">
                  <c:v>BASE</c:v>
                </c:pt>
                <c:pt idx="11">
                  <c:v>SLIDER</c:v>
                </c:pt>
                <c:pt idx="12">
                  <c:v>BASE</c:v>
                </c:pt>
                <c:pt idx="13">
                  <c:v>4LEAD</c:v>
                </c:pt>
                <c:pt idx="14">
                  <c:v>BASE</c:v>
                </c:pt>
                <c:pt idx="16">
                  <c:v>BASE</c:v>
                </c:pt>
                <c:pt idx="18">
                  <c:v>LEAD GUIDER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'24'!$L$6:$L$27</c:f>
              <c:numCache>
                <c:formatCode>_(* #,##0_);_(* \(#,##0\);_(* "-"_);_(@_)</c:formatCode>
                <c:ptCount val="22"/>
                <c:pt idx="1">
                  <c:v>5974</c:v>
                </c:pt>
                <c:pt idx="2">
                  <c:v>7812</c:v>
                </c:pt>
                <c:pt idx="3">
                  <c:v>6344</c:v>
                </c:pt>
                <c:pt idx="4">
                  <c:v>5884</c:v>
                </c:pt>
                <c:pt idx="6">
                  <c:v>5028</c:v>
                </c:pt>
                <c:pt idx="7">
                  <c:v>4105</c:v>
                </c:pt>
                <c:pt idx="9">
                  <c:v>2828</c:v>
                </c:pt>
                <c:pt idx="10">
                  <c:v>8672</c:v>
                </c:pt>
                <c:pt idx="11">
                  <c:v>15360</c:v>
                </c:pt>
                <c:pt idx="12">
                  <c:v>5194</c:v>
                </c:pt>
                <c:pt idx="13">
                  <c:v>4958</c:v>
                </c:pt>
                <c:pt idx="14">
                  <c:v>2519</c:v>
                </c:pt>
                <c:pt idx="15">
                  <c:v>63988</c:v>
                </c:pt>
                <c:pt idx="16">
                  <c:v>24116</c:v>
                </c:pt>
                <c:pt idx="18">
                  <c:v>21522</c:v>
                </c:pt>
                <c:pt idx="19">
                  <c:v>26548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6-4FCF-806C-7C918B87CA8C}"/>
            </c:ext>
          </c:extLst>
        </c:ser>
        <c:ser>
          <c:idx val="1"/>
          <c:order val="1"/>
          <c:tx>
            <c:v>계획</c:v>
          </c:tx>
          <c:cat>
            <c:strRef>
              <c:f>'24'!$D$6:$D$27</c:f>
              <c:strCache>
                <c:ptCount val="21"/>
                <c:pt idx="0">
                  <c:v>ADAPTER</c:v>
                </c:pt>
                <c:pt idx="1">
                  <c:v>ADAPTER</c:v>
                </c:pt>
                <c:pt idx="2">
                  <c:v>STOPPER</c:v>
                </c:pt>
                <c:pt idx="3">
                  <c:v>STOPPER</c:v>
                </c:pt>
                <c:pt idx="4">
                  <c:v>COVER</c:v>
                </c:pt>
                <c:pt idx="5">
                  <c:v>22P</c:v>
                </c:pt>
                <c:pt idx="6">
                  <c:v>LEAD GUIDER</c:v>
                </c:pt>
                <c:pt idx="7">
                  <c:v>BOTTOM</c:v>
                </c:pt>
                <c:pt idx="8">
                  <c:v>BASE</c:v>
                </c:pt>
                <c:pt idx="9">
                  <c:v>F/A</c:v>
                </c:pt>
                <c:pt idx="10">
                  <c:v>BASE</c:v>
                </c:pt>
                <c:pt idx="11">
                  <c:v>SLIDER</c:v>
                </c:pt>
                <c:pt idx="12">
                  <c:v>BASE</c:v>
                </c:pt>
                <c:pt idx="13">
                  <c:v>4LEAD</c:v>
                </c:pt>
                <c:pt idx="14">
                  <c:v>BASE</c:v>
                </c:pt>
                <c:pt idx="16">
                  <c:v>BASE</c:v>
                </c:pt>
                <c:pt idx="18">
                  <c:v>LEAD GUIDER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'24'!$J$6:$J$27</c:f>
              <c:numCache>
                <c:formatCode>_(* #,##0_);_(* \(#,##0\);_(* "-"_);_(@_)</c:formatCode>
                <c:ptCount val="22"/>
                <c:pt idx="0">
                  <c:v>844</c:v>
                </c:pt>
                <c:pt idx="1">
                  <c:v>5974</c:v>
                </c:pt>
                <c:pt idx="2">
                  <c:v>7812</c:v>
                </c:pt>
                <c:pt idx="3">
                  <c:v>6344</c:v>
                </c:pt>
                <c:pt idx="4">
                  <c:v>5884</c:v>
                </c:pt>
                <c:pt idx="5">
                  <c:v>4968</c:v>
                </c:pt>
                <c:pt idx="6">
                  <c:v>5028</c:v>
                </c:pt>
                <c:pt idx="7">
                  <c:v>4105</c:v>
                </c:pt>
                <c:pt idx="8">
                  <c:v>391</c:v>
                </c:pt>
                <c:pt idx="9">
                  <c:v>2828</c:v>
                </c:pt>
                <c:pt idx="10">
                  <c:v>8672</c:v>
                </c:pt>
                <c:pt idx="11">
                  <c:v>15360</c:v>
                </c:pt>
                <c:pt idx="12">
                  <c:v>5194</c:v>
                </c:pt>
                <c:pt idx="13">
                  <c:v>4958</c:v>
                </c:pt>
                <c:pt idx="14">
                  <c:v>2519</c:v>
                </c:pt>
                <c:pt idx="15">
                  <c:v>63988</c:v>
                </c:pt>
                <c:pt idx="16">
                  <c:v>24116</c:v>
                </c:pt>
                <c:pt idx="17">
                  <c:v>0</c:v>
                </c:pt>
                <c:pt idx="18">
                  <c:v>21522</c:v>
                </c:pt>
                <c:pt idx="19">
                  <c:v>26548</c:v>
                </c:pt>
                <c:pt idx="20">
                  <c:v>26944</c:v>
                </c:pt>
                <c:pt idx="21">
                  <c:v>47688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6-4FCF-806C-7C918B87C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'24'!$AD$6:$AD$27</c:f>
              <c:strCache>
                <c:ptCount val="22"/>
                <c:pt idx="0">
                  <c:v>0%</c:v>
                </c:pt>
                <c:pt idx="1">
                  <c:v>100%</c:v>
                </c:pt>
                <c:pt idx="2">
                  <c:v>83%</c:v>
                </c:pt>
                <c:pt idx="3">
                  <c:v>100%</c:v>
                </c:pt>
                <c:pt idx="4">
                  <c:v>100%</c:v>
                </c:pt>
                <c:pt idx="5">
                  <c:v>0%</c:v>
                </c:pt>
                <c:pt idx="6">
                  <c:v>100%</c:v>
                </c:pt>
                <c:pt idx="7">
                  <c:v>96%</c:v>
                </c:pt>
                <c:pt idx="8">
                  <c:v>0%</c:v>
                </c:pt>
                <c:pt idx="9">
                  <c:v>58%</c:v>
                </c:pt>
                <c:pt idx="10">
                  <c:v>92%</c:v>
                </c:pt>
                <c:pt idx="11">
                  <c:v>100%</c:v>
                </c:pt>
                <c:pt idx="12">
                  <c:v>100%</c:v>
                </c:pt>
                <c:pt idx="13">
                  <c:v>100%</c:v>
                </c:pt>
                <c:pt idx="14">
                  <c:v>54%</c:v>
                </c:pt>
                <c:pt idx="15">
                  <c:v>100%</c:v>
                </c:pt>
                <c:pt idx="16">
                  <c:v>100%</c:v>
                </c:pt>
                <c:pt idx="17">
                  <c:v>0%</c:v>
                </c:pt>
                <c:pt idx="18">
                  <c:v>100%</c:v>
                </c:pt>
                <c:pt idx="19">
                  <c:v>100%</c:v>
                </c:pt>
                <c:pt idx="20">
                  <c:v>0%</c:v>
                </c:pt>
                <c:pt idx="21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'24'!$D$6:$D$27</c:f>
              <c:strCache>
                <c:ptCount val="21"/>
                <c:pt idx="0">
                  <c:v>ADAPTER</c:v>
                </c:pt>
                <c:pt idx="1">
                  <c:v>ADAPTER</c:v>
                </c:pt>
                <c:pt idx="2">
                  <c:v>STOPPER</c:v>
                </c:pt>
                <c:pt idx="3">
                  <c:v>STOPPER</c:v>
                </c:pt>
                <c:pt idx="4">
                  <c:v>COVER</c:v>
                </c:pt>
                <c:pt idx="5">
                  <c:v>22P</c:v>
                </c:pt>
                <c:pt idx="6">
                  <c:v>LEAD GUIDER</c:v>
                </c:pt>
                <c:pt idx="7">
                  <c:v>BOTTOM</c:v>
                </c:pt>
                <c:pt idx="8">
                  <c:v>BASE</c:v>
                </c:pt>
                <c:pt idx="9">
                  <c:v>F/A</c:v>
                </c:pt>
                <c:pt idx="10">
                  <c:v>BASE</c:v>
                </c:pt>
                <c:pt idx="11">
                  <c:v>SLIDER</c:v>
                </c:pt>
                <c:pt idx="12">
                  <c:v>BASE</c:v>
                </c:pt>
                <c:pt idx="13">
                  <c:v>4LEAD</c:v>
                </c:pt>
                <c:pt idx="14">
                  <c:v>BASE</c:v>
                </c:pt>
                <c:pt idx="16">
                  <c:v>BASE</c:v>
                </c:pt>
                <c:pt idx="18">
                  <c:v>LEAD GUIDER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'24'!$AD$6:$AD$27</c:f>
              <c:numCache>
                <c:formatCode>0%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0.83333333333333337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0.95833333333333337</c:v>
                </c:pt>
                <c:pt idx="8">
                  <c:v>0</c:v>
                </c:pt>
                <c:pt idx="9">
                  <c:v>0.58333333333333337</c:v>
                </c:pt>
                <c:pt idx="10">
                  <c:v>0.91666666666666663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0.54166666666666663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7-4B40-AAE1-0CB0B1C5845B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067-4B40-AAE1-0CB0B1C5845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'24'!$D$6:$D$27</c:f>
              <c:strCache>
                <c:ptCount val="21"/>
                <c:pt idx="0">
                  <c:v>ADAPTER</c:v>
                </c:pt>
                <c:pt idx="1">
                  <c:v>ADAPTER</c:v>
                </c:pt>
                <c:pt idx="2">
                  <c:v>STOPPER</c:v>
                </c:pt>
                <c:pt idx="3">
                  <c:v>STOPPER</c:v>
                </c:pt>
                <c:pt idx="4">
                  <c:v>COVER</c:v>
                </c:pt>
                <c:pt idx="5">
                  <c:v>22P</c:v>
                </c:pt>
                <c:pt idx="6">
                  <c:v>LEAD GUIDER</c:v>
                </c:pt>
                <c:pt idx="7">
                  <c:v>BOTTOM</c:v>
                </c:pt>
                <c:pt idx="8">
                  <c:v>BASE</c:v>
                </c:pt>
                <c:pt idx="9">
                  <c:v>F/A</c:v>
                </c:pt>
                <c:pt idx="10">
                  <c:v>BASE</c:v>
                </c:pt>
                <c:pt idx="11">
                  <c:v>SLIDER</c:v>
                </c:pt>
                <c:pt idx="12">
                  <c:v>BASE</c:v>
                </c:pt>
                <c:pt idx="13">
                  <c:v>4LEAD</c:v>
                </c:pt>
                <c:pt idx="14">
                  <c:v>BASE</c:v>
                </c:pt>
                <c:pt idx="16">
                  <c:v>BASE</c:v>
                </c:pt>
                <c:pt idx="18">
                  <c:v>LEAD GUIDER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'24'!$AE$6:$AE$27</c:f>
              <c:numCache>
                <c:formatCode>0%</c:formatCode>
                <c:ptCount val="22"/>
                <c:pt idx="0">
                  <c:v>0.67424242424242431</c:v>
                </c:pt>
                <c:pt idx="1">
                  <c:v>0.67424242424242431</c:v>
                </c:pt>
                <c:pt idx="2">
                  <c:v>0.67424242424242431</c:v>
                </c:pt>
                <c:pt idx="3">
                  <c:v>0.67424242424242431</c:v>
                </c:pt>
                <c:pt idx="4">
                  <c:v>0.67424242424242431</c:v>
                </c:pt>
                <c:pt idx="5">
                  <c:v>0.67424242424242431</c:v>
                </c:pt>
                <c:pt idx="6">
                  <c:v>0.67424242424242431</c:v>
                </c:pt>
                <c:pt idx="7">
                  <c:v>0.67424242424242431</c:v>
                </c:pt>
                <c:pt idx="8">
                  <c:v>0.67424242424242431</c:v>
                </c:pt>
                <c:pt idx="9">
                  <c:v>0.67424242424242431</c:v>
                </c:pt>
                <c:pt idx="10">
                  <c:v>0.67424242424242431</c:v>
                </c:pt>
                <c:pt idx="11">
                  <c:v>0.67424242424242431</c:v>
                </c:pt>
                <c:pt idx="12">
                  <c:v>0.67424242424242431</c:v>
                </c:pt>
                <c:pt idx="13">
                  <c:v>0.67424242424242431</c:v>
                </c:pt>
                <c:pt idx="14">
                  <c:v>0.67424242424242431</c:v>
                </c:pt>
                <c:pt idx="15">
                  <c:v>0.67424242424242431</c:v>
                </c:pt>
                <c:pt idx="16">
                  <c:v>0.67424242424242431</c:v>
                </c:pt>
                <c:pt idx="17">
                  <c:v>0.67424242424242431</c:v>
                </c:pt>
                <c:pt idx="18">
                  <c:v>0.67424242424242431</c:v>
                </c:pt>
                <c:pt idx="19">
                  <c:v>0.67424242424242431</c:v>
                </c:pt>
                <c:pt idx="20">
                  <c:v>0.67424242424242431</c:v>
                </c:pt>
                <c:pt idx="21">
                  <c:v>0.67424242424242431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67-4B40-AAE1-0CB0B1C5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'02'!$D$6:$D$30</c:f>
              <c:strCache>
                <c:ptCount val="25"/>
                <c:pt idx="0">
                  <c:v>F/A</c:v>
                </c:pt>
                <c:pt idx="1">
                  <c:v>ADAPTER</c:v>
                </c:pt>
                <c:pt idx="2">
                  <c:v>SLIDER</c:v>
                </c:pt>
                <c:pt idx="4">
                  <c:v>COVER</c:v>
                </c:pt>
                <c:pt idx="5">
                  <c:v>BOTTOM</c:v>
                </c:pt>
                <c:pt idx="6">
                  <c:v>ADAPTER</c:v>
                </c:pt>
                <c:pt idx="7">
                  <c:v>BASE</c:v>
                </c:pt>
                <c:pt idx="8">
                  <c:v>TOP</c:v>
                </c:pt>
                <c:pt idx="9">
                  <c:v>BOTTOM</c:v>
                </c:pt>
                <c:pt idx="10">
                  <c:v>TOP</c:v>
                </c:pt>
                <c:pt idx="11">
                  <c:v>BASE</c:v>
                </c:pt>
                <c:pt idx="12">
                  <c:v>FLOATING</c:v>
                </c:pt>
                <c:pt idx="14">
                  <c:v>COVER</c:v>
                </c:pt>
                <c:pt idx="15">
                  <c:v>BASE</c:v>
                </c:pt>
                <c:pt idx="16">
                  <c:v>BASE</c:v>
                </c:pt>
                <c:pt idx="17">
                  <c:v>BASE</c:v>
                </c:pt>
                <c:pt idx="21">
                  <c:v>LEAD GUIDER</c:v>
                </c:pt>
                <c:pt idx="22">
                  <c:v>SLIDER</c:v>
                </c:pt>
                <c:pt idx="23">
                  <c:v>COVER</c:v>
                </c:pt>
                <c:pt idx="24">
                  <c:v>BASE</c:v>
                </c:pt>
              </c:strCache>
            </c:strRef>
          </c:cat>
          <c:val>
            <c:numRef>
              <c:f>'02'!$L$6:$L$30</c:f>
              <c:numCache>
                <c:formatCode>_(* #,##0_);_(* \(#,##0\);_(* "-"_);_(@_)</c:formatCode>
                <c:ptCount val="25"/>
                <c:pt idx="0">
                  <c:v>5516</c:v>
                </c:pt>
                <c:pt idx="1">
                  <c:v>11230</c:v>
                </c:pt>
                <c:pt idx="2">
                  <c:v>9608</c:v>
                </c:pt>
                <c:pt idx="3">
                  <c:v>12518</c:v>
                </c:pt>
                <c:pt idx="4">
                  <c:v>5669</c:v>
                </c:pt>
                <c:pt idx="5">
                  <c:v>1419</c:v>
                </c:pt>
                <c:pt idx="6">
                  <c:v>2115</c:v>
                </c:pt>
                <c:pt idx="7">
                  <c:v>7218</c:v>
                </c:pt>
                <c:pt idx="8">
                  <c:v>1222</c:v>
                </c:pt>
                <c:pt idx="9">
                  <c:v>1732</c:v>
                </c:pt>
                <c:pt idx="10">
                  <c:v>617</c:v>
                </c:pt>
                <c:pt idx="12">
                  <c:v>1490</c:v>
                </c:pt>
                <c:pt idx="13">
                  <c:v>8416</c:v>
                </c:pt>
                <c:pt idx="15">
                  <c:v>12392</c:v>
                </c:pt>
                <c:pt idx="16">
                  <c:v>6380</c:v>
                </c:pt>
                <c:pt idx="17">
                  <c:v>11010</c:v>
                </c:pt>
                <c:pt idx="18">
                  <c:v>62940</c:v>
                </c:pt>
                <c:pt idx="19">
                  <c:v>498300</c:v>
                </c:pt>
                <c:pt idx="21">
                  <c:v>31996</c:v>
                </c:pt>
                <c:pt idx="22">
                  <c:v>28802</c:v>
                </c:pt>
                <c:pt idx="24">
                  <c:v>19965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3E-4329-9B00-E219C7D534F2}"/>
            </c:ext>
          </c:extLst>
        </c:ser>
        <c:ser>
          <c:idx val="1"/>
          <c:order val="1"/>
          <c:tx>
            <c:v>계획</c:v>
          </c:tx>
          <c:cat>
            <c:strRef>
              <c:f>'02'!$D$6:$D$30</c:f>
              <c:strCache>
                <c:ptCount val="25"/>
                <c:pt idx="0">
                  <c:v>F/A</c:v>
                </c:pt>
                <c:pt idx="1">
                  <c:v>ADAPTER</c:v>
                </c:pt>
                <c:pt idx="2">
                  <c:v>SLIDER</c:v>
                </c:pt>
                <c:pt idx="4">
                  <c:v>COVER</c:v>
                </c:pt>
                <c:pt idx="5">
                  <c:v>BOTTOM</c:v>
                </c:pt>
                <c:pt idx="6">
                  <c:v>ADAPTER</c:v>
                </c:pt>
                <c:pt idx="7">
                  <c:v>BASE</c:v>
                </c:pt>
                <c:pt idx="8">
                  <c:v>TOP</c:v>
                </c:pt>
                <c:pt idx="9">
                  <c:v>BOTTOM</c:v>
                </c:pt>
                <c:pt idx="10">
                  <c:v>TOP</c:v>
                </c:pt>
                <c:pt idx="11">
                  <c:v>BASE</c:v>
                </c:pt>
                <c:pt idx="12">
                  <c:v>FLOATING</c:v>
                </c:pt>
                <c:pt idx="14">
                  <c:v>COVER</c:v>
                </c:pt>
                <c:pt idx="15">
                  <c:v>BASE</c:v>
                </c:pt>
                <c:pt idx="16">
                  <c:v>BASE</c:v>
                </c:pt>
                <c:pt idx="17">
                  <c:v>BASE</c:v>
                </c:pt>
                <c:pt idx="21">
                  <c:v>LEAD GUIDER</c:v>
                </c:pt>
                <c:pt idx="22">
                  <c:v>SLIDER</c:v>
                </c:pt>
                <c:pt idx="23">
                  <c:v>COVER</c:v>
                </c:pt>
                <c:pt idx="24">
                  <c:v>BASE</c:v>
                </c:pt>
              </c:strCache>
            </c:strRef>
          </c:cat>
          <c:val>
            <c:numRef>
              <c:f>'02'!$J$6:$J$30</c:f>
              <c:numCache>
                <c:formatCode>_(* #,##0_);_(* \(#,##0\);_(* "-"_);_(@_)</c:formatCode>
                <c:ptCount val="25"/>
                <c:pt idx="0">
                  <c:v>5516</c:v>
                </c:pt>
                <c:pt idx="1">
                  <c:v>11230</c:v>
                </c:pt>
                <c:pt idx="2">
                  <c:v>9608</c:v>
                </c:pt>
                <c:pt idx="3">
                  <c:v>12518</c:v>
                </c:pt>
                <c:pt idx="4">
                  <c:v>5669</c:v>
                </c:pt>
                <c:pt idx="5">
                  <c:v>1419</c:v>
                </c:pt>
                <c:pt idx="6">
                  <c:v>2115</c:v>
                </c:pt>
                <c:pt idx="7">
                  <c:v>7218</c:v>
                </c:pt>
                <c:pt idx="8">
                  <c:v>1222</c:v>
                </c:pt>
                <c:pt idx="9">
                  <c:v>1732</c:v>
                </c:pt>
                <c:pt idx="10">
                  <c:v>617</c:v>
                </c:pt>
                <c:pt idx="11">
                  <c:v>391</c:v>
                </c:pt>
                <c:pt idx="12">
                  <c:v>1490</c:v>
                </c:pt>
                <c:pt idx="13">
                  <c:v>8416</c:v>
                </c:pt>
                <c:pt idx="14">
                  <c:v>21252</c:v>
                </c:pt>
                <c:pt idx="15">
                  <c:v>12392</c:v>
                </c:pt>
                <c:pt idx="16">
                  <c:v>6380</c:v>
                </c:pt>
                <c:pt idx="17">
                  <c:v>11010</c:v>
                </c:pt>
                <c:pt idx="18">
                  <c:v>62940</c:v>
                </c:pt>
                <c:pt idx="19">
                  <c:v>498300</c:v>
                </c:pt>
                <c:pt idx="20">
                  <c:v>0</c:v>
                </c:pt>
                <c:pt idx="21">
                  <c:v>31996</c:v>
                </c:pt>
                <c:pt idx="22">
                  <c:v>28802</c:v>
                </c:pt>
                <c:pt idx="23">
                  <c:v>26944</c:v>
                </c:pt>
                <c:pt idx="24">
                  <c:v>19965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3E-4329-9B00-E219C7D53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총괄!$A$25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AAF1-4619-AF57-89EE6B46A0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총괄!$B$25:$AG$25</c:f>
              <c:numCache>
                <c:formatCode>0%</c:formatCode>
                <c:ptCount val="32"/>
                <c:pt idx="0">
                  <c:v>0.59455128205128216</c:v>
                </c:pt>
                <c:pt idx="1">
                  <c:v>0.64666666666666672</c:v>
                </c:pt>
                <c:pt idx="2">
                  <c:v>0.53166666666666662</c:v>
                </c:pt>
                <c:pt idx="3">
                  <c:v>0.46376811594202894</c:v>
                </c:pt>
                <c:pt idx="5">
                  <c:v>0.47159090909090912</c:v>
                </c:pt>
                <c:pt idx="6">
                  <c:v>0.40705128205128205</c:v>
                </c:pt>
                <c:pt idx="7">
                  <c:v>0.3737847222222222</c:v>
                </c:pt>
                <c:pt idx="8">
                  <c:v>0.56310012437810952</c:v>
                </c:pt>
                <c:pt idx="9">
                  <c:v>0.55862000713761029</c:v>
                </c:pt>
                <c:pt idx="12">
                  <c:v>0.60416666666666652</c:v>
                </c:pt>
                <c:pt idx="13">
                  <c:v>0.42129629629629628</c:v>
                </c:pt>
                <c:pt idx="14">
                  <c:v>0.50666666666666671</c:v>
                </c:pt>
                <c:pt idx="15">
                  <c:v>0.58333333333333337</c:v>
                </c:pt>
                <c:pt idx="16">
                  <c:v>0.6382575757575758</c:v>
                </c:pt>
                <c:pt idx="22">
                  <c:v>0.58876811594202916</c:v>
                </c:pt>
                <c:pt idx="23">
                  <c:v>0.67424242424242431</c:v>
                </c:pt>
                <c:pt idx="26">
                  <c:v>0.40909090909090901</c:v>
                </c:pt>
                <c:pt idx="27">
                  <c:v>0.47463768115942034</c:v>
                </c:pt>
                <c:pt idx="28">
                  <c:v>0.43840579710144922</c:v>
                </c:pt>
                <c:pt idx="29">
                  <c:v>0.61413043478260865</c:v>
                </c:pt>
                <c:pt idx="31">
                  <c:v>0.35212652257487181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F1-4619-AF57-89EE6B46A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AF1-4619-AF57-89EE6B46A0F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총괄!$B$26:$AG$26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F1-4619-AF57-89EE6B46A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'27'!$D$6:$D$27</c:f>
              <c:strCache>
                <c:ptCount val="21"/>
                <c:pt idx="0">
                  <c:v>SLIDER</c:v>
                </c:pt>
                <c:pt idx="1">
                  <c:v>ADAPTER</c:v>
                </c:pt>
                <c:pt idx="2">
                  <c:v>LEAD GUIDER</c:v>
                </c:pt>
                <c:pt idx="3">
                  <c:v>STOPPER</c:v>
                </c:pt>
                <c:pt idx="4">
                  <c:v>COVER</c:v>
                </c:pt>
                <c:pt idx="5">
                  <c:v>BOTTOM</c:v>
                </c:pt>
                <c:pt idx="6">
                  <c:v>LEAD GUIDER</c:v>
                </c:pt>
                <c:pt idx="7">
                  <c:v>BOTTOM</c:v>
                </c:pt>
                <c:pt idx="9">
                  <c:v>F/A</c:v>
                </c:pt>
                <c:pt idx="10">
                  <c:v>SLIDER</c:v>
                </c:pt>
                <c:pt idx="11">
                  <c:v>FLOATING</c:v>
                </c:pt>
                <c:pt idx="12">
                  <c:v>BASE</c:v>
                </c:pt>
                <c:pt idx="13">
                  <c:v>ACTUATOR</c:v>
                </c:pt>
                <c:pt idx="14">
                  <c:v>BASE</c:v>
                </c:pt>
                <c:pt idx="16">
                  <c:v>BASE</c:v>
                </c:pt>
                <c:pt idx="18">
                  <c:v>LEAD GUIDER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'27'!$L$6:$L$27</c:f>
              <c:numCache>
                <c:formatCode>_(* #,##0_);_(* \(#,##0\);_(* "-"_);_(@_)</c:formatCode>
                <c:ptCount val="22"/>
                <c:pt idx="1">
                  <c:v>5609</c:v>
                </c:pt>
                <c:pt idx="2">
                  <c:v>900</c:v>
                </c:pt>
                <c:pt idx="3">
                  <c:v>5987</c:v>
                </c:pt>
                <c:pt idx="4">
                  <c:v>1203</c:v>
                </c:pt>
                <c:pt idx="5">
                  <c:v>2139</c:v>
                </c:pt>
                <c:pt idx="6">
                  <c:v>4406</c:v>
                </c:pt>
                <c:pt idx="7">
                  <c:v>1402</c:v>
                </c:pt>
                <c:pt idx="8">
                  <c:v>208</c:v>
                </c:pt>
                <c:pt idx="10">
                  <c:v>6666</c:v>
                </c:pt>
                <c:pt idx="11">
                  <c:v>4186</c:v>
                </c:pt>
                <c:pt idx="12">
                  <c:v>1550</c:v>
                </c:pt>
                <c:pt idx="14">
                  <c:v>4495</c:v>
                </c:pt>
                <c:pt idx="15">
                  <c:v>40136</c:v>
                </c:pt>
                <c:pt idx="21">
                  <c:v>53180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0-498B-A6D4-7533FAD72A43}"/>
            </c:ext>
          </c:extLst>
        </c:ser>
        <c:ser>
          <c:idx val="1"/>
          <c:order val="1"/>
          <c:tx>
            <c:v>계획</c:v>
          </c:tx>
          <c:cat>
            <c:strRef>
              <c:f>'27'!$D$6:$D$27</c:f>
              <c:strCache>
                <c:ptCount val="21"/>
                <c:pt idx="0">
                  <c:v>SLIDER</c:v>
                </c:pt>
                <c:pt idx="1">
                  <c:v>ADAPTER</c:v>
                </c:pt>
                <c:pt idx="2">
                  <c:v>LEAD GUIDER</c:v>
                </c:pt>
                <c:pt idx="3">
                  <c:v>STOPPER</c:v>
                </c:pt>
                <c:pt idx="4">
                  <c:v>COVER</c:v>
                </c:pt>
                <c:pt idx="5">
                  <c:v>BOTTOM</c:v>
                </c:pt>
                <c:pt idx="6">
                  <c:v>LEAD GUIDER</c:v>
                </c:pt>
                <c:pt idx="7">
                  <c:v>BOTTOM</c:v>
                </c:pt>
                <c:pt idx="9">
                  <c:v>F/A</c:v>
                </c:pt>
                <c:pt idx="10">
                  <c:v>SLIDER</c:v>
                </c:pt>
                <c:pt idx="11">
                  <c:v>FLOATING</c:v>
                </c:pt>
                <c:pt idx="12">
                  <c:v>BASE</c:v>
                </c:pt>
                <c:pt idx="13">
                  <c:v>ACTUATOR</c:v>
                </c:pt>
                <c:pt idx="14">
                  <c:v>BASE</c:v>
                </c:pt>
                <c:pt idx="16">
                  <c:v>BASE</c:v>
                </c:pt>
                <c:pt idx="18">
                  <c:v>LEAD GUIDER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'27'!$J$6:$J$27</c:f>
              <c:numCache>
                <c:formatCode>_(* #,##0_);_(* \(#,##0\);_(* "-"_);_(@_)</c:formatCode>
                <c:ptCount val="22"/>
                <c:pt idx="0">
                  <c:v>844</c:v>
                </c:pt>
                <c:pt idx="1">
                  <c:v>5609</c:v>
                </c:pt>
                <c:pt idx="2">
                  <c:v>900</c:v>
                </c:pt>
                <c:pt idx="3">
                  <c:v>5987</c:v>
                </c:pt>
                <c:pt idx="4">
                  <c:v>1203</c:v>
                </c:pt>
                <c:pt idx="5">
                  <c:v>2139</c:v>
                </c:pt>
                <c:pt idx="6">
                  <c:v>4406</c:v>
                </c:pt>
                <c:pt idx="7">
                  <c:v>1402</c:v>
                </c:pt>
                <c:pt idx="8">
                  <c:v>208</c:v>
                </c:pt>
                <c:pt idx="9">
                  <c:v>2828</c:v>
                </c:pt>
                <c:pt idx="10">
                  <c:v>6666</c:v>
                </c:pt>
                <c:pt idx="11">
                  <c:v>4186</c:v>
                </c:pt>
                <c:pt idx="12">
                  <c:v>1550</c:v>
                </c:pt>
                <c:pt idx="13">
                  <c:v>4958</c:v>
                </c:pt>
                <c:pt idx="14">
                  <c:v>4495</c:v>
                </c:pt>
                <c:pt idx="15">
                  <c:v>40136</c:v>
                </c:pt>
                <c:pt idx="16">
                  <c:v>24116</c:v>
                </c:pt>
                <c:pt idx="17">
                  <c:v>0</c:v>
                </c:pt>
                <c:pt idx="18">
                  <c:v>21522</c:v>
                </c:pt>
                <c:pt idx="19">
                  <c:v>26548</c:v>
                </c:pt>
                <c:pt idx="20">
                  <c:v>26944</c:v>
                </c:pt>
                <c:pt idx="21">
                  <c:v>53180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0-498B-A6D4-7533FAD7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'27'!$AD$6:$AD$27</c:f>
              <c:strCache>
                <c:ptCount val="22"/>
                <c:pt idx="0">
                  <c:v>0%</c:v>
                </c:pt>
                <c:pt idx="1">
                  <c:v>100%</c:v>
                </c:pt>
                <c:pt idx="2">
                  <c:v>25%</c:v>
                </c:pt>
                <c:pt idx="3">
                  <c:v>100%</c:v>
                </c:pt>
                <c:pt idx="4">
                  <c:v>25%</c:v>
                </c:pt>
                <c:pt idx="5">
                  <c:v>54%</c:v>
                </c:pt>
                <c:pt idx="6">
                  <c:v>100%</c:v>
                </c:pt>
                <c:pt idx="7">
                  <c:v>33%</c:v>
                </c:pt>
                <c:pt idx="8">
                  <c:v>21%</c:v>
                </c:pt>
                <c:pt idx="9">
                  <c:v>0%</c:v>
                </c:pt>
                <c:pt idx="10">
                  <c:v>58%</c:v>
                </c:pt>
                <c:pt idx="11">
                  <c:v>92%</c:v>
                </c:pt>
                <c:pt idx="12">
                  <c:v>33%</c:v>
                </c:pt>
                <c:pt idx="13">
                  <c:v>0%</c:v>
                </c:pt>
                <c:pt idx="14">
                  <c:v>92%</c:v>
                </c:pt>
                <c:pt idx="15">
                  <c:v>88%</c:v>
                </c:pt>
                <c:pt idx="16">
                  <c:v>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79%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'27'!$D$6:$D$27</c:f>
              <c:strCache>
                <c:ptCount val="21"/>
                <c:pt idx="0">
                  <c:v>SLIDER</c:v>
                </c:pt>
                <c:pt idx="1">
                  <c:v>ADAPTER</c:v>
                </c:pt>
                <c:pt idx="2">
                  <c:v>LEAD GUIDER</c:v>
                </c:pt>
                <c:pt idx="3">
                  <c:v>STOPPER</c:v>
                </c:pt>
                <c:pt idx="4">
                  <c:v>COVER</c:v>
                </c:pt>
                <c:pt idx="5">
                  <c:v>BOTTOM</c:v>
                </c:pt>
                <c:pt idx="6">
                  <c:v>LEAD GUIDER</c:v>
                </c:pt>
                <c:pt idx="7">
                  <c:v>BOTTOM</c:v>
                </c:pt>
                <c:pt idx="9">
                  <c:v>F/A</c:v>
                </c:pt>
                <c:pt idx="10">
                  <c:v>SLIDER</c:v>
                </c:pt>
                <c:pt idx="11">
                  <c:v>FLOATING</c:v>
                </c:pt>
                <c:pt idx="12">
                  <c:v>BASE</c:v>
                </c:pt>
                <c:pt idx="13">
                  <c:v>ACTUATOR</c:v>
                </c:pt>
                <c:pt idx="14">
                  <c:v>BASE</c:v>
                </c:pt>
                <c:pt idx="16">
                  <c:v>BASE</c:v>
                </c:pt>
                <c:pt idx="18">
                  <c:v>LEAD GUIDER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'27'!$AD$6:$AD$27</c:f>
              <c:numCache>
                <c:formatCode>0%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0.25</c:v>
                </c:pt>
                <c:pt idx="3">
                  <c:v>1</c:v>
                </c:pt>
                <c:pt idx="4">
                  <c:v>0.25</c:v>
                </c:pt>
                <c:pt idx="5">
                  <c:v>0.54166666666666663</c:v>
                </c:pt>
                <c:pt idx="6">
                  <c:v>1</c:v>
                </c:pt>
                <c:pt idx="7">
                  <c:v>0.33333333333333331</c:v>
                </c:pt>
                <c:pt idx="8">
                  <c:v>0.20833333333333334</c:v>
                </c:pt>
                <c:pt idx="9">
                  <c:v>0</c:v>
                </c:pt>
                <c:pt idx="10">
                  <c:v>0.58333333333333337</c:v>
                </c:pt>
                <c:pt idx="11">
                  <c:v>0.91666666666666663</c:v>
                </c:pt>
                <c:pt idx="12">
                  <c:v>0.33333333333333331</c:v>
                </c:pt>
                <c:pt idx="13">
                  <c:v>0</c:v>
                </c:pt>
                <c:pt idx="14">
                  <c:v>0.91666666666666663</c:v>
                </c:pt>
                <c:pt idx="15">
                  <c:v>0.875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0.79166666666666663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507-AAFF-ECD56479E922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53-4507-AAFF-ECD56479E92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'27'!$D$6:$D$27</c:f>
              <c:strCache>
                <c:ptCount val="21"/>
                <c:pt idx="0">
                  <c:v>SLIDER</c:v>
                </c:pt>
                <c:pt idx="1">
                  <c:v>ADAPTER</c:v>
                </c:pt>
                <c:pt idx="2">
                  <c:v>LEAD GUIDER</c:v>
                </c:pt>
                <c:pt idx="3">
                  <c:v>STOPPER</c:v>
                </c:pt>
                <c:pt idx="4">
                  <c:v>COVER</c:v>
                </c:pt>
                <c:pt idx="5">
                  <c:v>BOTTOM</c:v>
                </c:pt>
                <c:pt idx="6">
                  <c:v>LEAD GUIDER</c:v>
                </c:pt>
                <c:pt idx="7">
                  <c:v>BOTTOM</c:v>
                </c:pt>
                <c:pt idx="9">
                  <c:v>F/A</c:v>
                </c:pt>
                <c:pt idx="10">
                  <c:v>SLIDER</c:v>
                </c:pt>
                <c:pt idx="11">
                  <c:v>FLOATING</c:v>
                </c:pt>
                <c:pt idx="12">
                  <c:v>BASE</c:v>
                </c:pt>
                <c:pt idx="13">
                  <c:v>ACTUATOR</c:v>
                </c:pt>
                <c:pt idx="14">
                  <c:v>BASE</c:v>
                </c:pt>
                <c:pt idx="16">
                  <c:v>BASE</c:v>
                </c:pt>
                <c:pt idx="18">
                  <c:v>LEAD GUIDER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'27'!$AE$6:$AE$27</c:f>
              <c:numCache>
                <c:formatCode>0%</c:formatCode>
                <c:ptCount val="22"/>
                <c:pt idx="0">
                  <c:v>0.40909090909090901</c:v>
                </c:pt>
                <c:pt idx="1">
                  <c:v>0.40909090909090901</c:v>
                </c:pt>
                <c:pt idx="2">
                  <c:v>0.40909090909090901</c:v>
                </c:pt>
                <c:pt idx="3">
                  <c:v>0.40909090909090901</c:v>
                </c:pt>
                <c:pt idx="4">
                  <c:v>0.40909090909090901</c:v>
                </c:pt>
                <c:pt idx="5">
                  <c:v>0.40909090909090901</c:v>
                </c:pt>
                <c:pt idx="6">
                  <c:v>0.40909090909090901</c:v>
                </c:pt>
                <c:pt idx="7">
                  <c:v>0.40909090909090901</c:v>
                </c:pt>
                <c:pt idx="8">
                  <c:v>0.40909090909090901</c:v>
                </c:pt>
                <c:pt idx="9">
                  <c:v>0.40909090909090901</c:v>
                </c:pt>
                <c:pt idx="10">
                  <c:v>0.40909090909090901</c:v>
                </c:pt>
                <c:pt idx="11">
                  <c:v>0.40909090909090901</c:v>
                </c:pt>
                <c:pt idx="12">
                  <c:v>0.40909090909090901</c:v>
                </c:pt>
                <c:pt idx="13">
                  <c:v>0.40909090909090901</c:v>
                </c:pt>
                <c:pt idx="14">
                  <c:v>0.40909090909090901</c:v>
                </c:pt>
                <c:pt idx="15">
                  <c:v>0.40909090909090901</c:v>
                </c:pt>
                <c:pt idx="16">
                  <c:v>0.40909090909090901</c:v>
                </c:pt>
                <c:pt idx="17">
                  <c:v>0.40909090909090901</c:v>
                </c:pt>
                <c:pt idx="18">
                  <c:v>0.40909090909090901</c:v>
                </c:pt>
                <c:pt idx="19">
                  <c:v>0.40909090909090901</c:v>
                </c:pt>
                <c:pt idx="20">
                  <c:v>0.40909090909090901</c:v>
                </c:pt>
                <c:pt idx="21">
                  <c:v>0.40909090909090901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507-AAFF-ECD56479E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864127889076517E-2"/>
          <c:y val="6.4095047578651546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'27'!$D$6:$D$27</c:f>
              <c:strCache>
                <c:ptCount val="21"/>
                <c:pt idx="0">
                  <c:v>SLIDER</c:v>
                </c:pt>
                <c:pt idx="1">
                  <c:v>ADAPTER</c:v>
                </c:pt>
                <c:pt idx="2">
                  <c:v>LEAD GUIDER</c:v>
                </c:pt>
                <c:pt idx="3">
                  <c:v>STOPPER</c:v>
                </c:pt>
                <c:pt idx="4">
                  <c:v>COVER</c:v>
                </c:pt>
                <c:pt idx="5">
                  <c:v>BOTTOM</c:v>
                </c:pt>
                <c:pt idx="6">
                  <c:v>LEAD GUIDER</c:v>
                </c:pt>
                <c:pt idx="7">
                  <c:v>BOTTOM</c:v>
                </c:pt>
                <c:pt idx="9">
                  <c:v>F/A</c:v>
                </c:pt>
                <c:pt idx="10">
                  <c:v>SLIDER</c:v>
                </c:pt>
                <c:pt idx="11">
                  <c:v>FLOATING</c:v>
                </c:pt>
                <c:pt idx="12">
                  <c:v>BASE</c:v>
                </c:pt>
                <c:pt idx="13">
                  <c:v>ACTUATOR</c:v>
                </c:pt>
                <c:pt idx="14">
                  <c:v>BASE</c:v>
                </c:pt>
                <c:pt idx="16">
                  <c:v>BASE</c:v>
                </c:pt>
                <c:pt idx="18">
                  <c:v>LEAD GUIDER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'27'!$L$6:$L$27</c:f>
              <c:numCache>
                <c:formatCode>_(* #,##0_);_(* \(#,##0\);_(* "-"_);_(@_)</c:formatCode>
                <c:ptCount val="22"/>
                <c:pt idx="1">
                  <c:v>5609</c:v>
                </c:pt>
                <c:pt idx="2">
                  <c:v>900</c:v>
                </c:pt>
                <c:pt idx="3">
                  <c:v>5987</c:v>
                </c:pt>
                <c:pt idx="4">
                  <c:v>1203</c:v>
                </c:pt>
                <c:pt idx="5">
                  <c:v>2139</c:v>
                </c:pt>
                <c:pt idx="6">
                  <c:v>4406</c:v>
                </c:pt>
                <c:pt idx="7">
                  <c:v>1402</c:v>
                </c:pt>
                <c:pt idx="8">
                  <c:v>208</c:v>
                </c:pt>
                <c:pt idx="10">
                  <c:v>6666</c:v>
                </c:pt>
                <c:pt idx="11">
                  <c:v>4186</c:v>
                </c:pt>
                <c:pt idx="12">
                  <c:v>1550</c:v>
                </c:pt>
                <c:pt idx="14">
                  <c:v>4495</c:v>
                </c:pt>
                <c:pt idx="15">
                  <c:v>40136</c:v>
                </c:pt>
                <c:pt idx="21">
                  <c:v>53180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C-41D3-9966-6E8645D145AC}"/>
            </c:ext>
          </c:extLst>
        </c:ser>
        <c:ser>
          <c:idx val="1"/>
          <c:order val="1"/>
          <c:tx>
            <c:v>계획</c:v>
          </c:tx>
          <c:cat>
            <c:strRef>
              <c:f>'27'!$D$6:$D$27</c:f>
              <c:strCache>
                <c:ptCount val="21"/>
                <c:pt idx="0">
                  <c:v>SLIDER</c:v>
                </c:pt>
                <c:pt idx="1">
                  <c:v>ADAPTER</c:v>
                </c:pt>
                <c:pt idx="2">
                  <c:v>LEAD GUIDER</c:v>
                </c:pt>
                <c:pt idx="3">
                  <c:v>STOPPER</c:v>
                </c:pt>
                <c:pt idx="4">
                  <c:v>COVER</c:v>
                </c:pt>
                <c:pt idx="5">
                  <c:v>BOTTOM</c:v>
                </c:pt>
                <c:pt idx="6">
                  <c:v>LEAD GUIDER</c:v>
                </c:pt>
                <c:pt idx="7">
                  <c:v>BOTTOM</c:v>
                </c:pt>
                <c:pt idx="9">
                  <c:v>F/A</c:v>
                </c:pt>
                <c:pt idx="10">
                  <c:v>SLIDER</c:v>
                </c:pt>
                <c:pt idx="11">
                  <c:v>FLOATING</c:v>
                </c:pt>
                <c:pt idx="12">
                  <c:v>BASE</c:v>
                </c:pt>
                <c:pt idx="13">
                  <c:v>ACTUATOR</c:v>
                </c:pt>
                <c:pt idx="14">
                  <c:v>BASE</c:v>
                </c:pt>
                <c:pt idx="16">
                  <c:v>BASE</c:v>
                </c:pt>
                <c:pt idx="18">
                  <c:v>LEAD GUIDER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'27'!$J$6:$J$27</c:f>
              <c:numCache>
                <c:formatCode>_(* #,##0_);_(* \(#,##0\);_(* "-"_);_(@_)</c:formatCode>
                <c:ptCount val="22"/>
                <c:pt idx="0">
                  <c:v>844</c:v>
                </c:pt>
                <c:pt idx="1">
                  <c:v>5609</c:v>
                </c:pt>
                <c:pt idx="2">
                  <c:v>900</c:v>
                </c:pt>
                <c:pt idx="3">
                  <c:v>5987</c:v>
                </c:pt>
                <c:pt idx="4">
                  <c:v>1203</c:v>
                </c:pt>
                <c:pt idx="5">
                  <c:v>2139</c:v>
                </c:pt>
                <c:pt idx="6">
                  <c:v>4406</c:v>
                </c:pt>
                <c:pt idx="7">
                  <c:v>1402</c:v>
                </c:pt>
                <c:pt idx="8">
                  <c:v>208</c:v>
                </c:pt>
                <c:pt idx="9">
                  <c:v>2828</c:v>
                </c:pt>
                <c:pt idx="10">
                  <c:v>6666</c:v>
                </c:pt>
                <c:pt idx="11">
                  <c:v>4186</c:v>
                </c:pt>
                <c:pt idx="12">
                  <c:v>1550</c:v>
                </c:pt>
                <c:pt idx="13">
                  <c:v>4958</c:v>
                </c:pt>
                <c:pt idx="14">
                  <c:v>4495</c:v>
                </c:pt>
                <c:pt idx="15">
                  <c:v>40136</c:v>
                </c:pt>
                <c:pt idx="16">
                  <c:v>24116</c:v>
                </c:pt>
                <c:pt idx="17">
                  <c:v>0</c:v>
                </c:pt>
                <c:pt idx="18">
                  <c:v>21522</c:v>
                </c:pt>
                <c:pt idx="19">
                  <c:v>26548</c:v>
                </c:pt>
                <c:pt idx="20">
                  <c:v>26944</c:v>
                </c:pt>
                <c:pt idx="21">
                  <c:v>53180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C-41D3-9966-6E8645D14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'27'!$AD$6:$AD$27</c:f>
              <c:strCache>
                <c:ptCount val="22"/>
                <c:pt idx="0">
                  <c:v>0%</c:v>
                </c:pt>
                <c:pt idx="1">
                  <c:v>100%</c:v>
                </c:pt>
                <c:pt idx="2">
                  <c:v>25%</c:v>
                </c:pt>
                <c:pt idx="3">
                  <c:v>100%</c:v>
                </c:pt>
                <c:pt idx="4">
                  <c:v>25%</c:v>
                </c:pt>
                <c:pt idx="5">
                  <c:v>54%</c:v>
                </c:pt>
                <c:pt idx="6">
                  <c:v>100%</c:v>
                </c:pt>
                <c:pt idx="7">
                  <c:v>33%</c:v>
                </c:pt>
                <c:pt idx="8">
                  <c:v>21%</c:v>
                </c:pt>
                <c:pt idx="9">
                  <c:v>0%</c:v>
                </c:pt>
                <c:pt idx="10">
                  <c:v>58%</c:v>
                </c:pt>
                <c:pt idx="11">
                  <c:v>92%</c:v>
                </c:pt>
                <c:pt idx="12">
                  <c:v>33%</c:v>
                </c:pt>
                <c:pt idx="13">
                  <c:v>0%</c:v>
                </c:pt>
                <c:pt idx="14">
                  <c:v>92%</c:v>
                </c:pt>
                <c:pt idx="15">
                  <c:v>88%</c:v>
                </c:pt>
                <c:pt idx="16">
                  <c:v>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79%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'27'!$D$6:$D$27</c:f>
              <c:strCache>
                <c:ptCount val="21"/>
                <c:pt idx="0">
                  <c:v>SLIDER</c:v>
                </c:pt>
                <c:pt idx="1">
                  <c:v>ADAPTER</c:v>
                </c:pt>
                <c:pt idx="2">
                  <c:v>LEAD GUIDER</c:v>
                </c:pt>
                <c:pt idx="3">
                  <c:v>STOPPER</c:v>
                </c:pt>
                <c:pt idx="4">
                  <c:v>COVER</c:v>
                </c:pt>
                <c:pt idx="5">
                  <c:v>BOTTOM</c:v>
                </c:pt>
                <c:pt idx="6">
                  <c:v>LEAD GUIDER</c:v>
                </c:pt>
                <c:pt idx="7">
                  <c:v>BOTTOM</c:v>
                </c:pt>
                <c:pt idx="9">
                  <c:v>F/A</c:v>
                </c:pt>
                <c:pt idx="10">
                  <c:v>SLIDER</c:v>
                </c:pt>
                <c:pt idx="11">
                  <c:v>FLOATING</c:v>
                </c:pt>
                <c:pt idx="12">
                  <c:v>BASE</c:v>
                </c:pt>
                <c:pt idx="13">
                  <c:v>ACTUATOR</c:v>
                </c:pt>
                <c:pt idx="14">
                  <c:v>BASE</c:v>
                </c:pt>
                <c:pt idx="16">
                  <c:v>BASE</c:v>
                </c:pt>
                <c:pt idx="18">
                  <c:v>LEAD GUIDER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'27'!$AD$6:$AD$27</c:f>
              <c:numCache>
                <c:formatCode>0%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0.25</c:v>
                </c:pt>
                <c:pt idx="3">
                  <c:v>1</c:v>
                </c:pt>
                <c:pt idx="4">
                  <c:v>0.25</c:v>
                </c:pt>
                <c:pt idx="5">
                  <c:v>0.54166666666666663</c:v>
                </c:pt>
                <c:pt idx="6">
                  <c:v>1</c:v>
                </c:pt>
                <c:pt idx="7">
                  <c:v>0.33333333333333331</c:v>
                </c:pt>
                <c:pt idx="8">
                  <c:v>0.20833333333333334</c:v>
                </c:pt>
                <c:pt idx="9">
                  <c:v>0</c:v>
                </c:pt>
                <c:pt idx="10">
                  <c:v>0.58333333333333337</c:v>
                </c:pt>
                <c:pt idx="11">
                  <c:v>0.91666666666666663</c:v>
                </c:pt>
                <c:pt idx="12">
                  <c:v>0.33333333333333331</c:v>
                </c:pt>
                <c:pt idx="13">
                  <c:v>0</c:v>
                </c:pt>
                <c:pt idx="14">
                  <c:v>0.91666666666666663</c:v>
                </c:pt>
                <c:pt idx="15">
                  <c:v>0.875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0.79166666666666663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D-4DE2-953F-A31AC47EFA0E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FD-4DE2-953F-A31AC47EFA0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'27'!$D$6:$D$27</c:f>
              <c:strCache>
                <c:ptCount val="21"/>
                <c:pt idx="0">
                  <c:v>SLIDER</c:v>
                </c:pt>
                <c:pt idx="1">
                  <c:v>ADAPTER</c:v>
                </c:pt>
                <c:pt idx="2">
                  <c:v>LEAD GUIDER</c:v>
                </c:pt>
                <c:pt idx="3">
                  <c:v>STOPPER</c:v>
                </c:pt>
                <c:pt idx="4">
                  <c:v>COVER</c:v>
                </c:pt>
                <c:pt idx="5">
                  <c:v>BOTTOM</c:v>
                </c:pt>
                <c:pt idx="6">
                  <c:v>LEAD GUIDER</c:v>
                </c:pt>
                <c:pt idx="7">
                  <c:v>BOTTOM</c:v>
                </c:pt>
                <c:pt idx="9">
                  <c:v>F/A</c:v>
                </c:pt>
                <c:pt idx="10">
                  <c:v>SLIDER</c:v>
                </c:pt>
                <c:pt idx="11">
                  <c:v>FLOATING</c:v>
                </c:pt>
                <c:pt idx="12">
                  <c:v>BASE</c:v>
                </c:pt>
                <c:pt idx="13">
                  <c:v>ACTUATOR</c:v>
                </c:pt>
                <c:pt idx="14">
                  <c:v>BASE</c:v>
                </c:pt>
                <c:pt idx="16">
                  <c:v>BASE</c:v>
                </c:pt>
                <c:pt idx="18">
                  <c:v>LEAD GUIDER</c:v>
                </c:pt>
                <c:pt idx="19">
                  <c:v>SLIDER</c:v>
                </c:pt>
                <c:pt idx="20">
                  <c:v>COVER</c:v>
                </c:pt>
              </c:strCache>
            </c:strRef>
          </c:cat>
          <c:val>
            <c:numRef>
              <c:f>'27'!$AE$6:$AE$27</c:f>
              <c:numCache>
                <c:formatCode>0%</c:formatCode>
                <c:ptCount val="22"/>
                <c:pt idx="0">
                  <c:v>0.40909090909090901</c:v>
                </c:pt>
                <c:pt idx="1">
                  <c:v>0.40909090909090901</c:v>
                </c:pt>
                <c:pt idx="2">
                  <c:v>0.40909090909090901</c:v>
                </c:pt>
                <c:pt idx="3">
                  <c:v>0.40909090909090901</c:v>
                </c:pt>
                <c:pt idx="4">
                  <c:v>0.40909090909090901</c:v>
                </c:pt>
                <c:pt idx="5">
                  <c:v>0.40909090909090901</c:v>
                </c:pt>
                <c:pt idx="6">
                  <c:v>0.40909090909090901</c:v>
                </c:pt>
                <c:pt idx="7">
                  <c:v>0.40909090909090901</c:v>
                </c:pt>
                <c:pt idx="8">
                  <c:v>0.40909090909090901</c:v>
                </c:pt>
                <c:pt idx="9">
                  <c:v>0.40909090909090901</c:v>
                </c:pt>
                <c:pt idx="10">
                  <c:v>0.40909090909090901</c:v>
                </c:pt>
                <c:pt idx="11">
                  <c:v>0.40909090909090901</c:v>
                </c:pt>
                <c:pt idx="12">
                  <c:v>0.40909090909090901</c:v>
                </c:pt>
                <c:pt idx="13">
                  <c:v>0.40909090909090901</c:v>
                </c:pt>
                <c:pt idx="14">
                  <c:v>0.40909090909090901</c:v>
                </c:pt>
                <c:pt idx="15">
                  <c:v>0.40909090909090901</c:v>
                </c:pt>
                <c:pt idx="16">
                  <c:v>0.40909090909090901</c:v>
                </c:pt>
                <c:pt idx="17">
                  <c:v>0.40909090909090901</c:v>
                </c:pt>
                <c:pt idx="18">
                  <c:v>0.40909090909090901</c:v>
                </c:pt>
                <c:pt idx="19">
                  <c:v>0.40909090909090901</c:v>
                </c:pt>
                <c:pt idx="20">
                  <c:v>0.40909090909090901</c:v>
                </c:pt>
                <c:pt idx="21">
                  <c:v>0.40909090909090901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D-4DE2-953F-A31AC47EF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총괄!$A$25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4F70-44BC-A1A6-D3E61D6D71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총괄!$B$25:$AG$25</c:f>
              <c:numCache>
                <c:formatCode>0%</c:formatCode>
                <c:ptCount val="32"/>
                <c:pt idx="0">
                  <c:v>0.59455128205128216</c:v>
                </c:pt>
                <c:pt idx="1">
                  <c:v>0.64666666666666672</c:v>
                </c:pt>
                <c:pt idx="2">
                  <c:v>0.53166666666666662</c:v>
                </c:pt>
                <c:pt idx="3">
                  <c:v>0.46376811594202894</c:v>
                </c:pt>
                <c:pt idx="5">
                  <c:v>0.47159090909090912</c:v>
                </c:pt>
                <c:pt idx="6">
                  <c:v>0.40705128205128205</c:v>
                </c:pt>
                <c:pt idx="7">
                  <c:v>0.3737847222222222</c:v>
                </c:pt>
                <c:pt idx="8">
                  <c:v>0.56310012437810952</c:v>
                </c:pt>
                <c:pt idx="9">
                  <c:v>0.55862000713761029</c:v>
                </c:pt>
                <c:pt idx="12">
                  <c:v>0.60416666666666652</c:v>
                </c:pt>
                <c:pt idx="13">
                  <c:v>0.42129629629629628</c:v>
                </c:pt>
                <c:pt idx="14">
                  <c:v>0.50666666666666671</c:v>
                </c:pt>
                <c:pt idx="15">
                  <c:v>0.58333333333333337</c:v>
                </c:pt>
                <c:pt idx="16">
                  <c:v>0.6382575757575758</c:v>
                </c:pt>
                <c:pt idx="22">
                  <c:v>0.58876811594202916</c:v>
                </c:pt>
                <c:pt idx="23">
                  <c:v>0.67424242424242431</c:v>
                </c:pt>
                <c:pt idx="26">
                  <c:v>0.40909090909090901</c:v>
                </c:pt>
                <c:pt idx="27">
                  <c:v>0.47463768115942034</c:v>
                </c:pt>
                <c:pt idx="28">
                  <c:v>0.43840579710144922</c:v>
                </c:pt>
                <c:pt idx="29">
                  <c:v>0.61413043478260865</c:v>
                </c:pt>
                <c:pt idx="31">
                  <c:v>0.35212652257487181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70-44BC-A1A6-D3E61D6D7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4F70-44BC-A1A6-D3E61D6D71B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총괄!$B$26:$AG$26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70-44BC-A1A6-D3E61D6D7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'28'!$D$6:$D$28</c:f>
              <c:strCache>
                <c:ptCount val="22"/>
                <c:pt idx="0">
                  <c:v>SLIDER</c:v>
                </c:pt>
                <c:pt idx="1">
                  <c:v>ADAPTER</c:v>
                </c:pt>
                <c:pt idx="2">
                  <c:v>LATCH</c:v>
                </c:pt>
                <c:pt idx="3">
                  <c:v>STOPPER</c:v>
                </c:pt>
                <c:pt idx="4">
                  <c:v>COVER</c:v>
                </c:pt>
                <c:pt idx="5">
                  <c:v>BOTTOM</c:v>
                </c:pt>
                <c:pt idx="6">
                  <c:v>HOLDER</c:v>
                </c:pt>
                <c:pt idx="7">
                  <c:v>LEAD GUIDER</c:v>
                </c:pt>
                <c:pt idx="8">
                  <c:v>BOTTOM</c:v>
                </c:pt>
                <c:pt idx="10">
                  <c:v>F/A</c:v>
                </c:pt>
                <c:pt idx="11">
                  <c:v>SLIDER</c:v>
                </c:pt>
                <c:pt idx="12">
                  <c:v>COVER</c:v>
                </c:pt>
                <c:pt idx="13">
                  <c:v>BASE</c:v>
                </c:pt>
                <c:pt idx="14">
                  <c:v>ACTUATOR</c:v>
                </c:pt>
                <c:pt idx="15">
                  <c:v>BASE</c:v>
                </c:pt>
                <c:pt idx="17">
                  <c:v>BASE</c:v>
                </c:pt>
                <c:pt idx="19">
                  <c:v>LEAD GUIDER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'28'!$L$6:$L$28</c:f>
              <c:numCache>
                <c:formatCode>_(* #,##0_);_(* \(#,##0\);_(* "-"_);_(@_)</c:formatCode>
                <c:ptCount val="23"/>
                <c:pt idx="0">
                  <c:v>5046</c:v>
                </c:pt>
                <c:pt idx="1">
                  <c:v>6074</c:v>
                </c:pt>
                <c:pt idx="2">
                  <c:v>4328</c:v>
                </c:pt>
                <c:pt idx="3">
                  <c:v>6273</c:v>
                </c:pt>
                <c:pt idx="5">
                  <c:v>1477</c:v>
                </c:pt>
                <c:pt idx="6">
                  <c:v>6154</c:v>
                </c:pt>
                <c:pt idx="7">
                  <c:v>5174</c:v>
                </c:pt>
                <c:pt idx="8">
                  <c:v>2427</c:v>
                </c:pt>
                <c:pt idx="9">
                  <c:v>712</c:v>
                </c:pt>
                <c:pt idx="11">
                  <c:v>8174</c:v>
                </c:pt>
                <c:pt idx="12">
                  <c:v>4163</c:v>
                </c:pt>
                <c:pt idx="13">
                  <c:v>666</c:v>
                </c:pt>
                <c:pt idx="14">
                  <c:v>2187</c:v>
                </c:pt>
                <c:pt idx="15">
                  <c:v>3045</c:v>
                </c:pt>
                <c:pt idx="16">
                  <c:v>63248</c:v>
                </c:pt>
                <c:pt idx="22">
                  <c:v>83092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A-4926-A365-6F8CCCC54F78}"/>
            </c:ext>
          </c:extLst>
        </c:ser>
        <c:ser>
          <c:idx val="1"/>
          <c:order val="1"/>
          <c:tx>
            <c:v>계획</c:v>
          </c:tx>
          <c:cat>
            <c:strRef>
              <c:f>'28'!$D$6:$D$28</c:f>
              <c:strCache>
                <c:ptCount val="22"/>
                <c:pt idx="0">
                  <c:v>SLIDER</c:v>
                </c:pt>
                <c:pt idx="1">
                  <c:v>ADAPTER</c:v>
                </c:pt>
                <c:pt idx="2">
                  <c:v>LATCH</c:v>
                </c:pt>
                <c:pt idx="3">
                  <c:v>STOPPER</c:v>
                </c:pt>
                <c:pt idx="4">
                  <c:v>COVER</c:v>
                </c:pt>
                <c:pt idx="5">
                  <c:v>BOTTOM</c:v>
                </c:pt>
                <c:pt idx="6">
                  <c:v>HOLDER</c:v>
                </c:pt>
                <c:pt idx="7">
                  <c:v>LEAD GUIDER</c:v>
                </c:pt>
                <c:pt idx="8">
                  <c:v>BOTTOM</c:v>
                </c:pt>
                <c:pt idx="10">
                  <c:v>F/A</c:v>
                </c:pt>
                <c:pt idx="11">
                  <c:v>SLIDER</c:v>
                </c:pt>
                <c:pt idx="12">
                  <c:v>COVER</c:v>
                </c:pt>
                <c:pt idx="13">
                  <c:v>BASE</c:v>
                </c:pt>
                <c:pt idx="14">
                  <c:v>ACTUATOR</c:v>
                </c:pt>
                <c:pt idx="15">
                  <c:v>BASE</c:v>
                </c:pt>
                <c:pt idx="17">
                  <c:v>BASE</c:v>
                </c:pt>
                <c:pt idx="19">
                  <c:v>LEAD GUIDER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'28'!$J$6:$J$28</c:f>
              <c:numCache>
                <c:formatCode>_(* #,##0_);_(* \(#,##0\);_(* "-"_);_(@_)</c:formatCode>
                <c:ptCount val="23"/>
                <c:pt idx="0">
                  <c:v>5046</c:v>
                </c:pt>
                <c:pt idx="1">
                  <c:v>6074</c:v>
                </c:pt>
                <c:pt idx="2">
                  <c:v>4328</c:v>
                </c:pt>
                <c:pt idx="3">
                  <c:v>6273</c:v>
                </c:pt>
                <c:pt idx="4">
                  <c:v>1203</c:v>
                </c:pt>
                <c:pt idx="5">
                  <c:v>1477</c:v>
                </c:pt>
                <c:pt idx="6">
                  <c:v>6154</c:v>
                </c:pt>
                <c:pt idx="7">
                  <c:v>5174</c:v>
                </c:pt>
                <c:pt idx="8">
                  <c:v>2427</c:v>
                </c:pt>
                <c:pt idx="9">
                  <c:v>712</c:v>
                </c:pt>
                <c:pt idx="10">
                  <c:v>2828</c:v>
                </c:pt>
                <c:pt idx="11">
                  <c:v>8174</c:v>
                </c:pt>
                <c:pt idx="12">
                  <c:v>4163</c:v>
                </c:pt>
                <c:pt idx="13">
                  <c:v>666</c:v>
                </c:pt>
                <c:pt idx="14">
                  <c:v>2187</c:v>
                </c:pt>
                <c:pt idx="15">
                  <c:v>3045</c:v>
                </c:pt>
                <c:pt idx="16">
                  <c:v>63248</c:v>
                </c:pt>
                <c:pt idx="17">
                  <c:v>24116</c:v>
                </c:pt>
                <c:pt idx="18">
                  <c:v>0</c:v>
                </c:pt>
                <c:pt idx="19">
                  <c:v>21522</c:v>
                </c:pt>
                <c:pt idx="20">
                  <c:v>26548</c:v>
                </c:pt>
                <c:pt idx="21">
                  <c:v>26944</c:v>
                </c:pt>
                <c:pt idx="22">
                  <c:v>83092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3A-4926-A365-6F8CCCC54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'28'!$AD$6:$AD$28</c:f>
              <c:strCache>
                <c:ptCount val="23"/>
                <c:pt idx="0">
                  <c:v>50%</c:v>
                </c:pt>
                <c:pt idx="1">
                  <c:v>100%</c:v>
                </c:pt>
                <c:pt idx="2">
                  <c:v>46%</c:v>
                </c:pt>
                <c:pt idx="3">
                  <c:v>100%</c:v>
                </c:pt>
                <c:pt idx="4">
                  <c:v>0%</c:v>
                </c:pt>
                <c:pt idx="5">
                  <c:v>29%</c:v>
                </c:pt>
                <c:pt idx="6">
                  <c:v>58%</c:v>
                </c:pt>
                <c:pt idx="7">
                  <c:v>100%</c:v>
                </c:pt>
                <c:pt idx="8">
                  <c:v>63%</c:v>
                </c:pt>
                <c:pt idx="9">
                  <c:v>42%</c:v>
                </c:pt>
                <c:pt idx="10">
                  <c:v>0%</c:v>
                </c:pt>
                <c:pt idx="11">
                  <c:v>92%</c:v>
                </c:pt>
                <c:pt idx="12">
                  <c:v>96%</c:v>
                </c:pt>
                <c:pt idx="13">
                  <c:v>17%</c:v>
                </c:pt>
                <c:pt idx="14">
                  <c:v>42%</c:v>
                </c:pt>
                <c:pt idx="15">
                  <c:v>58%</c:v>
                </c:pt>
                <c:pt idx="16">
                  <c:v>100%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  <c:pt idx="22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'28'!$D$6:$D$28</c:f>
              <c:strCache>
                <c:ptCount val="22"/>
                <c:pt idx="0">
                  <c:v>SLIDER</c:v>
                </c:pt>
                <c:pt idx="1">
                  <c:v>ADAPTER</c:v>
                </c:pt>
                <c:pt idx="2">
                  <c:v>LATCH</c:v>
                </c:pt>
                <c:pt idx="3">
                  <c:v>STOPPER</c:v>
                </c:pt>
                <c:pt idx="4">
                  <c:v>COVER</c:v>
                </c:pt>
                <c:pt idx="5">
                  <c:v>BOTTOM</c:v>
                </c:pt>
                <c:pt idx="6">
                  <c:v>HOLDER</c:v>
                </c:pt>
                <c:pt idx="7">
                  <c:v>LEAD GUIDER</c:v>
                </c:pt>
                <c:pt idx="8">
                  <c:v>BOTTOM</c:v>
                </c:pt>
                <c:pt idx="10">
                  <c:v>F/A</c:v>
                </c:pt>
                <c:pt idx="11">
                  <c:v>SLIDER</c:v>
                </c:pt>
                <c:pt idx="12">
                  <c:v>COVER</c:v>
                </c:pt>
                <c:pt idx="13">
                  <c:v>BASE</c:v>
                </c:pt>
                <c:pt idx="14">
                  <c:v>ACTUATOR</c:v>
                </c:pt>
                <c:pt idx="15">
                  <c:v>BASE</c:v>
                </c:pt>
                <c:pt idx="17">
                  <c:v>BASE</c:v>
                </c:pt>
                <c:pt idx="19">
                  <c:v>LEAD GUIDER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'28'!$AD$6:$AD$28</c:f>
              <c:numCache>
                <c:formatCode>0%</c:formatCode>
                <c:ptCount val="23"/>
                <c:pt idx="0">
                  <c:v>0.5</c:v>
                </c:pt>
                <c:pt idx="1">
                  <c:v>1</c:v>
                </c:pt>
                <c:pt idx="2">
                  <c:v>0.45833333333333331</c:v>
                </c:pt>
                <c:pt idx="3">
                  <c:v>1</c:v>
                </c:pt>
                <c:pt idx="4">
                  <c:v>0</c:v>
                </c:pt>
                <c:pt idx="5">
                  <c:v>0.29166666666666669</c:v>
                </c:pt>
                <c:pt idx="6">
                  <c:v>0.58333333333333337</c:v>
                </c:pt>
                <c:pt idx="7">
                  <c:v>1</c:v>
                </c:pt>
                <c:pt idx="8">
                  <c:v>0.625</c:v>
                </c:pt>
                <c:pt idx="9">
                  <c:v>0.41666666666666669</c:v>
                </c:pt>
                <c:pt idx="10">
                  <c:v>0</c:v>
                </c:pt>
                <c:pt idx="11">
                  <c:v>0.91666666666666663</c:v>
                </c:pt>
                <c:pt idx="12">
                  <c:v>0.95833333333333337</c:v>
                </c:pt>
                <c:pt idx="13">
                  <c:v>0.16666666666666666</c:v>
                </c:pt>
                <c:pt idx="14">
                  <c:v>0.41666666666666669</c:v>
                </c:pt>
                <c:pt idx="15">
                  <c:v>0.58333333333333337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0-47A2-AFD3-94FB5315B6B6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50-47A2-AFD3-94FB5315B6B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'28'!$D$6:$D$28</c:f>
              <c:strCache>
                <c:ptCount val="22"/>
                <c:pt idx="0">
                  <c:v>SLIDER</c:v>
                </c:pt>
                <c:pt idx="1">
                  <c:v>ADAPTER</c:v>
                </c:pt>
                <c:pt idx="2">
                  <c:v>LATCH</c:v>
                </c:pt>
                <c:pt idx="3">
                  <c:v>STOPPER</c:v>
                </c:pt>
                <c:pt idx="4">
                  <c:v>COVER</c:v>
                </c:pt>
                <c:pt idx="5">
                  <c:v>BOTTOM</c:v>
                </c:pt>
                <c:pt idx="6">
                  <c:v>HOLDER</c:v>
                </c:pt>
                <c:pt idx="7">
                  <c:v>LEAD GUIDER</c:v>
                </c:pt>
                <c:pt idx="8">
                  <c:v>BOTTOM</c:v>
                </c:pt>
                <c:pt idx="10">
                  <c:v>F/A</c:v>
                </c:pt>
                <c:pt idx="11">
                  <c:v>SLIDER</c:v>
                </c:pt>
                <c:pt idx="12">
                  <c:v>COVER</c:v>
                </c:pt>
                <c:pt idx="13">
                  <c:v>BASE</c:v>
                </c:pt>
                <c:pt idx="14">
                  <c:v>ACTUATOR</c:v>
                </c:pt>
                <c:pt idx="15">
                  <c:v>BASE</c:v>
                </c:pt>
                <c:pt idx="17">
                  <c:v>BASE</c:v>
                </c:pt>
                <c:pt idx="19">
                  <c:v>LEAD GUIDER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'28'!$AE$6:$AE$28</c:f>
              <c:numCache>
                <c:formatCode>0%</c:formatCode>
                <c:ptCount val="23"/>
                <c:pt idx="0">
                  <c:v>0.47463768115942034</c:v>
                </c:pt>
                <c:pt idx="1">
                  <c:v>0.47463768115942034</c:v>
                </c:pt>
                <c:pt idx="2">
                  <c:v>0.47463768115942034</c:v>
                </c:pt>
                <c:pt idx="3">
                  <c:v>0.47463768115942034</c:v>
                </c:pt>
                <c:pt idx="4">
                  <c:v>0.47463768115942034</c:v>
                </c:pt>
                <c:pt idx="5">
                  <c:v>0.47463768115942034</c:v>
                </c:pt>
                <c:pt idx="6">
                  <c:v>0.47463768115942034</c:v>
                </c:pt>
                <c:pt idx="7">
                  <c:v>0.47463768115942034</c:v>
                </c:pt>
                <c:pt idx="8">
                  <c:v>0.47463768115942034</c:v>
                </c:pt>
                <c:pt idx="9">
                  <c:v>0.47463768115942034</c:v>
                </c:pt>
                <c:pt idx="10">
                  <c:v>0.47463768115942034</c:v>
                </c:pt>
                <c:pt idx="11">
                  <c:v>0.47463768115942034</c:v>
                </c:pt>
                <c:pt idx="12">
                  <c:v>0.47463768115942034</c:v>
                </c:pt>
                <c:pt idx="13">
                  <c:v>0.47463768115942034</c:v>
                </c:pt>
                <c:pt idx="14">
                  <c:v>0.47463768115942034</c:v>
                </c:pt>
                <c:pt idx="15">
                  <c:v>0.47463768115942034</c:v>
                </c:pt>
                <c:pt idx="16">
                  <c:v>0.47463768115942034</c:v>
                </c:pt>
                <c:pt idx="17">
                  <c:v>0.47463768115942034</c:v>
                </c:pt>
                <c:pt idx="18">
                  <c:v>0.47463768115942034</c:v>
                </c:pt>
                <c:pt idx="19">
                  <c:v>0.47463768115942034</c:v>
                </c:pt>
                <c:pt idx="20">
                  <c:v>0.47463768115942034</c:v>
                </c:pt>
                <c:pt idx="21">
                  <c:v>0.47463768115942034</c:v>
                </c:pt>
                <c:pt idx="22">
                  <c:v>0.47463768115942034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50-47A2-AFD3-94FB5315B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864127889076517E-2"/>
          <c:y val="6.4095047578651546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'28'!$D$6:$D$28</c:f>
              <c:strCache>
                <c:ptCount val="22"/>
                <c:pt idx="0">
                  <c:v>SLIDER</c:v>
                </c:pt>
                <c:pt idx="1">
                  <c:v>ADAPTER</c:v>
                </c:pt>
                <c:pt idx="2">
                  <c:v>LATCH</c:v>
                </c:pt>
                <c:pt idx="3">
                  <c:v>STOPPER</c:v>
                </c:pt>
                <c:pt idx="4">
                  <c:v>COVER</c:v>
                </c:pt>
                <c:pt idx="5">
                  <c:v>BOTTOM</c:v>
                </c:pt>
                <c:pt idx="6">
                  <c:v>HOLDER</c:v>
                </c:pt>
                <c:pt idx="7">
                  <c:v>LEAD GUIDER</c:v>
                </c:pt>
                <c:pt idx="8">
                  <c:v>BOTTOM</c:v>
                </c:pt>
                <c:pt idx="10">
                  <c:v>F/A</c:v>
                </c:pt>
                <c:pt idx="11">
                  <c:v>SLIDER</c:v>
                </c:pt>
                <c:pt idx="12">
                  <c:v>COVER</c:v>
                </c:pt>
                <c:pt idx="13">
                  <c:v>BASE</c:v>
                </c:pt>
                <c:pt idx="14">
                  <c:v>ACTUATOR</c:v>
                </c:pt>
                <c:pt idx="15">
                  <c:v>BASE</c:v>
                </c:pt>
                <c:pt idx="17">
                  <c:v>BASE</c:v>
                </c:pt>
                <c:pt idx="19">
                  <c:v>LEAD GUIDER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'28'!$L$6:$L$28</c:f>
              <c:numCache>
                <c:formatCode>_(* #,##0_);_(* \(#,##0\);_(* "-"_);_(@_)</c:formatCode>
                <c:ptCount val="23"/>
                <c:pt idx="0">
                  <c:v>5046</c:v>
                </c:pt>
                <c:pt idx="1">
                  <c:v>6074</c:v>
                </c:pt>
                <c:pt idx="2">
                  <c:v>4328</c:v>
                </c:pt>
                <c:pt idx="3">
                  <c:v>6273</c:v>
                </c:pt>
                <c:pt idx="5">
                  <c:v>1477</c:v>
                </c:pt>
                <c:pt idx="6">
                  <c:v>6154</c:v>
                </c:pt>
                <c:pt idx="7">
                  <c:v>5174</c:v>
                </c:pt>
                <c:pt idx="8">
                  <c:v>2427</c:v>
                </c:pt>
                <c:pt idx="9">
                  <c:v>712</c:v>
                </c:pt>
                <c:pt idx="11">
                  <c:v>8174</c:v>
                </c:pt>
                <c:pt idx="12">
                  <c:v>4163</c:v>
                </c:pt>
                <c:pt idx="13">
                  <c:v>666</c:v>
                </c:pt>
                <c:pt idx="14">
                  <c:v>2187</c:v>
                </c:pt>
                <c:pt idx="15">
                  <c:v>3045</c:v>
                </c:pt>
                <c:pt idx="16">
                  <c:v>63248</c:v>
                </c:pt>
                <c:pt idx="22">
                  <c:v>83092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8-43CD-AE9B-4C97E1FA3AD7}"/>
            </c:ext>
          </c:extLst>
        </c:ser>
        <c:ser>
          <c:idx val="1"/>
          <c:order val="1"/>
          <c:tx>
            <c:v>계획</c:v>
          </c:tx>
          <c:cat>
            <c:strRef>
              <c:f>'28'!$D$6:$D$28</c:f>
              <c:strCache>
                <c:ptCount val="22"/>
                <c:pt idx="0">
                  <c:v>SLIDER</c:v>
                </c:pt>
                <c:pt idx="1">
                  <c:v>ADAPTER</c:v>
                </c:pt>
                <c:pt idx="2">
                  <c:v>LATCH</c:v>
                </c:pt>
                <c:pt idx="3">
                  <c:v>STOPPER</c:v>
                </c:pt>
                <c:pt idx="4">
                  <c:v>COVER</c:v>
                </c:pt>
                <c:pt idx="5">
                  <c:v>BOTTOM</c:v>
                </c:pt>
                <c:pt idx="6">
                  <c:v>HOLDER</c:v>
                </c:pt>
                <c:pt idx="7">
                  <c:v>LEAD GUIDER</c:v>
                </c:pt>
                <c:pt idx="8">
                  <c:v>BOTTOM</c:v>
                </c:pt>
                <c:pt idx="10">
                  <c:v>F/A</c:v>
                </c:pt>
                <c:pt idx="11">
                  <c:v>SLIDER</c:v>
                </c:pt>
                <c:pt idx="12">
                  <c:v>COVER</c:v>
                </c:pt>
                <c:pt idx="13">
                  <c:v>BASE</c:v>
                </c:pt>
                <c:pt idx="14">
                  <c:v>ACTUATOR</c:v>
                </c:pt>
                <c:pt idx="15">
                  <c:v>BASE</c:v>
                </c:pt>
                <c:pt idx="17">
                  <c:v>BASE</c:v>
                </c:pt>
                <c:pt idx="19">
                  <c:v>LEAD GUIDER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'28'!$J$6:$J$28</c:f>
              <c:numCache>
                <c:formatCode>_(* #,##0_);_(* \(#,##0\);_(* "-"_);_(@_)</c:formatCode>
                <c:ptCount val="23"/>
                <c:pt idx="0">
                  <c:v>5046</c:v>
                </c:pt>
                <c:pt idx="1">
                  <c:v>6074</c:v>
                </c:pt>
                <c:pt idx="2">
                  <c:v>4328</c:v>
                </c:pt>
                <c:pt idx="3">
                  <c:v>6273</c:v>
                </c:pt>
                <c:pt idx="4">
                  <c:v>1203</c:v>
                </c:pt>
                <c:pt idx="5">
                  <c:v>1477</c:v>
                </c:pt>
                <c:pt idx="6">
                  <c:v>6154</c:v>
                </c:pt>
                <c:pt idx="7">
                  <c:v>5174</c:v>
                </c:pt>
                <c:pt idx="8">
                  <c:v>2427</c:v>
                </c:pt>
                <c:pt idx="9">
                  <c:v>712</c:v>
                </c:pt>
                <c:pt idx="10">
                  <c:v>2828</c:v>
                </c:pt>
                <c:pt idx="11">
                  <c:v>8174</c:v>
                </c:pt>
                <c:pt idx="12">
                  <c:v>4163</c:v>
                </c:pt>
                <c:pt idx="13">
                  <c:v>666</c:v>
                </c:pt>
                <c:pt idx="14">
                  <c:v>2187</c:v>
                </c:pt>
                <c:pt idx="15">
                  <c:v>3045</c:v>
                </c:pt>
                <c:pt idx="16">
                  <c:v>63248</c:v>
                </c:pt>
                <c:pt idx="17">
                  <c:v>24116</c:v>
                </c:pt>
                <c:pt idx="18">
                  <c:v>0</c:v>
                </c:pt>
                <c:pt idx="19">
                  <c:v>21522</c:v>
                </c:pt>
                <c:pt idx="20">
                  <c:v>26548</c:v>
                </c:pt>
                <c:pt idx="21">
                  <c:v>26944</c:v>
                </c:pt>
                <c:pt idx="22">
                  <c:v>83092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28-43CD-AE9B-4C97E1FA3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'28'!$AD$6:$AD$28</c:f>
              <c:strCache>
                <c:ptCount val="23"/>
                <c:pt idx="0">
                  <c:v>50%</c:v>
                </c:pt>
                <c:pt idx="1">
                  <c:v>100%</c:v>
                </c:pt>
                <c:pt idx="2">
                  <c:v>46%</c:v>
                </c:pt>
                <c:pt idx="3">
                  <c:v>100%</c:v>
                </c:pt>
                <c:pt idx="4">
                  <c:v>0%</c:v>
                </c:pt>
                <c:pt idx="5">
                  <c:v>29%</c:v>
                </c:pt>
                <c:pt idx="6">
                  <c:v>58%</c:v>
                </c:pt>
                <c:pt idx="7">
                  <c:v>100%</c:v>
                </c:pt>
                <c:pt idx="8">
                  <c:v>63%</c:v>
                </c:pt>
                <c:pt idx="9">
                  <c:v>42%</c:v>
                </c:pt>
                <c:pt idx="10">
                  <c:v>0%</c:v>
                </c:pt>
                <c:pt idx="11">
                  <c:v>92%</c:v>
                </c:pt>
                <c:pt idx="12">
                  <c:v>96%</c:v>
                </c:pt>
                <c:pt idx="13">
                  <c:v>17%</c:v>
                </c:pt>
                <c:pt idx="14">
                  <c:v>42%</c:v>
                </c:pt>
                <c:pt idx="15">
                  <c:v>58%</c:v>
                </c:pt>
                <c:pt idx="16">
                  <c:v>100%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  <c:pt idx="22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'28'!$D$6:$D$28</c:f>
              <c:strCache>
                <c:ptCount val="22"/>
                <c:pt idx="0">
                  <c:v>SLIDER</c:v>
                </c:pt>
                <c:pt idx="1">
                  <c:v>ADAPTER</c:v>
                </c:pt>
                <c:pt idx="2">
                  <c:v>LATCH</c:v>
                </c:pt>
                <c:pt idx="3">
                  <c:v>STOPPER</c:v>
                </c:pt>
                <c:pt idx="4">
                  <c:v>COVER</c:v>
                </c:pt>
                <c:pt idx="5">
                  <c:v>BOTTOM</c:v>
                </c:pt>
                <c:pt idx="6">
                  <c:v>HOLDER</c:v>
                </c:pt>
                <c:pt idx="7">
                  <c:v>LEAD GUIDER</c:v>
                </c:pt>
                <c:pt idx="8">
                  <c:v>BOTTOM</c:v>
                </c:pt>
                <c:pt idx="10">
                  <c:v>F/A</c:v>
                </c:pt>
                <c:pt idx="11">
                  <c:v>SLIDER</c:v>
                </c:pt>
                <c:pt idx="12">
                  <c:v>COVER</c:v>
                </c:pt>
                <c:pt idx="13">
                  <c:v>BASE</c:v>
                </c:pt>
                <c:pt idx="14">
                  <c:v>ACTUATOR</c:v>
                </c:pt>
                <c:pt idx="15">
                  <c:v>BASE</c:v>
                </c:pt>
                <c:pt idx="17">
                  <c:v>BASE</c:v>
                </c:pt>
                <c:pt idx="19">
                  <c:v>LEAD GUIDER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'28'!$AD$6:$AD$28</c:f>
              <c:numCache>
                <c:formatCode>0%</c:formatCode>
                <c:ptCount val="23"/>
                <c:pt idx="0">
                  <c:v>0.5</c:v>
                </c:pt>
                <c:pt idx="1">
                  <c:v>1</c:v>
                </c:pt>
                <c:pt idx="2">
                  <c:v>0.45833333333333331</c:v>
                </c:pt>
                <c:pt idx="3">
                  <c:v>1</c:v>
                </c:pt>
                <c:pt idx="4">
                  <c:v>0</c:v>
                </c:pt>
                <c:pt idx="5">
                  <c:v>0.29166666666666669</c:v>
                </c:pt>
                <c:pt idx="6">
                  <c:v>0.58333333333333337</c:v>
                </c:pt>
                <c:pt idx="7">
                  <c:v>1</c:v>
                </c:pt>
                <c:pt idx="8">
                  <c:v>0.625</c:v>
                </c:pt>
                <c:pt idx="9">
                  <c:v>0.41666666666666669</c:v>
                </c:pt>
                <c:pt idx="10">
                  <c:v>0</c:v>
                </c:pt>
                <c:pt idx="11">
                  <c:v>0.91666666666666663</c:v>
                </c:pt>
                <c:pt idx="12">
                  <c:v>0.95833333333333337</c:v>
                </c:pt>
                <c:pt idx="13">
                  <c:v>0.16666666666666666</c:v>
                </c:pt>
                <c:pt idx="14">
                  <c:v>0.41666666666666669</c:v>
                </c:pt>
                <c:pt idx="15">
                  <c:v>0.58333333333333337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8-4C9F-AF4D-01AB54A96AE8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18-4C9F-AF4D-01AB54A96AE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'28'!$D$6:$D$28</c:f>
              <c:strCache>
                <c:ptCount val="22"/>
                <c:pt idx="0">
                  <c:v>SLIDER</c:v>
                </c:pt>
                <c:pt idx="1">
                  <c:v>ADAPTER</c:v>
                </c:pt>
                <c:pt idx="2">
                  <c:v>LATCH</c:v>
                </c:pt>
                <c:pt idx="3">
                  <c:v>STOPPER</c:v>
                </c:pt>
                <c:pt idx="4">
                  <c:v>COVER</c:v>
                </c:pt>
                <c:pt idx="5">
                  <c:v>BOTTOM</c:v>
                </c:pt>
                <c:pt idx="6">
                  <c:v>HOLDER</c:v>
                </c:pt>
                <c:pt idx="7">
                  <c:v>LEAD GUIDER</c:v>
                </c:pt>
                <c:pt idx="8">
                  <c:v>BOTTOM</c:v>
                </c:pt>
                <c:pt idx="10">
                  <c:v>F/A</c:v>
                </c:pt>
                <c:pt idx="11">
                  <c:v>SLIDER</c:v>
                </c:pt>
                <c:pt idx="12">
                  <c:v>COVER</c:v>
                </c:pt>
                <c:pt idx="13">
                  <c:v>BASE</c:v>
                </c:pt>
                <c:pt idx="14">
                  <c:v>ACTUATOR</c:v>
                </c:pt>
                <c:pt idx="15">
                  <c:v>BASE</c:v>
                </c:pt>
                <c:pt idx="17">
                  <c:v>BASE</c:v>
                </c:pt>
                <c:pt idx="19">
                  <c:v>LEAD GUIDER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'28'!$AE$6:$AE$28</c:f>
              <c:numCache>
                <c:formatCode>0%</c:formatCode>
                <c:ptCount val="23"/>
                <c:pt idx="0">
                  <c:v>0.47463768115942034</c:v>
                </c:pt>
                <c:pt idx="1">
                  <c:v>0.47463768115942034</c:v>
                </c:pt>
                <c:pt idx="2">
                  <c:v>0.47463768115942034</c:v>
                </c:pt>
                <c:pt idx="3">
                  <c:v>0.47463768115942034</c:v>
                </c:pt>
                <c:pt idx="4">
                  <c:v>0.47463768115942034</c:v>
                </c:pt>
                <c:pt idx="5">
                  <c:v>0.47463768115942034</c:v>
                </c:pt>
                <c:pt idx="6">
                  <c:v>0.47463768115942034</c:v>
                </c:pt>
                <c:pt idx="7">
                  <c:v>0.47463768115942034</c:v>
                </c:pt>
                <c:pt idx="8">
                  <c:v>0.47463768115942034</c:v>
                </c:pt>
                <c:pt idx="9">
                  <c:v>0.47463768115942034</c:v>
                </c:pt>
                <c:pt idx="10">
                  <c:v>0.47463768115942034</c:v>
                </c:pt>
                <c:pt idx="11">
                  <c:v>0.47463768115942034</c:v>
                </c:pt>
                <c:pt idx="12">
                  <c:v>0.47463768115942034</c:v>
                </c:pt>
                <c:pt idx="13">
                  <c:v>0.47463768115942034</c:v>
                </c:pt>
                <c:pt idx="14">
                  <c:v>0.47463768115942034</c:v>
                </c:pt>
                <c:pt idx="15">
                  <c:v>0.47463768115942034</c:v>
                </c:pt>
                <c:pt idx="16">
                  <c:v>0.47463768115942034</c:v>
                </c:pt>
                <c:pt idx="17">
                  <c:v>0.47463768115942034</c:v>
                </c:pt>
                <c:pt idx="18">
                  <c:v>0.47463768115942034</c:v>
                </c:pt>
                <c:pt idx="19">
                  <c:v>0.47463768115942034</c:v>
                </c:pt>
                <c:pt idx="20">
                  <c:v>0.47463768115942034</c:v>
                </c:pt>
                <c:pt idx="21">
                  <c:v>0.47463768115942034</c:v>
                </c:pt>
                <c:pt idx="22">
                  <c:v>0.47463768115942034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18-4C9F-AF4D-01AB54A96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'02'!$AD$6:$AD$30</c:f>
              <c:strCache>
                <c:ptCount val="25"/>
                <c:pt idx="0">
                  <c:v>100%</c:v>
                </c:pt>
                <c:pt idx="1">
                  <c:v>100%</c:v>
                </c:pt>
                <c:pt idx="2">
                  <c:v>100%</c:v>
                </c:pt>
                <c:pt idx="3">
                  <c:v>100%</c:v>
                </c:pt>
                <c:pt idx="4">
                  <c:v>96%</c:v>
                </c:pt>
                <c:pt idx="5">
                  <c:v>33%</c:v>
                </c:pt>
                <c:pt idx="6">
                  <c:v>54%</c:v>
                </c:pt>
                <c:pt idx="7">
                  <c:v>79%</c:v>
                </c:pt>
                <c:pt idx="8">
                  <c:v>25%</c:v>
                </c:pt>
                <c:pt idx="9">
                  <c:v>42%</c:v>
                </c:pt>
                <c:pt idx="10">
                  <c:v>17%</c:v>
                </c:pt>
                <c:pt idx="11">
                  <c:v>0%</c:v>
                </c:pt>
                <c:pt idx="12">
                  <c:v>33%</c:v>
                </c:pt>
                <c:pt idx="13">
                  <c:v>75%</c:v>
                </c:pt>
                <c:pt idx="14">
                  <c:v>0%</c:v>
                </c:pt>
                <c:pt idx="15">
                  <c:v>100%</c:v>
                </c:pt>
                <c:pt idx="16">
                  <c:v>63%</c:v>
                </c:pt>
                <c:pt idx="17">
                  <c:v>100%</c:v>
                </c:pt>
                <c:pt idx="18">
                  <c:v>100%</c:v>
                </c:pt>
                <c:pt idx="19">
                  <c:v>100%</c:v>
                </c:pt>
                <c:pt idx="20">
                  <c:v>0%</c:v>
                </c:pt>
                <c:pt idx="21">
                  <c:v>100%</c:v>
                </c:pt>
                <c:pt idx="22">
                  <c:v>100%</c:v>
                </c:pt>
                <c:pt idx="23">
                  <c:v>0%</c:v>
                </c:pt>
                <c:pt idx="24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'02'!$D$6:$D$30</c:f>
              <c:strCache>
                <c:ptCount val="25"/>
                <c:pt idx="0">
                  <c:v>F/A</c:v>
                </c:pt>
                <c:pt idx="1">
                  <c:v>ADAPTER</c:v>
                </c:pt>
                <c:pt idx="2">
                  <c:v>SLIDER</c:v>
                </c:pt>
                <c:pt idx="4">
                  <c:v>COVER</c:v>
                </c:pt>
                <c:pt idx="5">
                  <c:v>BOTTOM</c:v>
                </c:pt>
                <c:pt idx="6">
                  <c:v>ADAPTER</c:v>
                </c:pt>
                <c:pt idx="7">
                  <c:v>BASE</c:v>
                </c:pt>
                <c:pt idx="8">
                  <c:v>TOP</c:v>
                </c:pt>
                <c:pt idx="9">
                  <c:v>BOTTOM</c:v>
                </c:pt>
                <c:pt idx="10">
                  <c:v>TOP</c:v>
                </c:pt>
                <c:pt idx="11">
                  <c:v>BASE</c:v>
                </c:pt>
                <c:pt idx="12">
                  <c:v>FLOATING</c:v>
                </c:pt>
                <c:pt idx="14">
                  <c:v>COVER</c:v>
                </c:pt>
                <c:pt idx="15">
                  <c:v>BASE</c:v>
                </c:pt>
                <c:pt idx="16">
                  <c:v>BASE</c:v>
                </c:pt>
                <c:pt idx="17">
                  <c:v>BASE</c:v>
                </c:pt>
                <c:pt idx="21">
                  <c:v>LEAD GUIDER</c:v>
                </c:pt>
                <c:pt idx="22">
                  <c:v>SLIDER</c:v>
                </c:pt>
                <c:pt idx="23">
                  <c:v>COVER</c:v>
                </c:pt>
                <c:pt idx="24">
                  <c:v>BASE</c:v>
                </c:pt>
              </c:strCache>
            </c:strRef>
          </c:cat>
          <c:val>
            <c:numRef>
              <c:f>'02'!$AD$6:$AD$30</c:f>
              <c:numCache>
                <c:formatCode>0%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0.95833333333333337</c:v>
                </c:pt>
                <c:pt idx="5">
                  <c:v>0.33333333333333331</c:v>
                </c:pt>
                <c:pt idx="6">
                  <c:v>0.54166666666666663</c:v>
                </c:pt>
                <c:pt idx="7">
                  <c:v>0.79166666666666663</c:v>
                </c:pt>
                <c:pt idx="8">
                  <c:v>0.25</c:v>
                </c:pt>
                <c:pt idx="9">
                  <c:v>0.41666666666666669</c:v>
                </c:pt>
                <c:pt idx="10">
                  <c:v>0.16666666666666666</c:v>
                </c:pt>
                <c:pt idx="11">
                  <c:v>0</c:v>
                </c:pt>
                <c:pt idx="12">
                  <c:v>0.33333333333333331</c:v>
                </c:pt>
                <c:pt idx="13">
                  <c:v>0.75</c:v>
                </c:pt>
                <c:pt idx="14">
                  <c:v>0</c:v>
                </c:pt>
                <c:pt idx="15">
                  <c:v>1</c:v>
                </c:pt>
                <c:pt idx="16">
                  <c:v>0.625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6-4F14-A888-68A692D06101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26-4F14-A888-68A692D0610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'02'!$D$6:$D$30</c:f>
              <c:strCache>
                <c:ptCount val="25"/>
                <c:pt idx="0">
                  <c:v>F/A</c:v>
                </c:pt>
                <c:pt idx="1">
                  <c:v>ADAPTER</c:v>
                </c:pt>
                <c:pt idx="2">
                  <c:v>SLIDER</c:v>
                </c:pt>
                <c:pt idx="4">
                  <c:v>COVER</c:v>
                </c:pt>
                <c:pt idx="5">
                  <c:v>BOTTOM</c:v>
                </c:pt>
                <c:pt idx="6">
                  <c:v>ADAPTER</c:v>
                </c:pt>
                <c:pt idx="7">
                  <c:v>BASE</c:v>
                </c:pt>
                <c:pt idx="8">
                  <c:v>TOP</c:v>
                </c:pt>
                <c:pt idx="9">
                  <c:v>BOTTOM</c:v>
                </c:pt>
                <c:pt idx="10">
                  <c:v>TOP</c:v>
                </c:pt>
                <c:pt idx="11">
                  <c:v>BASE</c:v>
                </c:pt>
                <c:pt idx="12">
                  <c:v>FLOATING</c:v>
                </c:pt>
                <c:pt idx="14">
                  <c:v>COVER</c:v>
                </c:pt>
                <c:pt idx="15">
                  <c:v>BASE</c:v>
                </c:pt>
                <c:pt idx="16">
                  <c:v>BASE</c:v>
                </c:pt>
                <c:pt idx="17">
                  <c:v>BASE</c:v>
                </c:pt>
                <c:pt idx="21">
                  <c:v>LEAD GUIDER</c:v>
                </c:pt>
                <c:pt idx="22">
                  <c:v>SLIDER</c:v>
                </c:pt>
                <c:pt idx="23">
                  <c:v>COVER</c:v>
                </c:pt>
                <c:pt idx="24">
                  <c:v>BASE</c:v>
                </c:pt>
              </c:strCache>
            </c:strRef>
          </c:cat>
          <c:val>
            <c:numRef>
              <c:f>'02'!$AE$6:$AE$30</c:f>
              <c:numCache>
                <c:formatCode>0%</c:formatCode>
                <c:ptCount val="25"/>
                <c:pt idx="0">
                  <c:v>0.64666666666666672</c:v>
                </c:pt>
                <c:pt idx="1">
                  <c:v>0.64666666666666672</c:v>
                </c:pt>
                <c:pt idx="2">
                  <c:v>0.64666666666666672</c:v>
                </c:pt>
                <c:pt idx="3">
                  <c:v>0.64666666666666672</c:v>
                </c:pt>
                <c:pt idx="4">
                  <c:v>0.64666666666666672</c:v>
                </c:pt>
                <c:pt idx="5">
                  <c:v>0.64666666666666672</c:v>
                </c:pt>
                <c:pt idx="6">
                  <c:v>0.64666666666666672</c:v>
                </c:pt>
                <c:pt idx="7">
                  <c:v>0.64666666666666672</c:v>
                </c:pt>
                <c:pt idx="8">
                  <c:v>0.64666666666666672</c:v>
                </c:pt>
                <c:pt idx="9">
                  <c:v>0.64666666666666672</c:v>
                </c:pt>
                <c:pt idx="10">
                  <c:v>0.64666666666666672</c:v>
                </c:pt>
                <c:pt idx="11">
                  <c:v>0.64666666666666672</c:v>
                </c:pt>
                <c:pt idx="12">
                  <c:v>0.64666666666666672</c:v>
                </c:pt>
                <c:pt idx="13">
                  <c:v>0.64666666666666672</c:v>
                </c:pt>
                <c:pt idx="14">
                  <c:v>0.64666666666666672</c:v>
                </c:pt>
                <c:pt idx="15">
                  <c:v>0.64666666666666672</c:v>
                </c:pt>
                <c:pt idx="16">
                  <c:v>0.64666666666666672</c:v>
                </c:pt>
                <c:pt idx="17">
                  <c:v>0.64666666666666672</c:v>
                </c:pt>
                <c:pt idx="18">
                  <c:v>0.64666666666666672</c:v>
                </c:pt>
                <c:pt idx="19">
                  <c:v>0.64666666666666672</c:v>
                </c:pt>
                <c:pt idx="20">
                  <c:v>0.64666666666666672</c:v>
                </c:pt>
                <c:pt idx="21">
                  <c:v>0.64666666666666672</c:v>
                </c:pt>
                <c:pt idx="22">
                  <c:v>0.64666666666666672</c:v>
                </c:pt>
                <c:pt idx="23">
                  <c:v>0.64666666666666672</c:v>
                </c:pt>
                <c:pt idx="24">
                  <c:v>0.64666666666666672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26-4F14-A888-68A692D06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총괄!$A$25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14D9-417D-A5F3-0339348EC2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총괄!$B$25:$AG$25</c:f>
              <c:numCache>
                <c:formatCode>0%</c:formatCode>
                <c:ptCount val="32"/>
                <c:pt idx="0">
                  <c:v>0.59455128205128216</c:v>
                </c:pt>
                <c:pt idx="1">
                  <c:v>0.64666666666666672</c:v>
                </c:pt>
                <c:pt idx="2">
                  <c:v>0.53166666666666662</c:v>
                </c:pt>
                <c:pt idx="3">
                  <c:v>0.46376811594202894</c:v>
                </c:pt>
                <c:pt idx="5">
                  <c:v>0.47159090909090912</c:v>
                </c:pt>
                <c:pt idx="6">
                  <c:v>0.40705128205128205</c:v>
                </c:pt>
                <c:pt idx="7">
                  <c:v>0.3737847222222222</c:v>
                </c:pt>
                <c:pt idx="8">
                  <c:v>0.56310012437810952</c:v>
                </c:pt>
                <c:pt idx="9">
                  <c:v>0.55862000713761029</c:v>
                </c:pt>
                <c:pt idx="12">
                  <c:v>0.60416666666666652</c:v>
                </c:pt>
                <c:pt idx="13">
                  <c:v>0.42129629629629628</c:v>
                </c:pt>
                <c:pt idx="14">
                  <c:v>0.50666666666666671</c:v>
                </c:pt>
                <c:pt idx="15">
                  <c:v>0.58333333333333337</c:v>
                </c:pt>
                <c:pt idx="16">
                  <c:v>0.6382575757575758</c:v>
                </c:pt>
                <c:pt idx="22">
                  <c:v>0.58876811594202916</c:v>
                </c:pt>
                <c:pt idx="23">
                  <c:v>0.67424242424242431</c:v>
                </c:pt>
                <c:pt idx="26">
                  <c:v>0.40909090909090901</c:v>
                </c:pt>
                <c:pt idx="27">
                  <c:v>0.47463768115942034</c:v>
                </c:pt>
                <c:pt idx="28">
                  <c:v>0.43840579710144922</c:v>
                </c:pt>
                <c:pt idx="29">
                  <c:v>0.61413043478260865</c:v>
                </c:pt>
                <c:pt idx="31">
                  <c:v>0.35212652257487181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D9-417D-A5F3-0339348EC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14D9-417D-A5F3-0339348EC29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총괄!$B$26:$AG$26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D9-417D-A5F3-0339348EC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'29'!$D$6:$D$28</c:f>
              <c:strCache>
                <c:ptCount val="22"/>
                <c:pt idx="0">
                  <c:v>SLIDER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4">
                  <c:v>COVER</c:v>
                </c:pt>
                <c:pt idx="5">
                  <c:v>BOTTOM</c:v>
                </c:pt>
                <c:pt idx="6">
                  <c:v>LEAD GUIDER</c:v>
                </c:pt>
                <c:pt idx="7">
                  <c:v>LEAD GUIDER</c:v>
                </c:pt>
                <c:pt idx="9">
                  <c:v>F/A</c:v>
                </c:pt>
                <c:pt idx="10">
                  <c:v>SLIDER</c:v>
                </c:pt>
                <c:pt idx="11">
                  <c:v>SLIDER</c:v>
                </c:pt>
                <c:pt idx="12">
                  <c:v>ADAPTER</c:v>
                </c:pt>
                <c:pt idx="13">
                  <c:v>BASE</c:v>
                </c:pt>
                <c:pt idx="14">
                  <c:v>ACTUATOR</c:v>
                </c:pt>
                <c:pt idx="15">
                  <c:v>BASE</c:v>
                </c:pt>
                <c:pt idx="17">
                  <c:v>BASE</c:v>
                </c:pt>
                <c:pt idx="19">
                  <c:v>LEAD GUIDER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'29'!$L$6:$L$28</c:f>
              <c:numCache>
                <c:formatCode>_(* #,##0_);_(* \(#,##0\);_(* "-"_);_(@_)</c:formatCode>
                <c:ptCount val="23"/>
                <c:pt idx="0">
                  <c:v>2812</c:v>
                </c:pt>
                <c:pt idx="1">
                  <c:v>5975</c:v>
                </c:pt>
                <c:pt idx="2">
                  <c:v>2445</c:v>
                </c:pt>
                <c:pt idx="3">
                  <c:v>3984</c:v>
                </c:pt>
                <c:pt idx="4">
                  <c:v>3638</c:v>
                </c:pt>
                <c:pt idx="6">
                  <c:v>5212</c:v>
                </c:pt>
                <c:pt idx="7">
                  <c:v>4060</c:v>
                </c:pt>
                <c:pt idx="10">
                  <c:v>1025</c:v>
                </c:pt>
                <c:pt idx="11">
                  <c:v>3843</c:v>
                </c:pt>
                <c:pt idx="12">
                  <c:v>5896</c:v>
                </c:pt>
                <c:pt idx="13">
                  <c:v>3747</c:v>
                </c:pt>
                <c:pt idx="14">
                  <c:v>4152</c:v>
                </c:pt>
                <c:pt idx="16">
                  <c:v>64592</c:v>
                </c:pt>
                <c:pt idx="22">
                  <c:v>82192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0-44EF-B37D-DEB83CDCAF2E}"/>
            </c:ext>
          </c:extLst>
        </c:ser>
        <c:ser>
          <c:idx val="1"/>
          <c:order val="1"/>
          <c:tx>
            <c:v>계획</c:v>
          </c:tx>
          <c:cat>
            <c:strRef>
              <c:f>'29'!$D$6:$D$28</c:f>
              <c:strCache>
                <c:ptCount val="22"/>
                <c:pt idx="0">
                  <c:v>SLIDER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4">
                  <c:v>COVER</c:v>
                </c:pt>
                <c:pt idx="5">
                  <c:v>BOTTOM</c:v>
                </c:pt>
                <c:pt idx="6">
                  <c:v>LEAD GUIDER</c:v>
                </c:pt>
                <c:pt idx="7">
                  <c:v>LEAD GUIDER</c:v>
                </c:pt>
                <c:pt idx="9">
                  <c:v>F/A</c:v>
                </c:pt>
                <c:pt idx="10">
                  <c:v>SLIDER</c:v>
                </c:pt>
                <c:pt idx="11">
                  <c:v>SLIDER</c:v>
                </c:pt>
                <c:pt idx="12">
                  <c:v>ADAPTER</c:v>
                </c:pt>
                <c:pt idx="13">
                  <c:v>BASE</c:v>
                </c:pt>
                <c:pt idx="14">
                  <c:v>ACTUATOR</c:v>
                </c:pt>
                <c:pt idx="15">
                  <c:v>BASE</c:v>
                </c:pt>
                <c:pt idx="17">
                  <c:v>BASE</c:v>
                </c:pt>
                <c:pt idx="19">
                  <c:v>LEAD GUIDER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'29'!$J$6:$J$28</c:f>
              <c:numCache>
                <c:formatCode>_(* #,##0_);_(* \(#,##0\);_(* "-"_);_(@_)</c:formatCode>
                <c:ptCount val="23"/>
                <c:pt idx="0">
                  <c:v>2812</c:v>
                </c:pt>
                <c:pt idx="1">
                  <c:v>5975</c:v>
                </c:pt>
                <c:pt idx="2">
                  <c:v>2445</c:v>
                </c:pt>
                <c:pt idx="3">
                  <c:v>3984</c:v>
                </c:pt>
                <c:pt idx="4">
                  <c:v>3638</c:v>
                </c:pt>
                <c:pt idx="5">
                  <c:v>1477</c:v>
                </c:pt>
                <c:pt idx="6">
                  <c:v>5212</c:v>
                </c:pt>
                <c:pt idx="7">
                  <c:v>4060</c:v>
                </c:pt>
                <c:pt idx="8">
                  <c:v>712</c:v>
                </c:pt>
                <c:pt idx="9">
                  <c:v>2828</c:v>
                </c:pt>
                <c:pt idx="10">
                  <c:v>1025</c:v>
                </c:pt>
                <c:pt idx="11">
                  <c:v>3843</c:v>
                </c:pt>
                <c:pt idx="12">
                  <c:v>5896</c:v>
                </c:pt>
                <c:pt idx="13">
                  <c:v>3747</c:v>
                </c:pt>
                <c:pt idx="14">
                  <c:v>4152</c:v>
                </c:pt>
                <c:pt idx="15">
                  <c:v>3045</c:v>
                </c:pt>
                <c:pt idx="16">
                  <c:v>64592</c:v>
                </c:pt>
                <c:pt idx="17">
                  <c:v>24116</c:v>
                </c:pt>
                <c:pt idx="18">
                  <c:v>0</c:v>
                </c:pt>
                <c:pt idx="19">
                  <c:v>21522</c:v>
                </c:pt>
                <c:pt idx="20">
                  <c:v>26548</c:v>
                </c:pt>
                <c:pt idx="21">
                  <c:v>26944</c:v>
                </c:pt>
                <c:pt idx="22">
                  <c:v>82192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A0-44EF-B37D-DEB83CDCA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'29'!$AD$6:$AD$28</c:f>
              <c:strCache>
                <c:ptCount val="23"/>
                <c:pt idx="0">
                  <c:v>29%</c:v>
                </c:pt>
                <c:pt idx="1">
                  <c:v>100%</c:v>
                </c:pt>
                <c:pt idx="2">
                  <c:v>46%</c:v>
                </c:pt>
                <c:pt idx="3">
                  <c:v>83%</c:v>
                </c:pt>
                <c:pt idx="4">
                  <c:v>71%</c:v>
                </c:pt>
                <c:pt idx="5">
                  <c:v>0%</c:v>
                </c:pt>
                <c:pt idx="6">
                  <c:v>100%</c:v>
                </c:pt>
                <c:pt idx="7">
                  <c:v>83%</c:v>
                </c:pt>
                <c:pt idx="8">
                  <c:v>0%</c:v>
                </c:pt>
                <c:pt idx="9">
                  <c:v>0%</c:v>
                </c:pt>
                <c:pt idx="10">
                  <c:v>25%</c:v>
                </c:pt>
                <c:pt idx="11">
                  <c:v>58%</c:v>
                </c:pt>
                <c:pt idx="12">
                  <c:v>58%</c:v>
                </c:pt>
                <c:pt idx="13">
                  <c:v>67%</c:v>
                </c:pt>
                <c:pt idx="14">
                  <c:v>88%</c:v>
                </c:pt>
                <c:pt idx="15">
                  <c:v>0%</c:v>
                </c:pt>
                <c:pt idx="16">
                  <c:v>100%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  <c:pt idx="22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'29'!$D$6:$D$28</c:f>
              <c:strCache>
                <c:ptCount val="22"/>
                <c:pt idx="0">
                  <c:v>SLIDER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4">
                  <c:v>COVER</c:v>
                </c:pt>
                <c:pt idx="5">
                  <c:v>BOTTOM</c:v>
                </c:pt>
                <c:pt idx="6">
                  <c:v>LEAD GUIDER</c:v>
                </c:pt>
                <c:pt idx="7">
                  <c:v>LEAD GUIDER</c:v>
                </c:pt>
                <c:pt idx="9">
                  <c:v>F/A</c:v>
                </c:pt>
                <c:pt idx="10">
                  <c:v>SLIDER</c:v>
                </c:pt>
                <c:pt idx="11">
                  <c:v>SLIDER</c:v>
                </c:pt>
                <c:pt idx="12">
                  <c:v>ADAPTER</c:v>
                </c:pt>
                <c:pt idx="13">
                  <c:v>BASE</c:v>
                </c:pt>
                <c:pt idx="14">
                  <c:v>ACTUATOR</c:v>
                </c:pt>
                <c:pt idx="15">
                  <c:v>BASE</c:v>
                </c:pt>
                <c:pt idx="17">
                  <c:v>BASE</c:v>
                </c:pt>
                <c:pt idx="19">
                  <c:v>LEAD GUIDER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'29'!$AD$6:$AD$28</c:f>
              <c:numCache>
                <c:formatCode>0%</c:formatCode>
                <c:ptCount val="23"/>
                <c:pt idx="0">
                  <c:v>0.29166666666666669</c:v>
                </c:pt>
                <c:pt idx="1">
                  <c:v>1</c:v>
                </c:pt>
                <c:pt idx="2">
                  <c:v>0.45833333333333331</c:v>
                </c:pt>
                <c:pt idx="3">
                  <c:v>0.83333333333333337</c:v>
                </c:pt>
                <c:pt idx="4">
                  <c:v>0.70833333333333337</c:v>
                </c:pt>
                <c:pt idx="5">
                  <c:v>0</c:v>
                </c:pt>
                <c:pt idx="6">
                  <c:v>1</c:v>
                </c:pt>
                <c:pt idx="7">
                  <c:v>0.83333333333333337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0.58333333333333337</c:v>
                </c:pt>
                <c:pt idx="12">
                  <c:v>0.58333333333333337</c:v>
                </c:pt>
                <c:pt idx="13">
                  <c:v>0.66666666666666663</c:v>
                </c:pt>
                <c:pt idx="14">
                  <c:v>0.875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A-4486-9826-4A7331B19AD3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8A-4486-9826-4A7331B19AD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'29'!$D$6:$D$28</c:f>
              <c:strCache>
                <c:ptCount val="22"/>
                <c:pt idx="0">
                  <c:v>SLIDER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4">
                  <c:v>COVER</c:v>
                </c:pt>
                <c:pt idx="5">
                  <c:v>BOTTOM</c:v>
                </c:pt>
                <c:pt idx="6">
                  <c:v>LEAD GUIDER</c:v>
                </c:pt>
                <c:pt idx="7">
                  <c:v>LEAD GUIDER</c:v>
                </c:pt>
                <c:pt idx="9">
                  <c:v>F/A</c:v>
                </c:pt>
                <c:pt idx="10">
                  <c:v>SLIDER</c:v>
                </c:pt>
                <c:pt idx="11">
                  <c:v>SLIDER</c:v>
                </c:pt>
                <c:pt idx="12">
                  <c:v>ADAPTER</c:v>
                </c:pt>
                <c:pt idx="13">
                  <c:v>BASE</c:v>
                </c:pt>
                <c:pt idx="14">
                  <c:v>ACTUATOR</c:v>
                </c:pt>
                <c:pt idx="15">
                  <c:v>BASE</c:v>
                </c:pt>
                <c:pt idx="17">
                  <c:v>BASE</c:v>
                </c:pt>
                <c:pt idx="19">
                  <c:v>LEAD GUIDER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'29'!$AE$6:$AE$28</c:f>
              <c:numCache>
                <c:formatCode>0%</c:formatCode>
                <c:ptCount val="23"/>
                <c:pt idx="0">
                  <c:v>0.43840579710144922</c:v>
                </c:pt>
                <c:pt idx="1">
                  <c:v>0.43840579710144922</c:v>
                </c:pt>
                <c:pt idx="2">
                  <c:v>0.43840579710144922</c:v>
                </c:pt>
                <c:pt idx="3">
                  <c:v>0.43840579710144922</c:v>
                </c:pt>
                <c:pt idx="4">
                  <c:v>0.43840579710144922</c:v>
                </c:pt>
                <c:pt idx="5">
                  <c:v>0.43840579710144922</c:v>
                </c:pt>
                <c:pt idx="6">
                  <c:v>0.43840579710144922</c:v>
                </c:pt>
                <c:pt idx="7">
                  <c:v>0.43840579710144922</c:v>
                </c:pt>
                <c:pt idx="8">
                  <c:v>0.43840579710144922</c:v>
                </c:pt>
                <c:pt idx="9">
                  <c:v>0.43840579710144922</c:v>
                </c:pt>
                <c:pt idx="10">
                  <c:v>0.43840579710144922</c:v>
                </c:pt>
                <c:pt idx="11">
                  <c:v>0.43840579710144922</c:v>
                </c:pt>
                <c:pt idx="12">
                  <c:v>0.43840579710144922</c:v>
                </c:pt>
                <c:pt idx="13">
                  <c:v>0.43840579710144922</c:v>
                </c:pt>
                <c:pt idx="14">
                  <c:v>0.43840579710144922</c:v>
                </c:pt>
                <c:pt idx="15">
                  <c:v>0.43840579710144922</c:v>
                </c:pt>
                <c:pt idx="16">
                  <c:v>0.43840579710144922</c:v>
                </c:pt>
                <c:pt idx="17">
                  <c:v>0.43840579710144922</c:v>
                </c:pt>
                <c:pt idx="18">
                  <c:v>0.43840579710144922</c:v>
                </c:pt>
                <c:pt idx="19">
                  <c:v>0.43840579710144922</c:v>
                </c:pt>
                <c:pt idx="20">
                  <c:v>0.43840579710144922</c:v>
                </c:pt>
                <c:pt idx="21">
                  <c:v>0.43840579710144922</c:v>
                </c:pt>
                <c:pt idx="22">
                  <c:v>0.43840579710144922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8A-4486-9826-4A7331B19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864127889076517E-2"/>
          <c:y val="6.4095047578651546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'29'!$D$6:$D$28</c:f>
              <c:strCache>
                <c:ptCount val="22"/>
                <c:pt idx="0">
                  <c:v>SLIDER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4">
                  <c:v>COVER</c:v>
                </c:pt>
                <c:pt idx="5">
                  <c:v>BOTTOM</c:v>
                </c:pt>
                <c:pt idx="6">
                  <c:v>LEAD GUIDER</c:v>
                </c:pt>
                <c:pt idx="7">
                  <c:v>LEAD GUIDER</c:v>
                </c:pt>
                <c:pt idx="9">
                  <c:v>F/A</c:v>
                </c:pt>
                <c:pt idx="10">
                  <c:v>SLIDER</c:v>
                </c:pt>
                <c:pt idx="11">
                  <c:v>SLIDER</c:v>
                </c:pt>
                <c:pt idx="12">
                  <c:v>ADAPTER</c:v>
                </c:pt>
                <c:pt idx="13">
                  <c:v>BASE</c:v>
                </c:pt>
                <c:pt idx="14">
                  <c:v>ACTUATOR</c:v>
                </c:pt>
                <c:pt idx="15">
                  <c:v>BASE</c:v>
                </c:pt>
                <c:pt idx="17">
                  <c:v>BASE</c:v>
                </c:pt>
                <c:pt idx="19">
                  <c:v>LEAD GUIDER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'29'!$L$6:$L$28</c:f>
              <c:numCache>
                <c:formatCode>_(* #,##0_);_(* \(#,##0\);_(* "-"_);_(@_)</c:formatCode>
                <c:ptCount val="23"/>
                <c:pt idx="0">
                  <c:v>2812</c:v>
                </c:pt>
                <c:pt idx="1">
                  <c:v>5975</c:v>
                </c:pt>
                <c:pt idx="2">
                  <c:v>2445</c:v>
                </c:pt>
                <c:pt idx="3">
                  <c:v>3984</c:v>
                </c:pt>
                <c:pt idx="4">
                  <c:v>3638</c:v>
                </c:pt>
                <c:pt idx="6">
                  <c:v>5212</c:v>
                </c:pt>
                <c:pt idx="7">
                  <c:v>4060</c:v>
                </c:pt>
                <c:pt idx="10">
                  <c:v>1025</c:v>
                </c:pt>
                <c:pt idx="11">
                  <c:v>3843</c:v>
                </c:pt>
                <c:pt idx="12">
                  <c:v>5896</c:v>
                </c:pt>
                <c:pt idx="13">
                  <c:v>3747</c:v>
                </c:pt>
                <c:pt idx="14">
                  <c:v>4152</c:v>
                </c:pt>
                <c:pt idx="16">
                  <c:v>64592</c:v>
                </c:pt>
                <c:pt idx="22">
                  <c:v>82192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F-43DE-BFB6-2CFCA855C875}"/>
            </c:ext>
          </c:extLst>
        </c:ser>
        <c:ser>
          <c:idx val="1"/>
          <c:order val="1"/>
          <c:tx>
            <c:v>계획</c:v>
          </c:tx>
          <c:cat>
            <c:strRef>
              <c:f>'29'!$D$6:$D$28</c:f>
              <c:strCache>
                <c:ptCount val="22"/>
                <c:pt idx="0">
                  <c:v>SLIDER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4">
                  <c:v>COVER</c:v>
                </c:pt>
                <c:pt idx="5">
                  <c:v>BOTTOM</c:v>
                </c:pt>
                <c:pt idx="6">
                  <c:v>LEAD GUIDER</c:v>
                </c:pt>
                <c:pt idx="7">
                  <c:v>LEAD GUIDER</c:v>
                </c:pt>
                <c:pt idx="9">
                  <c:v>F/A</c:v>
                </c:pt>
                <c:pt idx="10">
                  <c:v>SLIDER</c:v>
                </c:pt>
                <c:pt idx="11">
                  <c:v>SLIDER</c:v>
                </c:pt>
                <c:pt idx="12">
                  <c:v>ADAPTER</c:v>
                </c:pt>
                <c:pt idx="13">
                  <c:v>BASE</c:v>
                </c:pt>
                <c:pt idx="14">
                  <c:v>ACTUATOR</c:v>
                </c:pt>
                <c:pt idx="15">
                  <c:v>BASE</c:v>
                </c:pt>
                <c:pt idx="17">
                  <c:v>BASE</c:v>
                </c:pt>
                <c:pt idx="19">
                  <c:v>LEAD GUIDER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'29'!$J$6:$J$28</c:f>
              <c:numCache>
                <c:formatCode>_(* #,##0_);_(* \(#,##0\);_(* "-"_);_(@_)</c:formatCode>
                <c:ptCount val="23"/>
                <c:pt idx="0">
                  <c:v>2812</c:v>
                </c:pt>
                <c:pt idx="1">
                  <c:v>5975</c:v>
                </c:pt>
                <c:pt idx="2">
                  <c:v>2445</c:v>
                </c:pt>
                <c:pt idx="3">
                  <c:v>3984</c:v>
                </c:pt>
                <c:pt idx="4">
                  <c:v>3638</c:v>
                </c:pt>
                <c:pt idx="5">
                  <c:v>1477</c:v>
                </c:pt>
                <c:pt idx="6">
                  <c:v>5212</c:v>
                </c:pt>
                <c:pt idx="7">
                  <c:v>4060</c:v>
                </c:pt>
                <c:pt idx="8">
                  <c:v>712</c:v>
                </c:pt>
                <c:pt idx="9">
                  <c:v>2828</c:v>
                </c:pt>
                <c:pt idx="10">
                  <c:v>1025</c:v>
                </c:pt>
                <c:pt idx="11">
                  <c:v>3843</c:v>
                </c:pt>
                <c:pt idx="12">
                  <c:v>5896</c:v>
                </c:pt>
                <c:pt idx="13">
                  <c:v>3747</c:v>
                </c:pt>
                <c:pt idx="14">
                  <c:v>4152</c:v>
                </c:pt>
                <c:pt idx="15">
                  <c:v>3045</c:v>
                </c:pt>
                <c:pt idx="16">
                  <c:v>64592</c:v>
                </c:pt>
                <c:pt idx="17">
                  <c:v>24116</c:v>
                </c:pt>
                <c:pt idx="18">
                  <c:v>0</c:v>
                </c:pt>
                <c:pt idx="19">
                  <c:v>21522</c:v>
                </c:pt>
                <c:pt idx="20">
                  <c:v>26548</c:v>
                </c:pt>
                <c:pt idx="21">
                  <c:v>26944</c:v>
                </c:pt>
                <c:pt idx="22">
                  <c:v>82192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0F-43DE-BFB6-2CFCA855C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'29'!$AD$6:$AD$28</c:f>
              <c:strCache>
                <c:ptCount val="23"/>
                <c:pt idx="0">
                  <c:v>29%</c:v>
                </c:pt>
                <c:pt idx="1">
                  <c:v>100%</c:v>
                </c:pt>
                <c:pt idx="2">
                  <c:v>46%</c:v>
                </c:pt>
                <c:pt idx="3">
                  <c:v>83%</c:v>
                </c:pt>
                <c:pt idx="4">
                  <c:v>71%</c:v>
                </c:pt>
                <c:pt idx="5">
                  <c:v>0%</c:v>
                </c:pt>
                <c:pt idx="6">
                  <c:v>100%</c:v>
                </c:pt>
                <c:pt idx="7">
                  <c:v>83%</c:v>
                </c:pt>
                <c:pt idx="8">
                  <c:v>0%</c:v>
                </c:pt>
                <c:pt idx="9">
                  <c:v>0%</c:v>
                </c:pt>
                <c:pt idx="10">
                  <c:v>25%</c:v>
                </c:pt>
                <c:pt idx="11">
                  <c:v>58%</c:v>
                </c:pt>
                <c:pt idx="12">
                  <c:v>58%</c:v>
                </c:pt>
                <c:pt idx="13">
                  <c:v>67%</c:v>
                </c:pt>
                <c:pt idx="14">
                  <c:v>88%</c:v>
                </c:pt>
                <c:pt idx="15">
                  <c:v>0%</c:v>
                </c:pt>
                <c:pt idx="16">
                  <c:v>100%</c:v>
                </c:pt>
                <c:pt idx="17">
                  <c:v>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  <c:pt idx="22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'29'!$D$6:$D$28</c:f>
              <c:strCache>
                <c:ptCount val="22"/>
                <c:pt idx="0">
                  <c:v>SLIDER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4">
                  <c:v>COVER</c:v>
                </c:pt>
                <c:pt idx="5">
                  <c:v>BOTTOM</c:v>
                </c:pt>
                <c:pt idx="6">
                  <c:v>LEAD GUIDER</c:v>
                </c:pt>
                <c:pt idx="7">
                  <c:v>LEAD GUIDER</c:v>
                </c:pt>
                <c:pt idx="9">
                  <c:v>F/A</c:v>
                </c:pt>
                <c:pt idx="10">
                  <c:v>SLIDER</c:v>
                </c:pt>
                <c:pt idx="11">
                  <c:v>SLIDER</c:v>
                </c:pt>
                <c:pt idx="12">
                  <c:v>ADAPTER</c:v>
                </c:pt>
                <c:pt idx="13">
                  <c:v>BASE</c:v>
                </c:pt>
                <c:pt idx="14">
                  <c:v>ACTUATOR</c:v>
                </c:pt>
                <c:pt idx="15">
                  <c:v>BASE</c:v>
                </c:pt>
                <c:pt idx="17">
                  <c:v>BASE</c:v>
                </c:pt>
                <c:pt idx="19">
                  <c:v>LEAD GUIDER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'29'!$AD$6:$AD$28</c:f>
              <c:numCache>
                <c:formatCode>0%</c:formatCode>
                <c:ptCount val="23"/>
                <c:pt idx="0">
                  <c:v>0.29166666666666669</c:v>
                </c:pt>
                <c:pt idx="1">
                  <c:v>1</c:v>
                </c:pt>
                <c:pt idx="2">
                  <c:v>0.45833333333333331</c:v>
                </c:pt>
                <c:pt idx="3">
                  <c:v>0.83333333333333337</c:v>
                </c:pt>
                <c:pt idx="4">
                  <c:v>0.70833333333333337</c:v>
                </c:pt>
                <c:pt idx="5">
                  <c:v>0</c:v>
                </c:pt>
                <c:pt idx="6">
                  <c:v>1</c:v>
                </c:pt>
                <c:pt idx="7">
                  <c:v>0.83333333333333337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0.58333333333333337</c:v>
                </c:pt>
                <c:pt idx="12">
                  <c:v>0.58333333333333337</c:v>
                </c:pt>
                <c:pt idx="13">
                  <c:v>0.66666666666666663</c:v>
                </c:pt>
                <c:pt idx="14">
                  <c:v>0.875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5-41AD-9C0C-C8C6F5555DCD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F5-41AD-9C0C-C8C6F5555DC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'29'!$D$6:$D$28</c:f>
              <c:strCache>
                <c:ptCount val="22"/>
                <c:pt idx="0">
                  <c:v>SLIDER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4">
                  <c:v>COVER</c:v>
                </c:pt>
                <c:pt idx="5">
                  <c:v>BOTTOM</c:v>
                </c:pt>
                <c:pt idx="6">
                  <c:v>LEAD GUIDER</c:v>
                </c:pt>
                <c:pt idx="7">
                  <c:v>LEAD GUIDER</c:v>
                </c:pt>
                <c:pt idx="9">
                  <c:v>F/A</c:v>
                </c:pt>
                <c:pt idx="10">
                  <c:v>SLIDER</c:v>
                </c:pt>
                <c:pt idx="11">
                  <c:v>SLIDER</c:v>
                </c:pt>
                <c:pt idx="12">
                  <c:v>ADAPTER</c:v>
                </c:pt>
                <c:pt idx="13">
                  <c:v>BASE</c:v>
                </c:pt>
                <c:pt idx="14">
                  <c:v>ACTUATOR</c:v>
                </c:pt>
                <c:pt idx="15">
                  <c:v>BASE</c:v>
                </c:pt>
                <c:pt idx="17">
                  <c:v>BASE</c:v>
                </c:pt>
                <c:pt idx="19">
                  <c:v>LEAD GUIDER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'29'!$AE$6:$AE$28</c:f>
              <c:numCache>
                <c:formatCode>0%</c:formatCode>
                <c:ptCount val="23"/>
                <c:pt idx="0">
                  <c:v>0.43840579710144922</c:v>
                </c:pt>
                <c:pt idx="1">
                  <c:v>0.43840579710144922</c:v>
                </c:pt>
                <c:pt idx="2">
                  <c:v>0.43840579710144922</c:v>
                </c:pt>
                <c:pt idx="3">
                  <c:v>0.43840579710144922</c:v>
                </c:pt>
                <c:pt idx="4">
                  <c:v>0.43840579710144922</c:v>
                </c:pt>
                <c:pt idx="5">
                  <c:v>0.43840579710144922</c:v>
                </c:pt>
                <c:pt idx="6">
                  <c:v>0.43840579710144922</c:v>
                </c:pt>
                <c:pt idx="7">
                  <c:v>0.43840579710144922</c:v>
                </c:pt>
                <c:pt idx="8">
                  <c:v>0.43840579710144922</c:v>
                </c:pt>
                <c:pt idx="9">
                  <c:v>0.43840579710144922</c:v>
                </c:pt>
                <c:pt idx="10">
                  <c:v>0.43840579710144922</c:v>
                </c:pt>
                <c:pt idx="11">
                  <c:v>0.43840579710144922</c:v>
                </c:pt>
                <c:pt idx="12">
                  <c:v>0.43840579710144922</c:v>
                </c:pt>
                <c:pt idx="13">
                  <c:v>0.43840579710144922</c:v>
                </c:pt>
                <c:pt idx="14">
                  <c:v>0.43840579710144922</c:v>
                </c:pt>
                <c:pt idx="15">
                  <c:v>0.43840579710144922</c:v>
                </c:pt>
                <c:pt idx="16">
                  <c:v>0.43840579710144922</c:v>
                </c:pt>
                <c:pt idx="17">
                  <c:v>0.43840579710144922</c:v>
                </c:pt>
                <c:pt idx="18">
                  <c:v>0.43840579710144922</c:v>
                </c:pt>
                <c:pt idx="19">
                  <c:v>0.43840579710144922</c:v>
                </c:pt>
                <c:pt idx="20">
                  <c:v>0.43840579710144922</c:v>
                </c:pt>
                <c:pt idx="21">
                  <c:v>0.43840579710144922</c:v>
                </c:pt>
                <c:pt idx="22">
                  <c:v>0.43840579710144922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F5-41AD-9C0C-C8C6F5555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총괄!$A$25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7F7D-4285-ABE2-784E8E32C4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총괄!$B$25:$AG$25</c:f>
              <c:numCache>
                <c:formatCode>0%</c:formatCode>
                <c:ptCount val="32"/>
                <c:pt idx="0">
                  <c:v>0.59455128205128216</c:v>
                </c:pt>
                <c:pt idx="1">
                  <c:v>0.64666666666666672</c:v>
                </c:pt>
                <c:pt idx="2">
                  <c:v>0.53166666666666662</c:v>
                </c:pt>
                <c:pt idx="3">
                  <c:v>0.46376811594202894</c:v>
                </c:pt>
                <c:pt idx="5">
                  <c:v>0.47159090909090912</c:v>
                </c:pt>
                <c:pt idx="6">
                  <c:v>0.40705128205128205</c:v>
                </c:pt>
                <c:pt idx="7">
                  <c:v>0.3737847222222222</c:v>
                </c:pt>
                <c:pt idx="8">
                  <c:v>0.56310012437810952</c:v>
                </c:pt>
                <c:pt idx="9">
                  <c:v>0.55862000713761029</c:v>
                </c:pt>
                <c:pt idx="12">
                  <c:v>0.60416666666666652</c:v>
                </c:pt>
                <c:pt idx="13">
                  <c:v>0.42129629629629628</c:v>
                </c:pt>
                <c:pt idx="14">
                  <c:v>0.50666666666666671</c:v>
                </c:pt>
                <c:pt idx="15">
                  <c:v>0.58333333333333337</c:v>
                </c:pt>
                <c:pt idx="16">
                  <c:v>0.6382575757575758</c:v>
                </c:pt>
                <c:pt idx="22">
                  <c:v>0.58876811594202916</c:v>
                </c:pt>
                <c:pt idx="23">
                  <c:v>0.67424242424242431</c:v>
                </c:pt>
                <c:pt idx="26">
                  <c:v>0.40909090909090901</c:v>
                </c:pt>
                <c:pt idx="27">
                  <c:v>0.47463768115942034</c:v>
                </c:pt>
                <c:pt idx="28">
                  <c:v>0.43840579710144922</c:v>
                </c:pt>
                <c:pt idx="29">
                  <c:v>0.61413043478260865</c:v>
                </c:pt>
                <c:pt idx="31">
                  <c:v>0.35212652257487181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285-ABE2-784E8E32C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7F7D-4285-ABE2-784E8E32C43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총괄!$B$26:$AG$26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7D-4285-ABE2-784E8E32C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'30'!$D$6:$D$28</c:f>
              <c:strCache>
                <c:ptCount val="22"/>
                <c:pt idx="0">
                  <c:v>SLIDER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4">
                  <c:v>COVER</c:v>
                </c:pt>
                <c:pt idx="5">
                  <c:v>STOPPER</c:v>
                </c:pt>
                <c:pt idx="6">
                  <c:v>LEAD GUIDER</c:v>
                </c:pt>
                <c:pt idx="7">
                  <c:v>LEAD GUIDER</c:v>
                </c:pt>
                <c:pt idx="9">
                  <c:v>ADAPTER</c:v>
                </c:pt>
                <c:pt idx="10">
                  <c:v>SLIDER</c:v>
                </c:pt>
                <c:pt idx="11">
                  <c:v>ADAPTER</c:v>
                </c:pt>
                <c:pt idx="12">
                  <c:v>BASE</c:v>
                </c:pt>
                <c:pt idx="13">
                  <c:v>BODY</c:v>
                </c:pt>
                <c:pt idx="14">
                  <c:v>ACTUATOR</c:v>
                </c:pt>
                <c:pt idx="15">
                  <c:v>BASE</c:v>
                </c:pt>
                <c:pt idx="17">
                  <c:v>BASE</c:v>
                </c:pt>
                <c:pt idx="19">
                  <c:v>LEAD GUIDER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'30'!$L$6:$L$28</c:f>
              <c:numCache>
                <c:formatCode>_(* #,##0_);_(* \(#,##0\);_(* "-"_);_(@_)</c:formatCode>
                <c:ptCount val="23"/>
                <c:pt idx="0">
                  <c:v>7738</c:v>
                </c:pt>
                <c:pt idx="1">
                  <c:v>6110</c:v>
                </c:pt>
                <c:pt idx="2">
                  <c:v>1772</c:v>
                </c:pt>
                <c:pt idx="3">
                  <c:v>4530</c:v>
                </c:pt>
                <c:pt idx="4">
                  <c:v>5732</c:v>
                </c:pt>
                <c:pt idx="5">
                  <c:v>10564</c:v>
                </c:pt>
                <c:pt idx="6">
                  <c:v>5276</c:v>
                </c:pt>
                <c:pt idx="7">
                  <c:v>3612</c:v>
                </c:pt>
                <c:pt idx="9">
                  <c:v>5812</c:v>
                </c:pt>
                <c:pt idx="10">
                  <c:v>5589</c:v>
                </c:pt>
                <c:pt idx="11">
                  <c:v>12258</c:v>
                </c:pt>
                <c:pt idx="13">
                  <c:v>570</c:v>
                </c:pt>
                <c:pt idx="14">
                  <c:v>5440</c:v>
                </c:pt>
                <c:pt idx="15">
                  <c:v>8000</c:v>
                </c:pt>
                <c:pt idx="16">
                  <c:v>30464</c:v>
                </c:pt>
                <c:pt idx="17">
                  <c:v>22300</c:v>
                </c:pt>
                <c:pt idx="22">
                  <c:v>79328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3-4289-A8E9-70978405C5E9}"/>
            </c:ext>
          </c:extLst>
        </c:ser>
        <c:ser>
          <c:idx val="1"/>
          <c:order val="1"/>
          <c:tx>
            <c:v>계획</c:v>
          </c:tx>
          <c:cat>
            <c:strRef>
              <c:f>'30'!$D$6:$D$28</c:f>
              <c:strCache>
                <c:ptCount val="22"/>
                <c:pt idx="0">
                  <c:v>SLIDER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4">
                  <c:v>COVER</c:v>
                </c:pt>
                <c:pt idx="5">
                  <c:v>STOPPER</c:v>
                </c:pt>
                <c:pt idx="6">
                  <c:v>LEAD GUIDER</c:v>
                </c:pt>
                <c:pt idx="7">
                  <c:v>LEAD GUIDER</c:v>
                </c:pt>
                <c:pt idx="9">
                  <c:v>ADAPTER</c:v>
                </c:pt>
                <c:pt idx="10">
                  <c:v>SLIDER</c:v>
                </c:pt>
                <c:pt idx="11">
                  <c:v>ADAPTER</c:v>
                </c:pt>
                <c:pt idx="12">
                  <c:v>BASE</c:v>
                </c:pt>
                <c:pt idx="13">
                  <c:v>BODY</c:v>
                </c:pt>
                <c:pt idx="14">
                  <c:v>ACTUATOR</c:v>
                </c:pt>
                <c:pt idx="15">
                  <c:v>BASE</c:v>
                </c:pt>
                <c:pt idx="17">
                  <c:v>BASE</c:v>
                </c:pt>
                <c:pt idx="19">
                  <c:v>LEAD GUIDER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'30'!$J$6:$J$28</c:f>
              <c:numCache>
                <c:formatCode>_(* #,##0_);_(* \(#,##0\);_(* "-"_);_(@_)</c:formatCode>
                <c:ptCount val="23"/>
                <c:pt idx="0">
                  <c:v>7738</c:v>
                </c:pt>
                <c:pt idx="1">
                  <c:v>6110</c:v>
                </c:pt>
                <c:pt idx="2">
                  <c:v>1772</c:v>
                </c:pt>
                <c:pt idx="3">
                  <c:v>4530</c:v>
                </c:pt>
                <c:pt idx="4">
                  <c:v>5732</c:v>
                </c:pt>
                <c:pt idx="5">
                  <c:v>10564</c:v>
                </c:pt>
                <c:pt idx="6">
                  <c:v>5276</c:v>
                </c:pt>
                <c:pt idx="7">
                  <c:v>3612</c:v>
                </c:pt>
                <c:pt idx="8">
                  <c:v>712</c:v>
                </c:pt>
                <c:pt idx="9">
                  <c:v>5812</c:v>
                </c:pt>
                <c:pt idx="10">
                  <c:v>5589</c:v>
                </c:pt>
                <c:pt idx="11">
                  <c:v>12258</c:v>
                </c:pt>
                <c:pt idx="12">
                  <c:v>3747</c:v>
                </c:pt>
                <c:pt idx="13">
                  <c:v>570</c:v>
                </c:pt>
                <c:pt idx="14">
                  <c:v>5440</c:v>
                </c:pt>
                <c:pt idx="15">
                  <c:v>8000</c:v>
                </c:pt>
                <c:pt idx="16">
                  <c:v>30464</c:v>
                </c:pt>
                <c:pt idx="17">
                  <c:v>22300</c:v>
                </c:pt>
                <c:pt idx="18">
                  <c:v>0</c:v>
                </c:pt>
                <c:pt idx="19">
                  <c:v>22300</c:v>
                </c:pt>
                <c:pt idx="20">
                  <c:v>26548</c:v>
                </c:pt>
                <c:pt idx="21">
                  <c:v>26944</c:v>
                </c:pt>
                <c:pt idx="22">
                  <c:v>79328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3-4289-A8E9-70978405C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'30'!$AD$6:$AD$28</c:f>
              <c:strCache>
                <c:ptCount val="23"/>
                <c:pt idx="0">
                  <c:v>75%</c:v>
                </c:pt>
                <c:pt idx="1">
                  <c:v>100%</c:v>
                </c:pt>
                <c:pt idx="2">
                  <c:v>33%</c:v>
                </c:pt>
                <c:pt idx="3">
                  <c:v>88%</c:v>
                </c:pt>
                <c:pt idx="4">
                  <c:v>100%</c:v>
                </c:pt>
                <c:pt idx="5">
                  <c:v>100%</c:v>
                </c:pt>
                <c:pt idx="6">
                  <c:v>100%</c:v>
                </c:pt>
                <c:pt idx="7">
                  <c:v>67%</c:v>
                </c:pt>
                <c:pt idx="8">
                  <c:v>0%</c:v>
                </c:pt>
                <c:pt idx="9">
                  <c:v>100%</c:v>
                </c:pt>
                <c:pt idx="10">
                  <c:v>100%</c:v>
                </c:pt>
                <c:pt idx="11">
                  <c:v>100%</c:v>
                </c:pt>
                <c:pt idx="12">
                  <c:v>0%</c:v>
                </c:pt>
                <c:pt idx="13">
                  <c:v>17%</c:v>
                </c:pt>
                <c:pt idx="14">
                  <c:v>100%</c:v>
                </c:pt>
                <c:pt idx="15">
                  <c:v>83%</c:v>
                </c:pt>
                <c:pt idx="16">
                  <c:v>50%</c:v>
                </c:pt>
                <c:pt idx="17">
                  <c:v>100%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  <c:pt idx="22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'30'!$D$6:$D$28</c:f>
              <c:strCache>
                <c:ptCount val="22"/>
                <c:pt idx="0">
                  <c:v>SLIDER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4">
                  <c:v>COVER</c:v>
                </c:pt>
                <c:pt idx="5">
                  <c:v>STOPPER</c:v>
                </c:pt>
                <c:pt idx="6">
                  <c:v>LEAD GUIDER</c:v>
                </c:pt>
                <c:pt idx="7">
                  <c:v>LEAD GUIDER</c:v>
                </c:pt>
                <c:pt idx="9">
                  <c:v>ADAPTER</c:v>
                </c:pt>
                <c:pt idx="10">
                  <c:v>SLIDER</c:v>
                </c:pt>
                <c:pt idx="11">
                  <c:v>ADAPTER</c:v>
                </c:pt>
                <c:pt idx="12">
                  <c:v>BASE</c:v>
                </c:pt>
                <c:pt idx="13">
                  <c:v>BODY</c:v>
                </c:pt>
                <c:pt idx="14">
                  <c:v>ACTUATOR</c:v>
                </c:pt>
                <c:pt idx="15">
                  <c:v>BASE</c:v>
                </c:pt>
                <c:pt idx="17">
                  <c:v>BASE</c:v>
                </c:pt>
                <c:pt idx="19">
                  <c:v>LEAD GUIDER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'30'!$AD$6:$AD$28</c:f>
              <c:numCache>
                <c:formatCode>0%</c:formatCode>
                <c:ptCount val="23"/>
                <c:pt idx="0">
                  <c:v>0.75</c:v>
                </c:pt>
                <c:pt idx="1">
                  <c:v>1</c:v>
                </c:pt>
                <c:pt idx="2">
                  <c:v>0.33333333333333331</c:v>
                </c:pt>
                <c:pt idx="3">
                  <c:v>0.875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0.66666666666666663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0.16666666666666666</c:v>
                </c:pt>
                <c:pt idx="14">
                  <c:v>1</c:v>
                </c:pt>
                <c:pt idx="15">
                  <c:v>0.83333333333333337</c:v>
                </c:pt>
                <c:pt idx="16">
                  <c:v>0.5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A-45E6-BD7C-B9164FBB985D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8A-45E6-BD7C-B9164FBB985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'30'!$D$6:$D$28</c:f>
              <c:strCache>
                <c:ptCount val="22"/>
                <c:pt idx="0">
                  <c:v>SLIDER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4">
                  <c:v>COVER</c:v>
                </c:pt>
                <c:pt idx="5">
                  <c:v>STOPPER</c:v>
                </c:pt>
                <c:pt idx="6">
                  <c:v>LEAD GUIDER</c:v>
                </c:pt>
                <c:pt idx="7">
                  <c:v>LEAD GUIDER</c:v>
                </c:pt>
                <c:pt idx="9">
                  <c:v>ADAPTER</c:v>
                </c:pt>
                <c:pt idx="10">
                  <c:v>SLIDER</c:v>
                </c:pt>
                <c:pt idx="11">
                  <c:v>ADAPTER</c:v>
                </c:pt>
                <c:pt idx="12">
                  <c:v>BASE</c:v>
                </c:pt>
                <c:pt idx="13">
                  <c:v>BODY</c:v>
                </c:pt>
                <c:pt idx="14">
                  <c:v>ACTUATOR</c:v>
                </c:pt>
                <c:pt idx="15">
                  <c:v>BASE</c:v>
                </c:pt>
                <c:pt idx="17">
                  <c:v>BASE</c:v>
                </c:pt>
                <c:pt idx="19">
                  <c:v>LEAD GUIDER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'30'!$AE$6:$AE$28</c:f>
              <c:numCache>
                <c:formatCode>0%</c:formatCode>
                <c:ptCount val="23"/>
                <c:pt idx="0">
                  <c:v>0.61413043478260865</c:v>
                </c:pt>
                <c:pt idx="1">
                  <c:v>0.61413043478260865</c:v>
                </c:pt>
                <c:pt idx="2">
                  <c:v>0.61413043478260865</c:v>
                </c:pt>
                <c:pt idx="3">
                  <c:v>0.61413043478260865</c:v>
                </c:pt>
                <c:pt idx="4">
                  <c:v>0.61413043478260865</c:v>
                </c:pt>
                <c:pt idx="5">
                  <c:v>0.61413043478260865</c:v>
                </c:pt>
                <c:pt idx="6">
                  <c:v>0.61413043478260865</c:v>
                </c:pt>
                <c:pt idx="7">
                  <c:v>0.61413043478260865</c:v>
                </c:pt>
                <c:pt idx="8">
                  <c:v>0.61413043478260865</c:v>
                </c:pt>
                <c:pt idx="9">
                  <c:v>0.61413043478260865</c:v>
                </c:pt>
                <c:pt idx="10">
                  <c:v>0.61413043478260865</c:v>
                </c:pt>
                <c:pt idx="11">
                  <c:v>0.61413043478260865</c:v>
                </c:pt>
                <c:pt idx="12">
                  <c:v>0.61413043478260865</c:v>
                </c:pt>
                <c:pt idx="13">
                  <c:v>0.61413043478260865</c:v>
                </c:pt>
                <c:pt idx="14">
                  <c:v>0.61413043478260865</c:v>
                </c:pt>
                <c:pt idx="15">
                  <c:v>0.61413043478260865</c:v>
                </c:pt>
                <c:pt idx="16">
                  <c:v>0.61413043478260865</c:v>
                </c:pt>
                <c:pt idx="17">
                  <c:v>0.61413043478260865</c:v>
                </c:pt>
                <c:pt idx="18">
                  <c:v>0.61413043478260865</c:v>
                </c:pt>
                <c:pt idx="19">
                  <c:v>0.61413043478260865</c:v>
                </c:pt>
                <c:pt idx="20">
                  <c:v>0.61413043478260865</c:v>
                </c:pt>
                <c:pt idx="21">
                  <c:v>0.61413043478260865</c:v>
                </c:pt>
                <c:pt idx="22">
                  <c:v>0.61413043478260865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A-45E6-BD7C-B9164FBB9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864127889076517E-2"/>
          <c:y val="6.4095047578651546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'30'!$D$6:$D$28</c:f>
              <c:strCache>
                <c:ptCount val="22"/>
                <c:pt idx="0">
                  <c:v>SLIDER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4">
                  <c:v>COVER</c:v>
                </c:pt>
                <c:pt idx="5">
                  <c:v>STOPPER</c:v>
                </c:pt>
                <c:pt idx="6">
                  <c:v>LEAD GUIDER</c:v>
                </c:pt>
                <c:pt idx="7">
                  <c:v>LEAD GUIDER</c:v>
                </c:pt>
                <c:pt idx="9">
                  <c:v>ADAPTER</c:v>
                </c:pt>
                <c:pt idx="10">
                  <c:v>SLIDER</c:v>
                </c:pt>
                <c:pt idx="11">
                  <c:v>ADAPTER</c:v>
                </c:pt>
                <c:pt idx="12">
                  <c:v>BASE</c:v>
                </c:pt>
                <c:pt idx="13">
                  <c:v>BODY</c:v>
                </c:pt>
                <c:pt idx="14">
                  <c:v>ACTUATOR</c:v>
                </c:pt>
                <c:pt idx="15">
                  <c:v>BASE</c:v>
                </c:pt>
                <c:pt idx="17">
                  <c:v>BASE</c:v>
                </c:pt>
                <c:pt idx="19">
                  <c:v>LEAD GUIDER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'30'!$L$6:$L$28</c:f>
              <c:numCache>
                <c:formatCode>_(* #,##0_);_(* \(#,##0\);_(* "-"_);_(@_)</c:formatCode>
                <c:ptCount val="23"/>
                <c:pt idx="0">
                  <c:v>7738</c:v>
                </c:pt>
                <c:pt idx="1">
                  <c:v>6110</c:v>
                </c:pt>
                <c:pt idx="2">
                  <c:v>1772</c:v>
                </c:pt>
                <c:pt idx="3">
                  <c:v>4530</c:v>
                </c:pt>
                <c:pt idx="4">
                  <c:v>5732</c:v>
                </c:pt>
                <c:pt idx="5">
                  <c:v>10564</c:v>
                </c:pt>
                <c:pt idx="6">
                  <c:v>5276</c:v>
                </c:pt>
                <c:pt idx="7">
                  <c:v>3612</c:v>
                </c:pt>
                <c:pt idx="9">
                  <c:v>5812</c:v>
                </c:pt>
                <c:pt idx="10">
                  <c:v>5589</c:v>
                </c:pt>
                <c:pt idx="11">
                  <c:v>12258</c:v>
                </c:pt>
                <c:pt idx="13">
                  <c:v>570</c:v>
                </c:pt>
                <c:pt idx="14">
                  <c:v>5440</c:v>
                </c:pt>
                <c:pt idx="15">
                  <c:v>8000</c:v>
                </c:pt>
                <c:pt idx="16">
                  <c:v>30464</c:v>
                </c:pt>
                <c:pt idx="17">
                  <c:v>22300</c:v>
                </c:pt>
                <c:pt idx="22">
                  <c:v>79328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E-4EC0-8A13-36683D5A320B}"/>
            </c:ext>
          </c:extLst>
        </c:ser>
        <c:ser>
          <c:idx val="1"/>
          <c:order val="1"/>
          <c:tx>
            <c:v>계획</c:v>
          </c:tx>
          <c:cat>
            <c:strRef>
              <c:f>'30'!$D$6:$D$28</c:f>
              <c:strCache>
                <c:ptCount val="22"/>
                <c:pt idx="0">
                  <c:v>SLIDER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4">
                  <c:v>COVER</c:v>
                </c:pt>
                <c:pt idx="5">
                  <c:v>STOPPER</c:v>
                </c:pt>
                <c:pt idx="6">
                  <c:v>LEAD GUIDER</c:v>
                </c:pt>
                <c:pt idx="7">
                  <c:v>LEAD GUIDER</c:v>
                </c:pt>
                <c:pt idx="9">
                  <c:v>ADAPTER</c:v>
                </c:pt>
                <c:pt idx="10">
                  <c:v>SLIDER</c:v>
                </c:pt>
                <c:pt idx="11">
                  <c:v>ADAPTER</c:v>
                </c:pt>
                <c:pt idx="12">
                  <c:v>BASE</c:v>
                </c:pt>
                <c:pt idx="13">
                  <c:v>BODY</c:v>
                </c:pt>
                <c:pt idx="14">
                  <c:v>ACTUATOR</c:v>
                </c:pt>
                <c:pt idx="15">
                  <c:v>BASE</c:v>
                </c:pt>
                <c:pt idx="17">
                  <c:v>BASE</c:v>
                </c:pt>
                <c:pt idx="19">
                  <c:v>LEAD GUIDER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'30'!$J$6:$J$28</c:f>
              <c:numCache>
                <c:formatCode>_(* #,##0_);_(* \(#,##0\);_(* "-"_);_(@_)</c:formatCode>
                <c:ptCount val="23"/>
                <c:pt idx="0">
                  <c:v>7738</c:v>
                </c:pt>
                <c:pt idx="1">
                  <c:v>6110</c:v>
                </c:pt>
                <c:pt idx="2">
                  <c:v>1772</c:v>
                </c:pt>
                <c:pt idx="3">
                  <c:v>4530</c:v>
                </c:pt>
                <c:pt idx="4">
                  <c:v>5732</c:v>
                </c:pt>
                <c:pt idx="5">
                  <c:v>10564</c:v>
                </c:pt>
                <c:pt idx="6">
                  <c:v>5276</c:v>
                </c:pt>
                <c:pt idx="7">
                  <c:v>3612</c:v>
                </c:pt>
                <c:pt idx="8">
                  <c:v>712</c:v>
                </c:pt>
                <c:pt idx="9">
                  <c:v>5812</c:v>
                </c:pt>
                <c:pt idx="10">
                  <c:v>5589</c:v>
                </c:pt>
                <c:pt idx="11">
                  <c:v>12258</c:v>
                </c:pt>
                <c:pt idx="12">
                  <c:v>3747</c:v>
                </c:pt>
                <c:pt idx="13">
                  <c:v>570</c:v>
                </c:pt>
                <c:pt idx="14">
                  <c:v>5440</c:v>
                </c:pt>
                <c:pt idx="15">
                  <c:v>8000</c:v>
                </c:pt>
                <c:pt idx="16">
                  <c:v>30464</c:v>
                </c:pt>
                <c:pt idx="17">
                  <c:v>22300</c:v>
                </c:pt>
                <c:pt idx="18">
                  <c:v>0</c:v>
                </c:pt>
                <c:pt idx="19">
                  <c:v>22300</c:v>
                </c:pt>
                <c:pt idx="20">
                  <c:v>26548</c:v>
                </c:pt>
                <c:pt idx="21">
                  <c:v>26944</c:v>
                </c:pt>
                <c:pt idx="22">
                  <c:v>79328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AE-4EC0-8A13-36683D5A3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'30'!$AD$6:$AD$28</c:f>
              <c:strCache>
                <c:ptCount val="23"/>
                <c:pt idx="0">
                  <c:v>75%</c:v>
                </c:pt>
                <c:pt idx="1">
                  <c:v>100%</c:v>
                </c:pt>
                <c:pt idx="2">
                  <c:v>33%</c:v>
                </c:pt>
                <c:pt idx="3">
                  <c:v>88%</c:v>
                </c:pt>
                <c:pt idx="4">
                  <c:v>100%</c:v>
                </c:pt>
                <c:pt idx="5">
                  <c:v>100%</c:v>
                </c:pt>
                <c:pt idx="6">
                  <c:v>100%</c:v>
                </c:pt>
                <c:pt idx="7">
                  <c:v>67%</c:v>
                </c:pt>
                <c:pt idx="8">
                  <c:v>0%</c:v>
                </c:pt>
                <c:pt idx="9">
                  <c:v>100%</c:v>
                </c:pt>
                <c:pt idx="10">
                  <c:v>100%</c:v>
                </c:pt>
                <c:pt idx="11">
                  <c:v>100%</c:v>
                </c:pt>
                <c:pt idx="12">
                  <c:v>0%</c:v>
                </c:pt>
                <c:pt idx="13">
                  <c:v>17%</c:v>
                </c:pt>
                <c:pt idx="14">
                  <c:v>100%</c:v>
                </c:pt>
                <c:pt idx="15">
                  <c:v>83%</c:v>
                </c:pt>
                <c:pt idx="16">
                  <c:v>50%</c:v>
                </c:pt>
                <c:pt idx="17">
                  <c:v>100%</c:v>
                </c:pt>
                <c:pt idx="18">
                  <c:v>0%</c:v>
                </c:pt>
                <c:pt idx="19">
                  <c:v>0%</c:v>
                </c:pt>
                <c:pt idx="20">
                  <c:v>0%</c:v>
                </c:pt>
                <c:pt idx="21">
                  <c:v>0%</c:v>
                </c:pt>
                <c:pt idx="22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'30'!$D$6:$D$28</c:f>
              <c:strCache>
                <c:ptCount val="22"/>
                <c:pt idx="0">
                  <c:v>SLIDER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4">
                  <c:v>COVER</c:v>
                </c:pt>
                <c:pt idx="5">
                  <c:v>STOPPER</c:v>
                </c:pt>
                <c:pt idx="6">
                  <c:v>LEAD GUIDER</c:v>
                </c:pt>
                <c:pt idx="7">
                  <c:v>LEAD GUIDER</c:v>
                </c:pt>
                <c:pt idx="9">
                  <c:v>ADAPTER</c:v>
                </c:pt>
                <c:pt idx="10">
                  <c:v>SLIDER</c:v>
                </c:pt>
                <c:pt idx="11">
                  <c:v>ADAPTER</c:v>
                </c:pt>
                <c:pt idx="12">
                  <c:v>BASE</c:v>
                </c:pt>
                <c:pt idx="13">
                  <c:v>BODY</c:v>
                </c:pt>
                <c:pt idx="14">
                  <c:v>ACTUATOR</c:v>
                </c:pt>
                <c:pt idx="15">
                  <c:v>BASE</c:v>
                </c:pt>
                <c:pt idx="17">
                  <c:v>BASE</c:v>
                </c:pt>
                <c:pt idx="19">
                  <c:v>LEAD GUIDER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'30'!$AD$6:$AD$28</c:f>
              <c:numCache>
                <c:formatCode>0%</c:formatCode>
                <c:ptCount val="23"/>
                <c:pt idx="0">
                  <c:v>0.75</c:v>
                </c:pt>
                <c:pt idx="1">
                  <c:v>1</c:v>
                </c:pt>
                <c:pt idx="2">
                  <c:v>0.33333333333333331</c:v>
                </c:pt>
                <c:pt idx="3">
                  <c:v>0.875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0.66666666666666663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0.16666666666666666</c:v>
                </c:pt>
                <c:pt idx="14">
                  <c:v>1</c:v>
                </c:pt>
                <c:pt idx="15">
                  <c:v>0.83333333333333337</c:v>
                </c:pt>
                <c:pt idx="16">
                  <c:v>0.5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4-4370-9C38-4C29920F331B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405732865681593"/>
                  <c:y val="0.18264331118919197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54-4370-9C38-4C29920F331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'30'!$D$6:$D$28</c:f>
              <c:strCache>
                <c:ptCount val="22"/>
                <c:pt idx="0">
                  <c:v>SLIDER</c:v>
                </c:pt>
                <c:pt idx="1">
                  <c:v>ADAPTER</c:v>
                </c:pt>
                <c:pt idx="2">
                  <c:v>BASE</c:v>
                </c:pt>
                <c:pt idx="3">
                  <c:v>STOPPER</c:v>
                </c:pt>
                <c:pt idx="4">
                  <c:v>COVER</c:v>
                </c:pt>
                <c:pt idx="5">
                  <c:v>STOPPER</c:v>
                </c:pt>
                <c:pt idx="6">
                  <c:v>LEAD GUIDER</c:v>
                </c:pt>
                <c:pt idx="7">
                  <c:v>LEAD GUIDER</c:v>
                </c:pt>
                <c:pt idx="9">
                  <c:v>ADAPTER</c:v>
                </c:pt>
                <c:pt idx="10">
                  <c:v>SLIDER</c:v>
                </c:pt>
                <c:pt idx="11">
                  <c:v>ADAPTER</c:v>
                </c:pt>
                <c:pt idx="12">
                  <c:v>BASE</c:v>
                </c:pt>
                <c:pt idx="13">
                  <c:v>BODY</c:v>
                </c:pt>
                <c:pt idx="14">
                  <c:v>ACTUATOR</c:v>
                </c:pt>
                <c:pt idx="15">
                  <c:v>BASE</c:v>
                </c:pt>
                <c:pt idx="17">
                  <c:v>BASE</c:v>
                </c:pt>
                <c:pt idx="19">
                  <c:v>LEAD GUIDER</c:v>
                </c:pt>
                <c:pt idx="20">
                  <c:v>SLIDER</c:v>
                </c:pt>
                <c:pt idx="21">
                  <c:v>COVER</c:v>
                </c:pt>
              </c:strCache>
            </c:strRef>
          </c:cat>
          <c:val>
            <c:numRef>
              <c:f>'30'!$AE$6:$AE$28</c:f>
              <c:numCache>
                <c:formatCode>0%</c:formatCode>
                <c:ptCount val="23"/>
                <c:pt idx="0">
                  <c:v>0.61413043478260865</c:v>
                </c:pt>
                <c:pt idx="1">
                  <c:v>0.61413043478260865</c:v>
                </c:pt>
                <c:pt idx="2">
                  <c:v>0.61413043478260865</c:v>
                </c:pt>
                <c:pt idx="3">
                  <c:v>0.61413043478260865</c:v>
                </c:pt>
                <c:pt idx="4">
                  <c:v>0.61413043478260865</c:v>
                </c:pt>
                <c:pt idx="5">
                  <c:v>0.61413043478260865</c:v>
                </c:pt>
                <c:pt idx="6">
                  <c:v>0.61413043478260865</c:v>
                </c:pt>
                <c:pt idx="7">
                  <c:v>0.61413043478260865</c:v>
                </c:pt>
                <c:pt idx="8">
                  <c:v>0.61413043478260865</c:v>
                </c:pt>
                <c:pt idx="9">
                  <c:v>0.61413043478260865</c:v>
                </c:pt>
                <c:pt idx="10">
                  <c:v>0.61413043478260865</c:v>
                </c:pt>
                <c:pt idx="11">
                  <c:v>0.61413043478260865</c:v>
                </c:pt>
                <c:pt idx="12">
                  <c:v>0.61413043478260865</c:v>
                </c:pt>
                <c:pt idx="13">
                  <c:v>0.61413043478260865</c:v>
                </c:pt>
                <c:pt idx="14">
                  <c:v>0.61413043478260865</c:v>
                </c:pt>
                <c:pt idx="15">
                  <c:v>0.61413043478260865</c:v>
                </c:pt>
                <c:pt idx="16">
                  <c:v>0.61413043478260865</c:v>
                </c:pt>
                <c:pt idx="17">
                  <c:v>0.61413043478260865</c:v>
                </c:pt>
                <c:pt idx="18">
                  <c:v>0.61413043478260865</c:v>
                </c:pt>
                <c:pt idx="19">
                  <c:v>0.61413043478260865</c:v>
                </c:pt>
                <c:pt idx="20">
                  <c:v>0.61413043478260865</c:v>
                </c:pt>
                <c:pt idx="21">
                  <c:v>0.61413043478260865</c:v>
                </c:pt>
                <c:pt idx="22">
                  <c:v>0.61413043478260865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54-4370-9C38-4C29920F3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5.xml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0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5.xml"/><Relationship Id="rId5" Type="http://schemas.openxmlformats.org/officeDocument/2006/relationships/chart" Target="../charts/chart64.xml"/><Relationship Id="rId4" Type="http://schemas.openxmlformats.org/officeDocument/2006/relationships/chart" Target="../charts/chart63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0.xml"/><Relationship Id="rId5" Type="http://schemas.openxmlformats.org/officeDocument/2006/relationships/chart" Target="../charts/chart69.xml"/><Relationship Id="rId4" Type="http://schemas.openxmlformats.org/officeDocument/2006/relationships/chart" Target="../charts/chart68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6" Type="http://schemas.openxmlformats.org/officeDocument/2006/relationships/chart" Target="../charts/chart75.xml"/><Relationship Id="rId5" Type="http://schemas.openxmlformats.org/officeDocument/2006/relationships/chart" Target="../charts/chart74.xml"/><Relationship Id="rId4" Type="http://schemas.openxmlformats.org/officeDocument/2006/relationships/chart" Target="../charts/chart7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6" Type="http://schemas.openxmlformats.org/officeDocument/2006/relationships/chart" Target="../charts/chart85.xml"/><Relationship Id="rId5" Type="http://schemas.openxmlformats.org/officeDocument/2006/relationships/chart" Target="../charts/chart84.xml"/><Relationship Id="rId4" Type="http://schemas.openxmlformats.org/officeDocument/2006/relationships/chart" Target="../charts/chart83.xml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87.xml"/><Relationship Id="rId1" Type="http://schemas.openxmlformats.org/officeDocument/2006/relationships/chart" Target="../charts/chart86.xml"/><Relationship Id="rId6" Type="http://schemas.openxmlformats.org/officeDocument/2006/relationships/chart" Target="../charts/chart90.xml"/><Relationship Id="rId5" Type="http://schemas.openxmlformats.org/officeDocument/2006/relationships/chart" Target="../charts/chart89.xml"/><Relationship Id="rId4" Type="http://schemas.openxmlformats.org/officeDocument/2006/relationships/chart" Target="../charts/chart88.xml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92.xml"/><Relationship Id="rId1" Type="http://schemas.openxmlformats.org/officeDocument/2006/relationships/chart" Target="../charts/chart91.xml"/><Relationship Id="rId6" Type="http://schemas.openxmlformats.org/officeDocument/2006/relationships/chart" Target="../charts/chart95.xml"/><Relationship Id="rId5" Type="http://schemas.openxmlformats.org/officeDocument/2006/relationships/chart" Target="../charts/chart94.xml"/><Relationship Id="rId4" Type="http://schemas.openxmlformats.org/officeDocument/2006/relationships/chart" Target="../charts/chart93.xml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97.xml"/><Relationship Id="rId1" Type="http://schemas.openxmlformats.org/officeDocument/2006/relationships/chart" Target="../charts/chart96.xml"/><Relationship Id="rId6" Type="http://schemas.openxmlformats.org/officeDocument/2006/relationships/chart" Target="../charts/chart100.xml"/><Relationship Id="rId5" Type="http://schemas.openxmlformats.org/officeDocument/2006/relationships/chart" Target="../charts/chart99.xml"/><Relationship Id="rId4" Type="http://schemas.openxmlformats.org/officeDocument/2006/relationships/chart" Target="../charts/chart98.xml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2.xml"/><Relationship Id="rId1" Type="http://schemas.openxmlformats.org/officeDocument/2006/relationships/chart" Target="../charts/chart10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34</xdr:row>
      <xdr:rowOff>0</xdr:rowOff>
    </xdr:from>
    <xdr:to>
      <xdr:col>12</xdr:col>
      <xdr:colOff>1199028</xdr:colOff>
      <xdr:row>47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261CCB2-5E14-48B8-A5E5-6E6B591B1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34</xdr:row>
      <xdr:rowOff>0</xdr:rowOff>
    </xdr:from>
    <xdr:to>
      <xdr:col>29</xdr:col>
      <xdr:colOff>457200</xdr:colOff>
      <xdr:row>47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BE192E1-1FB3-4149-B88A-47499E0EC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2A5200DC-18DC-40A2-8D95-9124E6933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34</xdr:row>
      <xdr:rowOff>0</xdr:rowOff>
    </xdr:from>
    <xdr:to>
      <xdr:col>12</xdr:col>
      <xdr:colOff>1199028</xdr:colOff>
      <xdr:row>47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43F4AB4-2BEF-439A-B6DC-0F458BC17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34</xdr:row>
      <xdr:rowOff>0</xdr:rowOff>
    </xdr:from>
    <xdr:to>
      <xdr:col>29</xdr:col>
      <xdr:colOff>457200</xdr:colOff>
      <xdr:row>47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7C56B88-AA34-4318-8869-533AA2980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270BAD78-F5B1-4A54-8EB4-64C690DFC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48</xdr:row>
      <xdr:rowOff>0</xdr:rowOff>
    </xdr:from>
    <xdr:to>
      <xdr:col>29</xdr:col>
      <xdr:colOff>476250</xdr:colOff>
      <xdr:row>56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49DE22BD-CB13-43FE-9DCB-8056C32E0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34</xdr:row>
      <xdr:rowOff>0</xdr:rowOff>
    </xdr:from>
    <xdr:to>
      <xdr:col>12</xdr:col>
      <xdr:colOff>1199028</xdr:colOff>
      <xdr:row>47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31BF45F-F3BB-4F53-AD74-55F599DEE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34</xdr:row>
      <xdr:rowOff>0</xdr:rowOff>
    </xdr:from>
    <xdr:to>
      <xdr:col>29</xdr:col>
      <xdr:colOff>457200</xdr:colOff>
      <xdr:row>47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57DF111-3C72-412C-B608-102BC8889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3B44CA58-C18C-4760-A45C-521586E3F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34</xdr:row>
      <xdr:rowOff>0</xdr:rowOff>
    </xdr:from>
    <xdr:to>
      <xdr:col>12</xdr:col>
      <xdr:colOff>1199028</xdr:colOff>
      <xdr:row>47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520F912-9895-4625-9553-C75A9FE27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34</xdr:row>
      <xdr:rowOff>0</xdr:rowOff>
    </xdr:from>
    <xdr:to>
      <xdr:col>29</xdr:col>
      <xdr:colOff>457200</xdr:colOff>
      <xdr:row>47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7BEA4B4-1BB2-4AE2-BD27-0969EA582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BA529A4D-BC6C-46C3-823C-36B7C8F4A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48</xdr:row>
      <xdr:rowOff>0</xdr:rowOff>
    </xdr:from>
    <xdr:to>
      <xdr:col>29</xdr:col>
      <xdr:colOff>476250</xdr:colOff>
      <xdr:row>56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470E1CA-8D80-4545-8175-1131E7B22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32</xdr:row>
      <xdr:rowOff>0</xdr:rowOff>
    </xdr:from>
    <xdr:to>
      <xdr:col>12</xdr:col>
      <xdr:colOff>1199028</xdr:colOff>
      <xdr:row>45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511507C-DCEC-4AF1-9DE8-7BECCFBCA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32</xdr:row>
      <xdr:rowOff>0</xdr:rowOff>
    </xdr:from>
    <xdr:to>
      <xdr:col>29</xdr:col>
      <xdr:colOff>457200</xdr:colOff>
      <xdr:row>45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506879E-5AC8-45AD-8157-B61CDBEE2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A1704C65-3B47-4D69-9B47-E3D0F5F96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32</xdr:row>
      <xdr:rowOff>0</xdr:rowOff>
    </xdr:from>
    <xdr:to>
      <xdr:col>12</xdr:col>
      <xdr:colOff>1199028</xdr:colOff>
      <xdr:row>45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8C7703A-4E6F-4A6A-812A-30FC9A593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32</xdr:row>
      <xdr:rowOff>0</xdr:rowOff>
    </xdr:from>
    <xdr:to>
      <xdr:col>29</xdr:col>
      <xdr:colOff>457200</xdr:colOff>
      <xdr:row>45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FFE175B-8D36-43B1-9E36-8912980F0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2F7D4B52-476C-4089-8775-A69E91182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46</xdr:row>
      <xdr:rowOff>0</xdr:rowOff>
    </xdr:from>
    <xdr:to>
      <xdr:col>29</xdr:col>
      <xdr:colOff>476250</xdr:colOff>
      <xdr:row>54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43685E2-8518-4B80-80AA-B0BC0FBAF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33</xdr:row>
      <xdr:rowOff>0</xdr:rowOff>
    </xdr:from>
    <xdr:to>
      <xdr:col>12</xdr:col>
      <xdr:colOff>1199028</xdr:colOff>
      <xdr:row>46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E14D5BB-09A0-41CB-9D0D-0F94DA464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29</xdr:col>
      <xdr:colOff>457200</xdr:colOff>
      <xdr:row>46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2FA75ED-A555-436C-AFC6-A3A7A33D1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EA50F3E1-9626-4251-BCE3-A55F675F0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33</xdr:row>
      <xdr:rowOff>0</xdr:rowOff>
    </xdr:from>
    <xdr:to>
      <xdr:col>12</xdr:col>
      <xdr:colOff>1199028</xdr:colOff>
      <xdr:row>46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8A655DA-BA02-443A-ADF8-9F8F5E41B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29</xdr:col>
      <xdr:colOff>457200</xdr:colOff>
      <xdr:row>46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DDC482E-56E1-425B-B38C-CC2B41FF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9CDCFF61-B2EF-48B9-ABAA-8A9FA89E5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47</xdr:row>
      <xdr:rowOff>0</xdr:rowOff>
    </xdr:from>
    <xdr:to>
      <xdr:col>29</xdr:col>
      <xdr:colOff>476250</xdr:colOff>
      <xdr:row>55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4A257E27-08B4-48EF-8AFE-CD891FAA8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32</xdr:row>
      <xdr:rowOff>0</xdr:rowOff>
    </xdr:from>
    <xdr:to>
      <xdr:col>12</xdr:col>
      <xdr:colOff>1199028</xdr:colOff>
      <xdr:row>45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AC643C3-7DEB-43B6-B3E1-B4D0354F9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32</xdr:row>
      <xdr:rowOff>0</xdr:rowOff>
    </xdr:from>
    <xdr:to>
      <xdr:col>29</xdr:col>
      <xdr:colOff>457200</xdr:colOff>
      <xdr:row>45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857D068-C510-475A-BA45-AC8745ABE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FD2AF89B-B7AC-46A0-A8FB-3B7249C66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32</xdr:row>
      <xdr:rowOff>0</xdr:rowOff>
    </xdr:from>
    <xdr:to>
      <xdr:col>12</xdr:col>
      <xdr:colOff>1199028</xdr:colOff>
      <xdr:row>45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2695B66-B136-4DF2-B949-20EC7D737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32</xdr:row>
      <xdr:rowOff>0</xdr:rowOff>
    </xdr:from>
    <xdr:to>
      <xdr:col>29</xdr:col>
      <xdr:colOff>457200</xdr:colOff>
      <xdr:row>45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1256E02-B46A-4D73-9EE7-3A22A4872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69E2D45B-0498-4FDB-BF85-E44676988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46</xdr:row>
      <xdr:rowOff>0</xdr:rowOff>
    </xdr:from>
    <xdr:to>
      <xdr:col>29</xdr:col>
      <xdr:colOff>476250</xdr:colOff>
      <xdr:row>54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ED5DCA5-A025-4972-B18D-EE04D714A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30</xdr:row>
      <xdr:rowOff>0</xdr:rowOff>
    </xdr:from>
    <xdr:to>
      <xdr:col>12</xdr:col>
      <xdr:colOff>1199028</xdr:colOff>
      <xdr:row>43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D916B46-22A8-468C-ACC8-9A02719BC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29</xdr:col>
      <xdr:colOff>457200</xdr:colOff>
      <xdr:row>43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4A2558B-A1D9-4824-8777-88451BE48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825D534-50B0-42CB-B1B9-55C92C9A0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30</xdr:row>
      <xdr:rowOff>0</xdr:rowOff>
    </xdr:from>
    <xdr:to>
      <xdr:col>12</xdr:col>
      <xdr:colOff>1199028</xdr:colOff>
      <xdr:row>43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CD5FF65-522F-4E9E-8B49-252743DAA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29</xdr:col>
      <xdr:colOff>457200</xdr:colOff>
      <xdr:row>43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5FB10A1-9F98-490A-ADCE-4C79FAF74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DD149802-0EFF-46D4-8A76-042131AD3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44</xdr:row>
      <xdr:rowOff>0</xdr:rowOff>
    </xdr:from>
    <xdr:to>
      <xdr:col>29</xdr:col>
      <xdr:colOff>476250</xdr:colOff>
      <xdr:row>52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28F9E7C-5770-4D73-AE06-A44BA88E8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35</xdr:row>
      <xdr:rowOff>0</xdr:rowOff>
    </xdr:from>
    <xdr:to>
      <xdr:col>12</xdr:col>
      <xdr:colOff>1199028</xdr:colOff>
      <xdr:row>48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1D10C31-1C00-4DFC-91B5-F98D307ED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35</xdr:row>
      <xdr:rowOff>0</xdr:rowOff>
    </xdr:from>
    <xdr:to>
      <xdr:col>29</xdr:col>
      <xdr:colOff>457200</xdr:colOff>
      <xdr:row>48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4D1F6F-C151-4B6E-ABE4-223EB9C12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7C76C4DD-D232-4F2E-9D46-7F104AD24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35</xdr:row>
      <xdr:rowOff>0</xdr:rowOff>
    </xdr:from>
    <xdr:to>
      <xdr:col>12</xdr:col>
      <xdr:colOff>1199028</xdr:colOff>
      <xdr:row>48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28A5EBD-A172-46CD-BC24-3265F7304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35</xdr:row>
      <xdr:rowOff>0</xdr:rowOff>
    </xdr:from>
    <xdr:to>
      <xdr:col>29</xdr:col>
      <xdr:colOff>457200</xdr:colOff>
      <xdr:row>48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6CEDB21-6E81-41CD-A745-EB84F30E8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C7DA599F-4959-4F0F-A114-05E5EE90F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49</xdr:row>
      <xdr:rowOff>0</xdr:rowOff>
    </xdr:from>
    <xdr:to>
      <xdr:col>29</xdr:col>
      <xdr:colOff>476250</xdr:colOff>
      <xdr:row>57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F0F40C33-355A-4AE0-A0DA-2F0505D8B7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33</xdr:row>
      <xdr:rowOff>0</xdr:rowOff>
    </xdr:from>
    <xdr:to>
      <xdr:col>12</xdr:col>
      <xdr:colOff>1199028</xdr:colOff>
      <xdr:row>46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CD1AC8F-A80E-4A52-9F95-5E37301D5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29</xdr:col>
      <xdr:colOff>457200</xdr:colOff>
      <xdr:row>46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95618B2-643C-4EF4-9321-177BEC4BB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DF756FEF-C2D3-4262-8DBB-814485E08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33</xdr:row>
      <xdr:rowOff>0</xdr:rowOff>
    </xdr:from>
    <xdr:to>
      <xdr:col>12</xdr:col>
      <xdr:colOff>1199028</xdr:colOff>
      <xdr:row>46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0F7F55D-B0FE-4E26-A21E-45AC46ED6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29</xdr:col>
      <xdr:colOff>457200</xdr:colOff>
      <xdr:row>46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E2B040D-2A1C-4B87-AD20-2336E0200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F0ADBABD-808C-4050-83FC-37757955B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47</xdr:row>
      <xdr:rowOff>0</xdr:rowOff>
    </xdr:from>
    <xdr:to>
      <xdr:col>29</xdr:col>
      <xdr:colOff>476250</xdr:colOff>
      <xdr:row>55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7107F82-F94A-4F50-8EC6-47C9A6209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31</xdr:row>
      <xdr:rowOff>0</xdr:rowOff>
    </xdr:from>
    <xdr:to>
      <xdr:col>12</xdr:col>
      <xdr:colOff>1199028</xdr:colOff>
      <xdr:row>44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AE86CA4-4062-46AA-96CF-B4E108DF2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29</xdr:col>
      <xdr:colOff>457200</xdr:colOff>
      <xdr:row>44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116FA79-81D0-4208-8AEA-A3BA9FE99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2B2EA709-52B1-4536-9F39-CE898187B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31</xdr:row>
      <xdr:rowOff>0</xdr:rowOff>
    </xdr:from>
    <xdr:to>
      <xdr:col>12</xdr:col>
      <xdr:colOff>1199028</xdr:colOff>
      <xdr:row>44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BEFE37D-6384-42B1-B202-F56654740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29</xdr:col>
      <xdr:colOff>457200</xdr:colOff>
      <xdr:row>44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8D504EB-E0BC-4211-BF39-81A1F6B3B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49381F8A-D2AF-4D2E-B08B-E436B65DA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45</xdr:row>
      <xdr:rowOff>0</xdr:rowOff>
    </xdr:from>
    <xdr:to>
      <xdr:col>29</xdr:col>
      <xdr:colOff>476250</xdr:colOff>
      <xdr:row>53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8117E333-3B9E-40DB-8385-A8D34FE9ED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30</xdr:row>
      <xdr:rowOff>0</xdr:rowOff>
    </xdr:from>
    <xdr:to>
      <xdr:col>12</xdr:col>
      <xdr:colOff>1199028</xdr:colOff>
      <xdr:row>43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1A34EB8-4C70-404C-A285-501378527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29</xdr:col>
      <xdr:colOff>457200</xdr:colOff>
      <xdr:row>43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AACD499-E324-425F-BD7F-4D74DF740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E50A642C-FB52-4131-9C8E-3A78AFF19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30</xdr:row>
      <xdr:rowOff>0</xdr:rowOff>
    </xdr:from>
    <xdr:to>
      <xdr:col>12</xdr:col>
      <xdr:colOff>1199028</xdr:colOff>
      <xdr:row>43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7981883-7506-491A-892D-7054BDC18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29</xdr:col>
      <xdr:colOff>457200</xdr:colOff>
      <xdr:row>43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95D5E26-0023-457F-B855-7A2562258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0CD5F345-3D00-4B2F-B59C-90C5438EE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44</xdr:row>
      <xdr:rowOff>0</xdr:rowOff>
    </xdr:from>
    <xdr:to>
      <xdr:col>29</xdr:col>
      <xdr:colOff>476250</xdr:colOff>
      <xdr:row>52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B769008-C66D-45EE-A108-DE274D8B8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31</xdr:row>
      <xdr:rowOff>0</xdr:rowOff>
    </xdr:from>
    <xdr:to>
      <xdr:col>12</xdr:col>
      <xdr:colOff>1199028</xdr:colOff>
      <xdr:row>44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6057BF3-B51E-48AA-8322-0C4A33CA4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29</xdr:col>
      <xdr:colOff>457200</xdr:colOff>
      <xdr:row>44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A2CEEEF-E8AC-4F0E-950D-5063EC1A2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FE4AE99A-0C69-44C0-ADF3-19392DE4B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31</xdr:row>
      <xdr:rowOff>0</xdr:rowOff>
    </xdr:from>
    <xdr:to>
      <xdr:col>12</xdr:col>
      <xdr:colOff>1199028</xdr:colOff>
      <xdr:row>44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60571D2-9CAC-4EE1-BBAE-B24C71DFC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29</xdr:col>
      <xdr:colOff>457200</xdr:colOff>
      <xdr:row>44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2BC2C0D-B620-41E8-8640-3E056EE0D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B01F380F-41D9-4693-A302-C15DC2D39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45</xdr:row>
      <xdr:rowOff>0</xdr:rowOff>
    </xdr:from>
    <xdr:to>
      <xdr:col>29</xdr:col>
      <xdr:colOff>476250</xdr:colOff>
      <xdr:row>53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C7BEDAFB-93F4-471A-8E70-974F2587A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33</xdr:row>
      <xdr:rowOff>0</xdr:rowOff>
    </xdr:from>
    <xdr:to>
      <xdr:col>12</xdr:col>
      <xdr:colOff>1199028</xdr:colOff>
      <xdr:row>46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934C753-CC9F-4016-899D-11436EE8E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29</xdr:col>
      <xdr:colOff>457200</xdr:colOff>
      <xdr:row>46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D4CC41F-6D6D-49FA-B823-73AEE1D2C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10BF8160-CFF5-4B3A-ACC3-1368EEC1E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33</xdr:row>
      <xdr:rowOff>0</xdr:rowOff>
    </xdr:from>
    <xdr:to>
      <xdr:col>12</xdr:col>
      <xdr:colOff>1199028</xdr:colOff>
      <xdr:row>46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1D73E34-DBA7-4185-B3F9-9CE1E59B2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29</xdr:col>
      <xdr:colOff>457200</xdr:colOff>
      <xdr:row>46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8E4A348-49DE-453B-A81B-206D1E3FC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FAAE61A4-737D-4381-8501-E1A18F6493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47</xdr:row>
      <xdr:rowOff>0</xdr:rowOff>
    </xdr:from>
    <xdr:to>
      <xdr:col>29</xdr:col>
      <xdr:colOff>476250</xdr:colOff>
      <xdr:row>55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4A15F8D3-CCCB-4373-A7F1-8BB8D3088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30</xdr:row>
      <xdr:rowOff>0</xdr:rowOff>
    </xdr:from>
    <xdr:to>
      <xdr:col>12</xdr:col>
      <xdr:colOff>1199028</xdr:colOff>
      <xdr:row>43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C251569-249A-42CE-B11D-006ABE3FA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29</xdr:col>
      <xdr:colOff>457200</xdr:colOff>
      <xdr:row>43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1B19985-8D02-468D-BA2B-1825E32E4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7039856-655E-4694-B56D-84AD261E0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30</xdr:row>
      <xdr:rowOff>0</xdr:rowOff>
    </xdr:from>
    <xdr:to>
      <xdr:col>12</xdr:col>
      <xdr:colOff>1199028</xdr:colOff>
      <xdr:row>43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565C4AC-D328-483A-9276-B292CF03B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29</xdr:col>
      <xdr:colOff>457200</xdr:colOff>
      <xdr:row>43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FA02D1D-9214-4BE4-B957-5C081D514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4FD0DA31-B9AD-447D-944D-8C3E179F4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44</xdr:row>
      <xdr:rowOff>0</xdr:rowOff>
    </xdr:from>
    <xdr:to>
      <xdr:col>29</xdr:col>
      <xdr:colOff>476250</xdr:colOff>
      <xdr:row>52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CA7BE26C-9A62-4E77-8DBE-FAAE02C85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30</xdr:row>
      <xdr:rowOff>0</xdr:rowOff>
    </xdr:from>
    <xdr:to>
      <xdr:col>12</xdr:col>
      <xdr:colOff>1199028</xdr:colOff>
      <xdr:row>43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537355F-2000-4F3A-9C8B-D294E24AF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29</xdr:col>
      <xdr:colOff>457200</xdr:colOff>
      <xdr:row>43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E4D0859-9EF3-4501-A91A-1A8C0D211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7BFE3563-0454-4B7F-B29F-D47CE7E60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30</xdr:row>
      <xdr:rowOff>0</xdr:rowOff>
    </xdr:from>
    <xdr:to>
      <xdr:col>12</xdr:col>
      <xdr:colOff>1199028</xdr:colOff>
      <xdr:row>43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81420C4-8782-43FE-9C05-C28614718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29</xdr:col>
      <xdr:colOff>457200</xdr:colOff>
      <xdr:row>43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D7E2CA3-AB24-461D-ACB2-908957C49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593412B7-C85D-48D8-8D00-1EDF18826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44</xdr:row>
      <xdr:rowOff>0</xdr:rowOff>
    </xdr:from>
    <xdr:to>
      <xdr:col>29</xdr:col>
      <xdr:colOff>476250</xdr:colOff>
      <xdr:row>52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35EA503-452A-4B41-9B91-6389460F5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31</xdr:row>
      <xdr:rowOff>0</xdr:rowOff>
    </xdr:from>
    <xdr:to>
      <xdr:col>12</xdr:col>
      <xdr:colOff>1199028</xdr:colOff>
      <xdr:row>44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8288414-04A4-461A-9D1E-977048F1D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29</xdr:col>
      <xdr:colOff>457200</xdr:colOff>
      <xdr:row>44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3B4B4ED-BAB8-4E76-B6AA-9A8EF684E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443D5AB-A4F8-424F-8AEA-268612700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31</xdr:row>
      <xdr:rowOff>0</xdr:rowOff>
    </xdr:from>
    <xdr:to>
      <xdr:col>12</xdr:col>
      <xdr:colOff>1199028</xdr:colOff>
      <xdr:row>44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F468A4D-D317-4DC7-B133-498C6945B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29</xdr:col>
      <xdr:colOff>457200</xdr:colOff>
      <xdr:row>44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21BA324-5DDA-444A-9675-3F49CDDCF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AB36401B-1FBE-4D3A-B176-FD812878A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45</xdr:row>
      <xdr:rowOff>0</xdr:rowOff>
    </xdr:from>
    <xdr:to>
      <xdr:col>29</xdr:col>
      <xdr:colOff>476250</xdr:colOff>
      <xdr:row>53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7A31408-3E11-49C1-B794-8FDC4D425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31</xdr:row>
      <xdr:rowOff>0</xdr:rowOff>
    </xdr:from>
    <xdr:to>
      <xdr:col>12</xdr:col>
      <xdr:colOff>1199028</xdr:colOff>
      <xdr:row>44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2D100F4-C1E9-402D-BB4B-4F538F42C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29</xdr:col>
      <xdr:colOff>457200</xdr:colOff>
      <xdr:row>44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36BA33-79A4-46D2-8144-EFF58BDF4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155FB8F6-AB3A-45BF-A06B-F4CC024E3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31</xdr:row>
      <xdr:rowOff>0</xdr:rowOff>
    </xdr:from>
    <xdr:to>
      <xdr:col>12</xdr:col>
      <xdr:colOff>1199028</xdr:colOff>
      <xdr:row>44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2AE2408-F7C6-450A-B669-93D04C57D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29</xdr:col>
      <xdr:colOff>457200</xdr:colOff>
      <xdr:row>44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EFA991D-94FF-43E3-8219-12587B3E5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F1FD8BD7-9B1F-45FC-828B-0E87B2239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45</xdr:row>
      <xdr:rowOff>0</xdr:rowOff>
    </xdr:from>
    <xdr:to>
      <xdr:col>29</xdr:col>
      <xdr:colOff>476250</xdr:colOff>
      <xdr:row>53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5674A95C-3D81-47FC-82CE-03AA0B045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31</xdr:row>
      <xdr:rowOff>0</xdr:rowOff>
    </xdr:from>
    <xdr:to>
      <xdr:col>12</xdr:col>
      <xdr:colOff>1199028</xdr:colOff>
      <xdr:row>44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1225A1A-124A-4E1F-8A9D-7EF24B22D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29</xdr:col>
      <xdr:colOff>457200</xdr:colOff>
      <xdr:row>44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9558C60-0CC8-4EFE-84B2-039F39B94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B3B69553-57D3-4735-8AC9-0760DD949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31</xdr:row>
      <xdr:rowOff>0</xdr:rowOff>
    </xdr:from>
    <xdr:to>
      <xdr:col>12</xdr:col>
      <xdr:colOff>1199028</xdr:colOff>
      <xdr:row>44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111B6D9-2044-40F4-9EF2-CF5535F85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29</xdr:col>
      <xdr:colOff>457200</xdr:colOff>
      <xdr:row>44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DEFB250-7835-4C0E-BFD4-B57446055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DAAD1DB8-BE50-4CAE-8237-247316039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45</xdr:row>
      <xdr:rowOff>0</xdr:rowOff>
    </xdr:from>
    <xdr:to>
      <xdr:col>29</xdr:col>
      <xdr:colOff>476250</xdr:colOff>
      <xdr:row>53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58726B51-59E6-4F5C-A496-2EEE6F89C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104775</xdr:rowOff>
    </xdr:from>
    <xdr:to>
      <xdr:col>16</xdr:col>
      <xdr:colOff>66675</xdr:colOff>
      <xdr:row>38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200023</xdr:colOff>
      <xdr:row>26</xdr:row>
      <xdr:rowOff>123825</xdr:rowOff>
    </xdr:from>
    <xdr:to>
      <xdr:col>32</xdr:col>
      <xdr:colOff>371474</xdr:colOff>
      <xdr:row>38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33</xdr:row>
      <xdr:rowOff>0</xdr:rowOff>
    </xdr:from>
    <xdr:to>
      <xdr:col>12</xdr:col>
      <xdr:colOff>1199028</xdr:colOff>
      <xdr:row>46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CB7C6AB-629A-4B0E-B65A-4C06ED004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29</xdr:col>
      <xdr:colOff>457200</xdr:colOff>
      <xdr:row>46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3601472-5484-4EF1-B361-1A9DE9BBD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96D9287D-F2FA-49CD-9406-8836CF378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33</xdr:row>
      <xdr:rowOff>0</xdr:rowOff>
    </xdr:from>
    <xdr:to>
      <xdr:col>12</xdr:col>
      <xdr:colOff>1199028</xdr:colOff>
      <xdr:row>46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7376B87-7580-4226-ACDB-062CF2468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29</xdr:col>
      <xdr:colOff>457200</xdr:colOff>
      <xdr:row>46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B6F5732-B3E4-4481-B894-EE62B3A18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AD250FFC-995A-4658-AB93-E86CC4EDE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47</xdr:row>
      <xdr:rowOff>0</xdr:rowOff>
    </xdr:from>
    <xdr:to>
      <xdr:col>29</xdr:col>
      <xdr:colOff>476250</xdr:colOff>
      <xdr:row>55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A7638DE-1A19-4672-9FE5-BA89D97A8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31</xdr:row>
      <xdr:rowOff>0</xdr:rowOff>
    </xdr:from>
    <xdr:to>
      <xdr:col>12</xdr:col>
      <xdr:colOff>1199028</xdr:colOff>
      <xdr:row>44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006D36D-49B8-47A0-A484-79FBA5917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29</xdr:col>
      <xdr:colOff>457200</xdr:colOff>
      <xdr:row>44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2516DD3-C958-4344-9D5C-AD9CAD05D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109EB3BB-2444-4DFB-8254-F81AC6624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31</xdr:row>
      <xdr:rowOff>0</xdr:rowOff>
    </xdr:from>
    <xdr:to>
      <xdr:col>12</xdr:col>
      <xdr:colOff>1199028</xdr:colOff>
      <xdr:row>44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49361BF-33CF-4E0D-A7A3-0483B60E2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29</xdr:col>
      <xdr:colOff>457200</xdr:colOff>
      <xdr:row>44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86A03E9-5456-4AB7-9AB9-E9913D95C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7F9CC0EF-F9B9-4B38-BBDA-D5228528E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45</xdr:row>
      <xdr:rowOff>0</xdr:rowOff>
    </xdr:from>
    <xdr:to>
      <xdr:col>29</xdr:col>
      <xdr:colOff>476250</xdr:colOff>
      <xdr:row>53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514DDFB9-17DB-436E-9021-BCA99F9B3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30</xdr:row>
      <xdr:rowOff>0</xdr:rowOff>
    </xdr:from>
    <xdr:to>
      <xdr:col>12</xdr:col>
      <xdr:colOff>1199028</xdr:colOff>
      <xdr:row>43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7DCAD8B-AE79-4A3B-9EE9-B6088FAFCC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29</xdr:col>
      <xdr:colOff>457200</xdr:colOff>
      <xdr:row>43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2C718EF-0A4C-4218-B74D-A4A7CED84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42E7F569-0BAB-45C1-B889-31CE98833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30</xdr:row>
      <xdr:rowOff>0</xdr:rowOff>
    </xdr:from>
    <xdr:to>
      <xdr:col>12</xdr:col>
      <xdr:colOff>1199028</xdr:colOff>
      <xdr:row>43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3E1126E-C626-456A-B0BF-54853EAEE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29</xdr:col>
      <xdr:colOff>457200</xdr:colOff>
      <xdr:row>43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6034985-9574-4452-BB77-A5BD62426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A32E38DF-FE71-41F5-83BD-3370D9DB4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453" y="54428"/>
          <a:ext cx="34072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68036</xdr:colOff>
      <xdr:row>44</xdr:row>
      <xdr:rowOff>0</xdr:rowOff>
    </xdr:from>
    <xdr:to>
      <xdr:col>29</xdr:col>
      <xdr:colOff>476250</xdr:colOff>
      <xdr:row>52</xdr:row>
      <xdr:rowOff>312964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DEE17FAC-12C9-4AC1-A9E2-152810EC6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81239-731D-4CB0-BCF8-348E48B2FEE0}">
  <sheetPr codeName="Sheet2">
    <pageSetUpPr fitToPage="1"/>
  </sheetPr>
  <dimension ref="A1:AF97"/>
  <sheetViews>
    <sheetView view="pageBreakPreview" topLeftCell="A10" zoomScale="70" zoomScaleNormal="72" zoomScaleSheetLayoutView="70" workbookViewId="0">
      <selection activeCell="C31" sqref="C31:I31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1" bestFit="1" customWidth="1"/>
    <col min="33" max="33" width="17.625" style="50" customWidth="1"/>
    <col min="34" max="16384" width="9" style="50"/>
  </cols>
  <sheetData>
    <row r="1" spans="1:32" ht="44.25" customHeight="1">
      <c r="A1" s="461" t="s">
        <v>190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61"/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62"/>
      <c r="B3" s="462"/>
      <c r="C3" s="462"/>
      <c r="D3" s="462"/>
      <c r="E3" s="462"/>
      <c r="F3" s="462"/>
      <c r="G3" s="462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63" t="s">
        <v>0</v>
      </c>
      <c r="B4" s="465" t="s">
        <v>1</v>
      </c>
      <c r="C4" s="465" t="s">
        <v>2</v>
      </c>
      <c r="D4" s="468" t="s">
        <v>3</v>
      </c>
      <c r="E4" s="470" t="s">
        <v>4</v>
      </c>
      <c r="F4" s="468" t="s">
        <v>5</v>
      </c>
      <c r="G4" s="465" t="s">
        <v>6</v>
      </c>
      <c r="H4" s="471" t="s">
        <v>7</v>
      </c>
      <c r="I4" s="451" t="s">
        <v>8</v>
      </c>
      <c r="J4" s="452"/>
      <c r="K4" s="452"/>
      <c r="L4" s="452"/>
      <c r="M4" s="452"/>
      <c r="N4" s="452"/>
      <c r="O4" s="453"/>
      <c r="P4" s="454" t="s">
        <v>9</v>
      </c>
      <c r="Q4" s="455"/>
      <c r="R4" s="456" t="s">
        <v>10</v>
      </c>
      <c r="S4" s="457"/>
      <c r="T4" s="457"/>
      <c r="U4" s="457"/>
      <c r="V4" s="458"/>
      <c r="W4" s="457" t="s">
        <v>11</v>
      </c>
      <c r="X4" s="457"/>
      <c r="Y4" s="457"/>
      <c r="Z4" s="457"/>
      <c r="AA4" s="458"/>
      <c r="AB4" s="459" t="s">
        <v>12</v>
      </c>
      <c r="AC4" s="433" t="s">
        <v>13</v>
      </c>
      <c r="AD4" s="433" t="s">
        <v>14</v>
      </c>
      <c r="AE4" s="54"/>
    </row>
    <row r="5" spans="1:32" ht="51" customHeight="1" thickBot="1">
      <c r="A5" s="464"/>
      <c r="B5" s="466"/>
      <c r="C5" s="467"/>
      <c r="D5" s="469"/>
      <c r="E5" s="469"/>
      <c r="F5" s="469"/>
      <c r="G5" s="466"/>
      <c r="H5" s="472"/>
      <c r="I5" s="55" t="s">
        <v>15</v>
      </c>
      <c r="J5" s="56" t="s">
        <v>16</v>
      </c>
      <c r="K5" s="115" t="s">
        <v>17</v>
      </c>
      <c r="L5" s="115" t="s">
        <v>18</v>
      </c>
      <c r="M5" s="115" t="s">
        <v>19</v>
      </c>
      <c r="N5" s="115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60"/>
      <c r="AC5" s="434"/>
      <c r="AD5" s="434"/>
      <c r="AE5" s="54"/>
    </row>
    <row r="6" spans="1:32" ht="27" customHeight="1">
      <c r="A6" s="106">
        <v>1</v>
      </c>
      <c r="B6" s="11" t="s">
        <v>57</v>
      </c>
      <c r="C6" s="34" t="s">
        <v>116</v>
      </c>
      <c r="D6" s="52" t="s">
        <v>140</v>
      </c>
      <c r="E6" s="53" t="s">
        <v>173</v>
      </c>
      <c r="F6" s="30" t="s">
        <v>162</v>
      </c>
      <c r="G6" s="12">
        <v>1</v>
      </c>
      <c r="H6" s="13">
        <v>24</v>
      </c>
      <c r="I6" s="31">
        <v>1000</v>
      </c>
      <c r="J6" s="14">
        <v>2771</v>
      </c>
      <c r="K6" s="15">
        <f>L6+2771</f>
        <v>2771</v>
      </c>
      <c r="L6" s="15"/>
      <c r="M6" s="15">
        <f t="shared" ref="M6:M31" si="0">L6-N6</f>
        <v>0</v>
      </c>
      <c r="N6" s="15">
        <v>0</v>
      </c>
      <c r="O6" s="58" t="str">
        <f t="shared" ref="O6:O32" si="1">IF(L6=0,"0",N6/L6)</f>
        <v>0</v>
      </c>
      <c r="P6" s="39" t="str">
        <f t="shared" ref="P6:P31" si="2">IF(L6=0,"0",(24-Q6))</f>
        <v>0</v>
      </c>
      <c r="Q6" s="40">
        <f t="shared" ref="Q6:Q31" si="3">SUM(R6:AA6)</f>
        <v>24</v>
      </c>
      <c r="R6" s="7"/>
      <c r="S6" s="6"/>
      <c r="T6" s="16"/>
      <c r="U6" s="16"/>
      <c r="V6" s="17"/>
      <c r="W6" s="5">
        <v>24</v>
      </c>
      <c r="X6" s="16"/>
      <c r="Y6" s="16"/>
      <c r="Z6" s="16"/>
      <c r="AA6" s="18"/>
      <c r="AB6" s="8">
        <f t="shared" ref="AB6:AB31" si="4">IF(J6=0,"0",(L6/J6))</f>
        <v>0</v>
      </c>
      <c r="AC6" s="9">
        <f t="shared" ref="AC6:AC31" si="5">IF(P6=0,"0",(P6/24))</f>
        <v>0</v>
      </c>
      <c r="AD6" s="10">
        <f>AC6*AB6*(1-O6)</f>
        <v>0</v>
      </c>
      <c r="AE6" s="36">
        <f t="shared" ref="AE6:AE31" si="6">$AD$32</f>
        <v>0.59455128205128216</v>
      </c>
      <c r="AF6" s="81">
        <f t="shared" ref="AF6:AF31" si="7">A6</f>
        <v>1</v>
      </c>
    </row>
    <row r="7" spans="1:32" ht="27" customHeight="1">
      <c r="A7" s="106">
        <v>2</v>
      </c>
      <c r="B7" s="11" t="s">
        <v>57</v>
      </c>
      <c r="C7" s="34" t="s">
        <v>112</v>
      </c>
      <c r="D7" s="52" t="s">
        <v>140</v>
      </c>
      <c r="E7" s="53" t="s">
        <v>149</v>
      </c>
      <c r="F7" s="30" t="s">
        <v>139</v>
      </c>
      <c r="G7" s="12">
        <v>1</v>
      </c>
      <c r="H7" s="13">
        <v>24</v>
      </c>
      <c r="I7" s="31">
        <v>190000</v>
      </c>
      <c r="J7" s="14">
        <v>11518</v>
      </c>
      <c r="K7" s="15">
        <f>L7+8898+11520+11558+11486+11566+10872+10958+11534</f>
        <v>99910</v>
      </c>
      <c r="L7" s="15">
        <f>2892*2+2867*2</f>
        <v>11518</v>
      </c>
      <c r="M7" s="15">
        <f t="shared" si="0"/>
        <v>11518</v>
      </c>
      <c r="N7" s="15">
        <v>0</v>
      </c>
      <c r="O7" s="58">
        <f t="shared" si="1"/>
        <v>0</v>
      </c>
      <c r="P7" s="39">
        <f t="shared" si="2"/>
        <v>24</v>
      </c>
      <c r="Q7" s="40">
        <f t="shared" si="3"/>
        <v>0</v>
      </c>
      <c r="R7" s="7"/>
      <c r="S7" s="6"/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1</v>
      </c>
      <c r="AD7" s="10">
        <f t="shared" ref="AD7:AD31" si="8">AC7*AB7*(1-O7)</f>
        <v>1</v>
      </c>
      <c r="AE7" s="36">
        <f t="shared" si="6"/>
        <v>0.59455128205128216</v>
      </c>
      <c r="AF7" s="81">
        <f t="shared" si="7"/>
        <v>2</v>
      </c>
    </row>
    <row r="8" spans="1:32" ht="27" customHeight="1">
      <c r="A8" s="92">
        <v>3</v>
      </c>
      <c r="B8" s="11" t="s">
        <v>57</v>
      </c>
      <c r="C8" s="34" t="s">
        <v>116</v>
      </c>
      <c r="D8" s="52" t="s">
        <v>129</v>
      </c>
      <c r="E8" s="53" t="s">
        <v>179</v>
      </c>
      <c r="F8" s="30" t="s">
        <v>124</v>
      </c>
      <c r="G8" s="12">
        <v>2</v>
      </c>
      <c r="H8" s="13">
        <v>22</v>
      </c>
      <c r="I8" s="31">
        <v>90000</v>
      </c>
      <c r="J8" s="5">
        <v>11780</v>
      </c>
      <c r="K8" s="15">
        <f>L8+8120</f>
        <v>19900</v>
      </c>
      <c r="L8" s="15">
        <f>3006*2+2884*2</f>
        <v>11780</v>
      </c>
      <c r="M8" s="15">
        <f t="shared" ref="M8" si="9">L8-N8</f>
        <v>11780</v>
      </c>
      <c r="N8" s="15">
        <v>0</v>
      </c>
      <c r="O8" s="58">
        <f t="shared" ref="O8" si="10">IF(L8=0,"0",N8/L8)</f>
        <v>0</v>
      </c>
      <c r="P8" s="39">
        <f t="shared" ref="P8" si="11">IF(L8=0,"0",(24-Q8))</f>
        <v>24</v>
      </c>
      <c r="Q8" s="40">
        <f t="shared" ref="Q8" si="12">SUM(R8:AA8)</f>
        <v>0</v>
      </c>
      <c r="R8" s="7"/>
      <c r="S8" s="6"/>
      <c r="T8" s="16"/>
      <c r="U8" s="16"/>
      <c r="V8" s="17"/>
      <c r="W8" s="5"/>
      <c r="X8" s="16"/>
      <c r="Y8" s="16"/>
      <c r="Z8" s="16"/>
      <c r="AA8" s="18"/>
      <c r="AB8" s="8">
        <f t="shared" ref="AB8" si="13">IF(J8=0,"0",(L8/J8))</f>
        <v>1</v>
      </c>
      <c r="AC8" s="9">
        <f t="shared" ref="AC8" si="14">IF(P8=0,"0",(P8/24))</f>
        <v>1</v>
      </c>
      <c r="AD8" s="10">
        <f t="shared" ref="AD8" si="15">AC8*AB8*(1-O8)</f>
        <v>1</v>
      </c>
      <c r="AE8" s="36">
        <f t="shared" si="6"/>
        <v>0.59455128205128216</v>
      </c>
      <c r="AF8" s="81">
        <f t="shared" ref="AF8" si="16">A8</f>
        <v>3</v>
      </c>
    </row>
    <row r="9" spans="1:32" ht="27" customHeight="1">
      <c r="A9" s="92">
        <v>4</v>
      </c>
      <c r="B9" s="11" t="s">
        <v>57</v>
      </c>
      <c r="C9" s="34" t="s">
        <v>161</v>
      </c>
      <c r="D9" s="52"/>
      <c r="E9" s="53" t="s">
        <v>166</v>
      </c>
      <c r="F9" s="30" t="s">
        <v>145</v>
      </c>
      <c r="G9" s="12">
        <v>2</v>
      </c>
      <c r="H9" s="13">
        <v>24</v>
      </c>
      <c r="I9" s="7">
        <v>10000</v>
      </c>
      <c r="J9" s="14">
        <v>9554</v>
      </c>
      <c r="K9" s="15">
        <f>L9</f>
        <v>9554</v>
      </c>
      <c r="L9" s="15">
        <f>1641*2+3136*2</f>
        <v>9554</v>
      </c>
      <c r="M9" s="15">
        <f t="shared" si="0"/>
        <v>9554</v>
      </c>
      <c r="N9" s="15">
        <v>0</v>
      </c>
      <c r="O9" s="58">
        <f t="shared" si="1"/>
        <v>0</v>
      </c>
      <c r="P9" s="39">
        <f t="shared" si="2"/>
        <v>19</v>
      </c>
      <c r="Q9" s="40">
        <f t="shared" si="3"/>
        <v>5</v>
      </c>
      <c r="R9" s="7"/>
      <c r="S9" s="6">
        <v>5</v>
      </c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0.79166666666666663</v>
      </c>
      <c r="AD9" s="10">
        <f t="shared" si="8"/>
        <v>0.79166666666666663</v>
      </c>
      <c r="AE9" s="36">
        <f t="shared" si="6"/>
        <v>0.59455128205128216</v>
      </c>
      <c r="AF9" s="81">
        <f t="shared" si="7"/>
        <v>4</v>
      </c>
    </row>
    <row r="10" spans="1:32" ht="27" customHeight="1">
      <c r="A10" s="92">
        <v>5</v>
      </c>
      <c r="B10" s="11" t="s">
        <v>57</v>
      </c>
      <c r="C10" s="11" t="s">
        <v>112</v>
      </c>
      <c r="D10" s="52" t="s">
        <v>121</v>
      </c>
      <c r="E10" s="53" t="s">
        <v>188</v>
      </c>
      <c r="F10" s="30" t="s">
        <v>124</v>
      </c>
      <c r="G10" s="33">
        <v>1</v>
      </c>
      <c r="H10" s="35">
        <v>24</v>
      </c>
      <c r="I10" s="7">
        <v>40000</v>
      </c>
      <c r="J10" s="14">
        <v>5338</v>
      </c>
      <c r="K10" s="15">
        <f>L10</f>
        <v>5338</v>
      </c>
      <c r="L10" s="15">
        <f>2625+2713</f>
        <v>5338</v>
      </c>
      <c r="M10" s="15">
        <f t="shared" si="0"/>
        <v>5338</v>
      </c>
      <c r="N10" s="15">
        <v>0</v>
      </c>
      <c r="O10" s="58">
        <f t="shared" si="1"/>
        <v>0</v>
      </c>
      <c r="P10" s="39">
        <f t="shared" si="2"/>
        <v>22</v>
      </c>
      <c r="Q10" s="40">
        <f t="shared" si="3"/>
        <v>2</v>
      </c>
      <c r="R10" s="7"/>
      <c r="S10" s="6">
        <v>2</v>
      </c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0.91666666666666663</v>
      </c>
      <c r="AD10" s="10">
        <f t="shared" si="8"/>
        <v>0.91666666666666663</v>
      </c>
      <c r="AE10" s="36">
        <f t="shared" si="6"/>
        <v>0.59455128205128216</v>
      </c>
      <c r="AF10" s="81">
        <f t="shared" si="7"/>
        <v>5</v>
      </c>
    </row>
    <row r="11" spans="1:32" ht="27" customHeight="1">
      <c r="A11" s="92">
        <v>6</v>
      </c>
      <c r="B11" s="11" t="s">
        <v>57</v>
      </c>
      <c r="C11" s="11" t="s">
        <v>127</v>
      </c>
      <c r="D11" s="52" t="s">
        <v>141</v>
      </c>
      <c r="E11" s="53" t="s">
        <v>194</v>
      </c>
      <c r="F11" s="30" t="s">
        <v>128</v>
      </c>
      <c r="G11" s="33">
        <v>2</v>
      </c>
      <c r="H11" s="35">
        <v>24</v>
      </c>
      <c r="I11" s="7">
        <v>2500</v>
      </c>
      <c r="J11" s="14">
        <v>2822</v>
      </c>
      <c r="K11" s="15">
        <f>L11</f>
        <v>2822</v>
      </c>
      <c r="L11" s="15">
        <f>1411*2</f>
        <v>2822</v>
      </c>
      <c r="M11" s="15">
        <f t="shared" si="0"/>
        <v>2822</v>
      </c>
      <c r="N11" s="15">
        <v>0</v>
      </c>
      <c r="O11" s="58">
        <f t="shared" si="1"/>
        <v>0</v>
      </c>
      <c r="P11" s="39">
        <f t="shared" si="2"/>
        <v>8</v>
      </c>
      <c r="Q11" s="40">
        <f t="shared" si="3"/>
        <v>16</v>
      </c>
      <c r="R11" s="7"/>
      <c r="S11" s="6"/>
      <c r="T11" s="16"/>
      <c r="U11" s="16"/>
      <c r="V11" s="17"/>
      <c r="W11" s="5">
        <v>16</v>
      </c>
      <c r="X11" s="16"/>
      <c r="Y11" s="16"/>
      <c r="Z11" s="16"/>
      <c r="AA11" s="18"/>
      <c r="AB11" s="8">
        <f t="shared" si="4"/>
        <v>1</v>
      </c>
      <c r="AC11" s="9">
        <f t="shared" si="5"/>
        <v>0.33333333333333331</v>
      </c>
      <c r="AD11" s="10">
        <f t="shared" si="8"/>
        <v>0.33333333333333331</v>
      </c>
      <c r="AE11" s="36">
        <f t="shared" si="6"/>
        <v>0.59455128205128216</v>
      </c>
      <c r="AF11" s="81">
        <f t="shared" si="7"/>
        <v>6</v>
      </c>
    </row>
    <row r="12" spans="1:32" ht="27" customHeight="1">
      <c r="A12" s="92">
        <v>6</v>
      </c>
      <c r="B12" s="11" t="s">
        <v>57</v>
      </c>
      <c r="C12" s="11" t="s">
        <v>116</v>
      </c>
      <c r="D12" s="52" t="s">
        <v>140</v>
      </c>
      <c r="E12" s="53" t="s">
        <v>195</v>
      </c>
      <c r="F12" s="30" t="s">
        <v>124</v>
      </c>
      <c r="G12" s="33">
        <v>1</v>
      </c>
      <c r="H12" s="35">
        <v>24</v>
      </c>
      <c r="I12" s="7">
        <v>500</v>
      </c>
      <c r="J12" s="14">
        <v>2203</v>
      </c>
      <c r="K12" s="15">
        <f>L12</f>
        <v>2203</v>
      </c>
      <c r="L12" s="15">
        <f>2203</f>
        <v>2203</v>
      </c>
      <c r="M12" s="15">
        <f t="shared" ref="M12" si="17">L12-N12</f>
        <v>2203</v>
      </c>
      <c r="N12" s="15">
        <v>0</v>
      </c>
      <c r="O12" s="58">
        <f t="shared" ref="O12" si="18">IF(L12=0,"0",N12/L12)</f>
        <v>0</v>
      </c>
      <c r="P12" s="39">
        <f t="shared" ref="P12" si="19">IF(L12=0,"0",(24-Q12))</f>
        <v>13</v>
      </c>
      <c r="Q12" s="40">
        <f t="shared" ref="Q12" si="20">SUM(R12:AA12)</f>
        <v>11</v>
      </c>
      <c r="R12" s="7"/>
      <c r="S12" s="6"/>
      <c r="T12" s="16">
        <v>11</v>
      </c>
      <c r="U12" s="16"/>
      <c r="V12" s="17"/>
      <c r="W12" s="5"/>
      <c r="X12" s="16"/>
      <c r="Y12" s="16"/>
      <c r="Z12" s="16"/>
      <c r="AA12" s="18"/>
      <c r="AB12" s="8">
        <f t="shared" ref="AB12" si="21">IF(J12=0,"0",(L12/J12))</f>
        <v>1</v>
      </c>
      <c r="AC12" s="9">
        <f t="shared" ref="AC12" si="22">IF(P12=0,"0",(P12/24))</f>
        <v>0.54166666666666663</v>
      </c>
      <c r="AD12" s="10">
        <f t="shared" ref="AD12" si="23">AC12*AB12*(1-O12)</f>
        <v>0.54166666666666663</v>
      </c>
      <c r="AE12" s="36">
        <f t="shared" si="6"/>
        <v>0.59455128205128216</v>
      </c>
      <c r="AF12" s="81">
        <f t="shared" ref="AF12" si="24">A12</f>
        <v>6</v>
      </c>
    </row>
    <row r="13" spans="1:32" ht="27" customHeight="1">
      <c r="A13" s="92">
        <v>7</v>
      </c>
      <c r="B13" s="11" t="s">
        <v>57</v>
      </c>
      <c r="C13" s="34" t="s">
        <v>116</v>
      </c>
      <c r="D13" s="52" t="s">
        <v>115</v>
      </c>
      <c r="E13" s="53" t="s">
        <v>146</v>
      </c>
      <c r="F13" s="30" t="s">
        <v>235</v>
      </c>
      <c r="G13" s="12">
        <v>1</v>
      </c>
      <c r="H13" s="13">
        <v>22</v>
      </c>
      <c r="I13" s="31">
        <f>70000+110000</f>
        <v>180000</v>
      </c>
      <c r="J13" s="5">
        <v>5547</v>
      </c>
      <c r="K13" s="15">
        <f>L13+5056+5299+5142+4725+5285+5308+3502+5153+5075+5268+5338+5267+5184+5110+5267+5309+13944+5077+5113+5283+5335+5351+3987+5016+5288+5339+5296+5335+4973+3958+5035</f>
        <v>171165</v>
      </c>
      <c r="L13" s="15">
        <f>2662+252+2633</f>
        <v>5547</v>
      </c>
      <c r="M13" s="15">
        <f t="shared" si="0"/>
        <v>5547</v>
      </c>
      <c r="N13" s="15">
        <v>0</v>
      </c>
      <c r="O13" s="58">
        <f t="shared" si="1"/>
        <v>0</v>
      </c>
      <c r="P13" s="39">
        <f t="shared" si="2"/>
        <v>24</v>
      </c>
      <c r="Q13" s="40">
        <f t="shared" si="3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1</v>
      </c>
      <c r="AD13" s="10">
        <f t="shared" si="8"/>
        <v>1</v>
      </c>
      <c r="AE13" s="36">
        <f t="shared" si="6"/>
        <v>0.59455128205128216</v>
      </c>
      <c r="AF13" s="81">
        <f t="shared" si="7"/>
        <v>7</v>
      </c>
    </row>
    <row r="14" spans="1:32" ht="27" customHeight="1">
      <c r="A14" s="92">
        <v>8</v>
      </c>
      <c r="B14" s="11" t="s">
        <v>57</v>
      </c>
      <c r="C14" s="11" t="s">
        <v>127</v>
      </c>
      <c r="D14" s="52" t="s">
        <v>158</v>
      </c>
      <c r="E14" s="53" t="s">
        <v>196</v>
      </c>
      <c r="F14" s="30" t="s">
        <v>123</v>
      </c>
      <c r="G14" s="33">
        <v>1</v>
      </c>
      <c r="H14" s="35">
        <v>22</v>
      </c>
      <c r="I14" s="7">
        <v>500</v>
      </c>
      <c r="J14" s="14">
        <v>1100</v>
      </c>
      <c r="K14" s="15">
        <f>L14</f>
        <v>1100</v>
      </c>
      <c r="L14" s="15">
        <v>1100</v>
      </c>
      <c r="M14" s="15">
        <f t="shared" ref="M14" si="25">L14-N14</f>
        <v>1100</v>
      </c>
      <c r="N14" s="15">
        <v>0</v>
      </c>
      <c r="O14" s="58">
        <f t="shared" ref="O14" si="26">IF(L14=0,"0",N14/L14)</f>
        <v>0</v>
      </c>
      <c r="P14" s="39">
        <f t="shared" ref="P14" si="27">IF(L14=0,"0",(24-Q14))</f>
        <v>6</v>
      </c>
      <c r="Q14" s="40">
        <f t="shared" ref="Q14" si="28">SUM(R14:AA14)</f>
        <v>18</v>
      </c>
      <c r="R14" s="7"/>
      <c r="S14" s="6"/>
      <c r="T14" s="16"/>
      <c r="U14" s="16"/>
      <c r="V14" s="17"/>
      <c r="W14" s="5">
        <v>18</v>
      </c>
      <c r="X14" s="16"/>
      <c r="Y14" s="16"/>
      <c r="Z14" s="16"/>
      <c r="AA14" s="18"/>
      <c r="AB14" s="8">
        <f t="shared" ref="AB14" si="29">IF(J14=0,"0",(L14/J14))</f>
        <v>1</v>
      </c>
      <c r="AC14" s="9">
        <f t="shared" ref="AC14" si="30">IF(P14=0,"0",(P14/24))</f>
        <v>0.25</v>
      </c>
      <c r="AD14" s="10">
        <f t="shared" ref="AD14" si="31">AC14*AB14*(1-O14)</f>
        <v>0.25</v>
      </c>
      <c r="AE14" s="36">
        <f t="shared" si="6"/>
        <v>0.59455128205128216</v>
      </c>
      <c r="AF14" s="81">
        <f t="shared" ref="AF14" si="32">A14</f>
        <v>8</v>
      </c>
    </row>
    <row r="15" spans="1:32" ht="27" customHeight="1">
      <c r="A15" s="92">
        <v>8</v>
      </c>
      <c r="B15" s="11" t="s">
        <v>57</v>
      </c>
      <c r="C15" s="11" t="s">
        <v>127</v>
      </c>
      <c r="D15" s="52" t="s">
        <v>158</v>
      </c>
      <c r="E15" s="53" t="s">
        <v>180</v>
      </c>
      <c r="F15" s="30" t="s">
        <v>123</v>
      </c>
      <c r="G15" s="33">
        <v>1</v>
      </c>
      <c r="H15" s="35">
        <v>22</v>
      </c>
      <c r="I15" s="7">
        <v>2500</v>
      </c>
      <c r="J15" s="14">
        <v>846</v>
      </c>
      <c r="K15" s="15">
        <f>L15</f>
        <v>846</v>
      </c>
      <c r="L15" s="15">
        <v>846</v>
      </c>
      <c r="M15" s="15">
        <f t="shared" si="0"/>
        <v>846</v>
      </c>
      <c r="N15" s="15">
        <v>0</v>
      </c>
      <c r="O15" s="58">
        <f t="shared" si="1"/>
        <v>0</v>
      </c>
      <c r="P15" s="39">
        <f t="shared" si="2"/>
        <v>6</v>
      </c>
      <c r="Q15" s="40">
        <f t="shared" si="3"/>
        <v>18</v>
      </c>
      <c r="R15" s="7"/>
      <c r="S15" s="6">
        <v>18</v>
      </c>
      <c r="T15" s="16"/>
      <c r="U15" s="16"/>
      <c r="V15" s="17"/>
      <c r="W15" s="5"/>
      <c r="X15" s="16"/>
      <c r="Y15" s="16"/>
      <c r="Z15" s="16"/>
      <c r="AA15" s="18"/>
      <c r="AB15" s="8">
        <f t="shared" si="4"/>
        <v>1</v>
      </c>
      <c r="AC15" s="9">
        <f t="shared" si="5"/>
        <v>0.25</v>
      </c>
      <c r="AD15" s="10">
        <f t="shared" si="8"/>
        <v>0.25</v>
      </c>
      <c r="AE15" s="36">
        <f t="shared" si="6"/>
        <v>0.59455128205128216</v>
      </c>
      <c r="AF15" s="81">
        <f t="shared" si="7"/>
        <v>8</v>
      </c>
    </row>
    <row r="16" spans="1:32" ht="27" customHeight="1">
      <c r="A16" s="99">
        <v>9</v>
      </c>
      <c r="B16" s="11" t="s">
        <v>57</v>
      </c>
      <c r="C16" s="34" t="s">
        <v>112</v>
      </c>
      <c r="D16" s="52" t="s">
        <v>115</v>
      </c>
      <c r="E16" s="53" t="s">
        <v>165</v>
      </c>
      <c r="F16" s="30" t="s">
        <v>167</v>
      </c>
      <c r="G16" s="33">
        <v>1</v>
      </c>
      <c r="H16" s="35">
        <v>50</v>
      </c>
      <c r="I16" s="7">
        <v>300</v>
      </c>
      <c r="J16" s="5">
        <v>391</v>
      </c>
      <c r="K16" s="15">
        <f>L16</f>
        <v>391</v>
      </c>
      <c r="L16" s="15">
        <v>391</v>
      </c>
      <c r="M16" s="15">
        <f t="shared" si="0"/>
        <v>391</v>
      </c>
      <c r="N16" s="15">
        <v>0</v>
      </c>
      <c r="O16" s="58">
        <f t="shared" si="1"/>
        <v>0</v>
      </c>
      <c r="P16" s="39">
        <f t="shared" si="2"/>
        <v>7</v>
      </c>
      <c r="Q16" s="40">
        <f t="shared" si="3"/>
        <v>17</v>
      </c>
      <c r="R16" s="7"/>
      <c r="S16" s="6">
        <v>17</v>
      </c>
      <c r="T16" s="16"/>
      <c r="U16" s="16"/>
      <c r="V16" s="17"/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0.29166666666666669</v>
      </c>
      <c r="AD16" s="10">
        <f t="shared" si="8"/>
        <v>0.29166666666666669</v>
      </c>
      <c r="AE16" s="36">
        <f t="shared" si="6"/>
        <v>0.59455128205128216</v>
      </c>
      <c r="AF16" s="81">
        <f t="shared" si="7"/>
        <v>9</v>
      </c>
    </row>
    <row r="17" spans="1:32" ht="27" customHeight="1">
      <c r="A17" s="106">
        <v>10</v>
      </c>
      <c r="B17" s="11" t="s">
        <v>57</v>
      </c>
      <c r="C17" s="34" t="s">
        <v>112</v>
      </c>
      <c r="D17" s="52" t="s">
        <v>140</v>
      </c>
      <c r="E17" s="53" t="s">
        <v>163</v>
      </c>
      <c r="F17" s="30" t="s">
        <v>142</v>
      </c>
      <c r="G17" s="12">
        <v>1</v>
      </c>
      <c r="H17" s="13">
        <v>24</v>
      </c>
      <c r="I17" s="31">
        <v>3300</v>
      </c>
      <c r="J17" s="14">
        <v>4832</v>
      </c>
      <c r="K17" s="15">
        <f>L17+4832</f>
        <v>4832</v>
      </c>
      <c r="L17" s="15"/>
      <c r="M17" s="15">
        <f t="shared" si="0"/>
        <v>0</v>
      </c>
      <c r="N17" s="15">
        <v>0</v>
      </c>
      <c r="O17" s="58" t="str">
        <f t="shared" si="1"/>
        <v>0</v>
      </c>
      <c r="P17" s="39" t="str">
        <f t="shared" si="2"/>
        <v>0</v>
      </c>
      <c r="Q17" s="40">
        <f t="shared" si="3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4"/>
        <v>0</v>
      </c>
      <c r="AC17" s="9">
        <f t="shared" si="5"/>
        <v>0</v>
      </c>
      <c r="AD17" s="10">
        <f t="shared" si="8"/>
        <v>0</v>
      </c>
      <c r="AE17" s="36">
        <f t="shared" si="6"/>
        <v>0.59455128205128216</v>
      </c>
      <c r="AF17" s="81">
        <f t="shared" si="7"/>
        <v>10</v>
      </c>
    </row>
    <row r="18" spans="1:32" ht="27" customHeight="1">
      <c r="A18" s="106">
        <v>11</v>
      </c>
      <c r="B18" s="11" t="s">
        <v>57</v>
      </c>
      <c r="C18" s="34" t="s">
        <v>161</v>
      </c>
      <c r="D18" s="52"/>
      <c r="E18" s="53" t="s">
        <v>168</v>
      </c>
      <c r="F18" s="30" t="s">
        <v>145</v>
      </c>
      <c r="G18" s="12">
        <v>2</v>
      </c>
      <c r="H18" s="13">
        <v>24</v>
      </c>
      <c r="I18" s="7">
        <v>73000</v>
      </c>
      <c r="J18" s="14">
        <v>10788</v>
      </c>
      <c r="K18" s="15">
        <f>L18+10730+9070+9850+12188+10512+3676</f>
        <v>66814</v>
      </c>
      <c r="L18" s="15">
        <f>3083*2+2311*2</f>
        <v>10788</v>
      </c>
      <c r="M18" s="15">
        <f t="shared" si="0"/>
        <v>10788</v>
      </c>
      <c r="N18" s="15">
        <v>0</v>
      </c>
      <c r="O18" s="58">
        <f t="shared" si="1"/>
        <v>0</v>
      </c>
      <c r="P18" s="39">
        <f t="shared" si="2"/>
        <v>24</v>
      </c>
      <c r="Q18" s="40">
        <f t="shared" si="3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1</v>
      </c>
      <c r="AD18" s="10">
        <f t="shared" si="8"/>
        <v>1</v>
      </c>
      <c r="AE18" s="36">
        <f t="shared" si="6"/>
        <v>0.59455128205128216</v>
      </c>
      <c r="AF18" s="81">
        <f t="shared" si="7"/>
        <v>11</v>
      </c>
    </row>
    <row r="19" spans="1:32" ht="27" customHeight="1">
      <c r="A19" s="106">
        <v>12</v>
      </c>
      <c r="B19" s="11" t="s">
        <v>57</v>
      </c>
      <c r="C19" s="34" t="s">
        <v>127</v>
      </c>
      <c r="D19" s="52" t="s">
        <v>121</v>
      </c>
      <c r="E19" s="53" t="s">
        <v>181</v>
      </c>
      <c r="F19" s="30" t="s">
        <v>155</v>
      </c>
      <c r="G19" s="12">
        <v>4</v>
      </c>
      <c r="H19" s="13">
        <v>24</v>
      </c>
      <c r="I19" s="7">
        <v>20000</v>
      </c>
      <c r="J19" s="14">
        <v>21252</v>
      </c>
      <c r="K19" s="15">
        <f>L19+9544</f>
        <v>30796</v>
      </c>
      <c r="L19" s="15">
        <f>2561*4+2752*4</f>
        <v>21252</v>
      </c>
      <c r="M19" s="15">
        <f t="shared" si="0"/>
        <v>21252</v>
      </c>
      <c r="N19" s="15">
        <v>0</v>
      </c>
      <c r="O19" s="58">
        <f t="shared" si="1"/>
        <v>0</v>
      </c>
      <c r="P19" s="39">
        <f t="shared" si="2"/>
        <v>24</v>
      </c>
      <c r="Q19" s="40">
        <f t="shared" si="3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1</v>
      </c>
      <c r="AD19" s="10">
        <f t="shared" si="8"/>
        <v>1</v>
      </c>
      <c r="AE19" s="36">
        <f t="shared" si="6"/>
        <v>0.59455128205128216</v>
      </c>
      <c r="AF19" s="81">
        <f t="shared" si="7"/>
        <v>12</v>
      </c>
    </row>
    <row r="20" spans="1:32" ht="27" customHeight="1">
      <c r="A20" s="92">
        <v>13</v>
      </c>
      <c r="B20" s="11" t="s">
        <v>57</v>
      </c>
      <c r="C20" s="34" t="s">
        <v>127</v>
      </c>
      <c r="D20" s="52" t="s">
        <v>115</v>
      </c>
      <c r="E20" s="53" t="s">
        <v>197</v>
      </c>
      <c r="F20" s="30" t="s">
        <v>156</v>
      </c>
      <c r="G20" s="12">
        <v>4</v>
      </c>
      <c r="H20" s="13">
        <v>22</v>
      </c>
      <c r="I20" s="31">
        <v>2000</v>
      </c>
      <c r="J20" s="5">
        <v>3888</v>
      </c>
      <c r="K20" s="15">
        <f>L20</f>
        <v>3888</v>
      </c>
      <c r="L20" s="15">
        <f>972*4</f>
        <v>3888</v>
      </c>
      <c r="M20" s="15">
        <f t="shared" si="0"/>
        <v>3888</v>
      </c>
      <c r="N20" s="15">
        <v>0</v>
      </c>
      <c r="O20" s="58">
        <f t="shared" si="1"/>
        <v>0</v>
      </c>
      <c r="P20" s="39">
        <f t="shared" si="2"/>
        <v>5</v>
      </c>
      <c r="Q20" s="40">
        <f t="shared" si="3"/>
        <v>19</v>
      </c>
      <c r="R20" s="7"/>
      <c r="S20" s="6"/>
      <c r="T20" s="16"/>
      <c r="U20" s="16"/>
      <c r="V20" s="17"/>
      <c r="W20" s="5">
        <v>19</v>
      </c>
      <c r="X20" s="16"/>
      <c r="Y20" s="16"/>
      <c r="Z20" s="16"/>
      <c r="AA20" s="18"/>
      <c r="AB20" s="8">
        <f t="shared" si="4"/>
        <v>1</v>
      </c>
      <c r="AC20" s="9">
        <f t="shared" si="5"/>
        <v>0.20833333333333334</v>
      </c>
      <c r="AD20" s="10">
        <f t="shared" si="8"/>
        <v>0.20833333333333334</v>
      </c>
      <c r="AE20" s="36">
        <f t="shared" si="6"/>
        <v>0.59455128205128216</v>
      </c>
      <c r="AF20" s="81">
        <f t="shared" si="7"/>
        <v>13</v>
      </c>
    </row>
    <row r="21" spans="1:32" ht="27" customHeight="1">
      <c r="A21" s="92">
        <v>13</v>
      </c>
      <c r="B21" s="11" t="s">
        <v>57</v>
      </c>
      <c r="C21" s="34" t="s">
        <v>116</v>
      </c>
      <c r="D21" s="52" t="s">
        <v>115</v>
      </c>
      <c r="E21" s="53" t="s">
        <v>198</v>
      </c>
      <c r="F21" s="30" t="s">
        <v>138</v>
      </c>
      <c r="G21" s="12">
        <v>2</v>
      </c>
      <c r="H21" s="13">
        <v>22</v>
      </c>
      <c r="I21" s="31">
        <v>90000</v>
      </c>
      <c r="J21" s="5">
        <v>9112</v>
      </c>
      <c r="K21" s="15">
        <f>L21</f>
        <v>9112</v>
      </c>
      <c r="L21" s="15">
        <f>1465*2+3091*2</f>
        <v>9112</v>
      </c>
      <c r="M21" s="15">
        <f t="shared" ref="M21" si="33">L21-N21</f>
        <v>9112</v>
      </c>
      <c r="N21" s="15">
        <v>0</v>
      </c>
      <c r="O21" s="58">
        <f t="shared" ref="O21" si="34">IF(L21=0,"0",N21/L21)</f>
        <v>0</v>
      </c>
      <c r="P21" s="39">
        <f t="shared" ref="P21" si="35">IF(L21=0,"0",(24-Q21))</f>
        <v>17</v>
      </c>
      <c r="Q21" s="40">
        <f t="shared" ref="Q21" si="36">SUM(R21:AA21)</f>
        <v>7</v>
      </c>
      <c r="R21" s="7"/>
      <c r="S21" s="6"/>
      <c r="T21" s="16">
        <v>7</v>
      </c>
      <c r="U21" s="16"/>
      <c r="V21" s="17"/>
      <c r="W21" s="5"/>
      <c r="X21" s="16"/>
      <c r="Y21" s="16"/>
      <c r="Z21" s="16"/>
      <c r="AA21" s="18"/>
      <c r="AB21" s="8">
        <f t="shared" ref="AB21" si="37">IF(J21=0,"0",(L21/J21))</f>
        <v>1</v>
      </c>
      <c r="AC21" s="9">
        <f t="shared" ref="AC21" si="38">IF(P21=0,"0",(P21/24))</f>
        <v>0.70833333333333337</v>
      </c>
      <c r="AD21" s="10">
        <f t="shared" ref="AD21" si="39">AC21*AB21*(1-O21)</f>
        <v>0.70833333333333337</v>
      </c>
      <c r="AE21" s="36">
        <f t="shared" si="6"/>
        <v>0.59455128205128216</v>
      </c>
      <c r="AF21" s="81">
        <f t="shared" ref="AF21" si="40">A21</f>
        <v>13</v>
      </c>
    </row>
    <row r="22" spans="1:32" ht="27" customHeight="1">
      <c r="A22" s="92">
        <v>14</v>
      </c>
      <c r="B22" s="11" t="s">
        <v>57</v>
      </c>
      <c r="C22" s="11" t="s">
        <v>127</v>
      </c>
      <c r="D22" s="52" t="s">
        <v>115</v>
      </c>
      <c r="E22" s="53" t="s">
        <v>169</v>
      </c>
      <c r="F22" s="30" t="s">
        <v>156</v>
      </c>
      <c r="G22" s="33">
        <v>2</v>
      </c>
      <c r="H22" s="35">
        <v>24</v>
      </c>
      <c r="I22" s="7">
        <v>32000</v>
      </c>
      <c r="J22" s="14">
        <v>3176</v>
      </c>
      <c r="K22" s="15">
        <f>L22+7323+6344+4210+6874+6859</f>
        <v>34786</v>
      </c>
      <c r="L22" s="15">
        <f>2886+290</f>
        <v>3176</v>
      </c>
      <c r="M22" s="15">
        <f t="shared" si="0"/>
        <v>3176</v>
      </c>
      <c r="N22" s="15">
        <v>0</v>
      </c>
      <c r="O22" s="58">
        <f t="shared" si="1"/>
        <v>0</v>
      </c>
      <c r="P22" s="39">
        <f t="shared" si="2"/>
        <v>16</v>
      </c>
      <c r="Q22" s="40">
        <f t="shared" si="3"/>
        <v>8</v>
      </c>
      <c r="R22" s="7"/>
      <c r="S22" s="6">
        <v>8</v>
      </c>
      <c r="T22" s="16"/>
      <c r="U22" s="16"/>
      <c r="V22" s="17"/>
      <c r="W22" s="5"/>
      <c r="X22" s="16"/>
      <c r="Y22" s="16"/>
      <c r="Z22" s="16"/>
      <c r="AA22" s="18"/>
      <c r="AB22" s="8">
        <f t="shared" si="4"/>
        <v>1</v>
      </c>
      <c r="AC22" s="9">
        <f t="shared" si="5"/>
        <v>0.66666666666666663</v>
      </c>
      <c r="AD22" s="10">
        <f t="shared" si="8"/>
        <v>0.66666666666666663</v>
      </c>
      <c r="AE22" s="36">
        <f t="shared" si="6"/>
        <v>0.59455128205128216</v>
      </c>
      <c r="AF22" s="81">
        <f t="shared" si="7"/>
        <v>14</v>
      </c>
    </row>
    <row r="23" spans="1:32" ht="27" customHeight="1">
      <c r="A23" s="106">
        <v>15</v>
      </c>
      <c r="B23" s="11" t="s">
        <v>57</v>
      </c>
      <c r="C23" s="11" t="s">
        <v>112</v>
      </c>
      <c r="D23" s="52" t="s">
        <v>115</v>
      </c>
      <c r="E23" s="53" t="s">
        <v>148</v>
      </c>
      <c r="F23" s="30" t="s">
        <v>138</v>
      </c>
      <c r="G23" s="33">
        <v>2</v>
      </c>
      <c r="H23" s="35">
        <v>24</v>
      </c>
      <c r="I23" s="7">
        <v>190000</v>
      </c>
      <c r="J23" s="14">
        <v>10988</v>
      </c>
      <c r="K23" s="15">
        <f>L23+2429+7472+8688+7444+11036</f>
        <v>48057</v>
      </c>
      <c r="L23" s="15">
        <f>2768*2+2726*2</f>
        <v>10988</v>
      </c>
      <c r="M23" s="15">
        <f t="shared" si="0"/>
        <v>10988</v>
      </c>
      <c r="N23" s="15">
        <v>0</v>
      </c>
      <c r="O23" s="58">
        <f t="shared" si="1"/>
        <v>0</v>
      </c>
      <c r="P23" s="39">
        <f t="shared" si="2"/>
        <v>24</v>
      </c>
      <c r="Q23" s="40">
        <f t="shared" si="3"/>
        <v>0</v>
      </c>
      <c r="R23" s="7"/>
      <c r="S23" s="6"/>
      <c r="T23" s="16"/>
      <c r="U23" s="16"/>
      <c r="V23" s="17"/>
      <c r="W23" s="5"/>
      <c r="X23" s="16"/>
      <c r="Y23" s="16"/>
      <c r="Z23" s="16"/>
      <c r="AA23" s="18"/>
      <c r="AB23" s="8">
        <f t="shared" si="4"/>
        <v>1</v>
      </c>
      <c r="AC23" s="9">
        <f t="shared" si="5"/>
        <v>1</v>
      </c>
      <c r="AD23" s="10">
        <f t="shared" si="8"/>
        <v>1</v>
      </c>
      <c r="AE23" s="36">
        <f t="shared" si="6"/>
        <v>0.59455128205128216</v>
      </c>
      <c r="AF23" s="81">
        <f t="shared" si="7"/>
        <v>15</v>
      </c>
    </row>
    <row r="24" spans="1:32" ht="26.25" customHeight="1">
      <c r="A24" s="92">
        <v>16</v>
      </c>
      <c r="B24" s="11" t="s">
        <v>57</v>
      </c>
      <c r="C24" s="11" t="s">
        <v>113</v>
      </c>
      <c r="D24" s="52"/>
      <c r="E24" s="53" t="s">
        <v>182</v>
      </c>
      <c r="F24" s="12" t="s">
        <v>114</v>
      </c>
      <c r="G24" s="12">
        <v>4</v>
      </c>
      <c r="H24" s="35">
        <v>20</v>
      </c>
      <c r="I24" s="7">
        <v>2000000</v>
      </c>
      <c r="J24" s="14">
        <v>27376</v>
      </c>
      <c r="K24" s="15">
        <f>L24+34748+57176+64908+60896+57820+63964+64184+45828+40364+44068+59984+36728</f>
        <v>658044</v>
      </c>
      <c r="L24" s="15">
        <f>6844*4</f>
        <v>27376</v>
      </c>
      <c r="M24" s="15">
        <f t="shared" si="0"/>
        <v>27376</v>
      </c>
      <c r="N24" s="15">
        <v>0</v>
      </c>
      <c r="O24" s="58">
        <f t="shared" si="1"/>
        <v>0</v>
      </c>
      <c r="P24" s="39">
        <f t="shared" si="2"/>
        <v>8</v>
      </c>
      <c r="Q24" s="40">
        <f t="shared" si="3"/>
        <v>16</v>
      </c>
      <c r="R24" s="7"/>
      <c r="S24" s="6"/>
      <c r="T24" s="16"/>
      <c r="U24" s="16"/>
      <c r="V24" s="17"/>
      <c r="W24" s="5">
        <v>16</v>
      </c>
      <c r="X24" s="16"/>
      <c r="Y24" s="16"/>
      <c r="Z24" s="16"/>
      <c r="AA24" s="18"/>
      <c r="AB24" s="8">
        <f t="shared" si="4"/>
        <v>1</v>
      </c>
      <c r="AC24" s="9">
        <f t="shared" si="5"/>
        <v>0.33333333333333331</v>
      </c>
      <c r="AD24" s="10">
        <f t="shared" si="8"/>
        <v>0.33333333333333331</v>
      </c>
      <c r="AE24" s="36">
        <f t="shared" si="6"/>
        <v>0.59455128205128216</v>
      </c>
      <c r="AF24" s="81">
        <f t="shared" si="7"/>
        <v>16</v>
      </c>
    </row>
    <row r="25" spans="1:32" ht="26.25" customHeight="1">
      <c r="A25" s="92">
        <v>16</v>
      </c>
      <c r="B25" s="11" t="s">
        <v>57</v>
      </c>
      <c r="C25" s="11" t="s">
        <v>113</v>
      </c>
      <c r="D25" s="52"/>
      <c r="E25" s="53" t="s">
        <v>160</v>
      </c>
      <c r="F25" s="12" t="s">
        <v>114</v>
      </c>
      <c r="G25" s="12">
        <v>4</v>
      </c>
      <c r="H25" s="35">
        <v>20</v>
      </c>
      <c r="I25" s="7">
        <v>2000000</v>
      </c>
      <c r="J25" s="14">
        <v>29876</v>
      </c>
      <c r="K25" s="15">
        <f>L25</f>
        <v>29876</v>
      </c>
      <c r="L25" s="15">
        <f>7469*4</f>
        <v>29876</v>
      </c>
      <c r="M25" s="15">
        <f t="shared" ref="M25" si="41">L25-N25</f>
        <v>29876</v>
      </c>
      <c r="N25" s="15">
        <v>0</v>
      </c>
      <c r="O25" s="58">
        <f t="shared" ref="O25" si="42">IF(L25=0,"0",N25/L25)</f>
        <v>0</v>
      </c>
      <c r="P25" s="39">
        <f t="shared" ref="P25" si="43">IF(L25=0,"0",(24-Q25))</f>
        <v>14</v>
      </c>
      <c r="Q25" s="40">
        <f t="shared" ref="Q25" si="44">SUM(R25:AA25)</f>
        <v>10</v>
      </c>
      <c r="R25" s="7"/>
      <c r="S25" s="6">
        <v>10</v>
      </c>
      <c r="T25" s="16"/>
      <c r="U25" s="16"/>
      <c r="V25" s="17"/>
      <c r="W25" s="5"/>
      <c r="X25" s="16"/>
      <c r="Y25" s="16"/>
      <c r="Z25" s="16"/>
      <c r="AA25" s="18"/>
      <c r="AB25" s="8">
        <f t="shared" ref="AB25" si="45">IF(J25=0,"0",(L25/J25))</f>
        <v>1</v>
      </c>
      <c r="AC25" s="9">
        <f t="shared" ref="AC25" si="46">IF(P25=0,"0",(P25/24))</f>
        <v>0.58333333333333337</v>
      </c>
      <c r="AD25" s="10">
        <f t="shared" ref="AD25" si="47">AC25*AB25*(1-O25)</f>
        <v>0.58333333333333337</v>
      </c>
      <c r="AE25" s="36">
        <f t="shared" si="6"/>
        <v>0.59455128205128216</v>
      </c>
      <c r="AF25" s="81">
        <f t="shared" ref="AF25" si="48">A25</f>
        <v>16</v>
      </c>
    </row>
    <row r="26" spans="1:32" ht="21.75" customHeight="1">
      <c r="A26" s="92">
        <v>31</v>
      </c>
      <c r="B26" s="11" t="s">
        <v>57</v>
      </c>
      <c r="C26" s="11" t="s">
        <v>191</v>
      </c>
      <c r="D26" s="52"/>
      <c r="E26" s="53" t="s">
        <v>192</v>
      </c>
      <c r="F26" s="12" t="s">
        <v>193</v>
      </c>
      <c r="G26" s="12">
        <v>30</v>
      </c>
      <c r="H26" s="35">
        <v>20</v>
      </c>
      <c r="I26" s="7">
        <v>2000000</v>
      </c>
      <c r="J26" s="14">
        <v>353460</v>
      </c>
      <c r="K26" s="15">
        <f t="shared" ref="K26:K27" si="49">L26</f>
        <v>353460</v>
      </c>
      <c r="L26" s="15">
        <f>11782*30</f>
        <v>353460</v>
      </c>
      <c r="M26" s="15">
        <f t="shared" si="0"/>
        <v>353460</v>
      </c>
      <c r="N26" s="15">
        <v>0</v>
      </c>
      <c r="O26" s="58">
        <f t="shared" si="1"/>
        <v>0</v>
      </c>
      <c r="P26" s="39">
        <f t="shared" si="2"/>
        <v>17</v>
      </c>
      <c r="Q26" s="40">
        <f t="shared" si="3"/>
        <v>7</v>
      </c>
      <c r="R26" s="7"/>
      <c r="S26" s="6">
        <v>7</v>
      </c>
      <c r="T26" s="16"/>
      <c r="U26" s="16"/>
      <c r="V26" s="17"/>
      <c r="W26" s="5"/>
      <c r="X26" s="16"/>
      <c r="Y26" s="16"/>
      <c r="Z26" s="16"/>
      <c r="AA26" s="18"/>
      <c r="AB26" s="8">
        <f t="shared" si="4"/>
        <v>1</v>
      </c>
      <c r="AC26" s="9">
        <f t="shared" si="5"/>
        <v>0.70833333333333337</v>
      </c>
      <c r="AD26" s="10">
        <f t="shared" si="8"/>
        <v>0.70833333333333337</v>
      </c>
      <c r="AE26" s="36">
        <f t="shared" si="6"/>
        <v>0.59455128205128216</v>
      </c>
      <c r="AF26" s="81">
        <f t="shared" si="7"/>
        <v>31</v>
      </c>
    </row>
    <row r="27" spans="1:32" ht="21.75" customHeight="1">
      <c r="A27" s="92">
        <v>32</v>
      </c>
      <c r="B27" s="11" t="s">
        <v>57</v>
      </c>
      <c r="C27" s="11"/>
      <c r="D27" s="52"/>
      <c r="E27" s="53"/>
      <c r="F27" s="12"/>
      <c r="G27" s="12"/>
      <c r="H27" s="35">
        <v>20</v>
      </c>
      <c r="I27" s="7"/>
      <c r="J27" s="14">
        <v>0</v>
      </c>
      <c r="K27" s="15">
        <f t="shared" si="49"/>
        <v>0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24</v>
      </c>
      <c r="R27" s="7"/>
      <c r="S27" s="6"/>
      <c r="T27" s="16"/>
      <c r="U27" s="16"/>
      <c r="V27" s="17"/>
      <c r="W27" s="5">
        <v>24</v>
      </c>
      <c r="X27" s="16"/>
      <c r="Y27" s="16"/>
      <c r="Z27" s="16"/>
      <c r="AA27" s="18"/>
      <c r="AB27" s="8" t="str">
        <f t="shared" si="4"/>
        <v>0</v>
      </c>
      <c r="AC27" s="9">
        <f t="shared" si="5"/>
        <v>0</v>
      </c>
      <c r="AD27" s="10">
        <f t="shared" si="8"/>
        <v>0</v>
      </c>
      <c r="AE27" s="36">
        <f t="shared" si="6"/>
        <v>0.59455128205128216</v>
      </c>
      <c r="AF27" s="81">
        <f t="shared" si="7"/>
        <v>32</v>
      </c>
    </row>
    <row r="28" spans="1:32" ht="21.75" customHeight="1">
      <c r="A28" s="92">
        <v>33</v>
      </c>
      <c r="B28" s="11" t="s">
        <v>57</v>
      </c>
      <c r="C28" s="11" t="s">
        <v>116</v>
      </c>
      <c r="D28" s="52" t="s">
        <v>147</v>
      </c>
      <c r="E28" s="53" t="s">
        <v>183</v>
      </c>
      <c r="F28" s="12" t="s">
        <v>124</v>
      </c>
      <c r="G28" s="12">
        <v>4</v>
      </c>
      <c r="H28" s="35">
        <v>20</v>
      </c>
      <c r="I28" s="7">
        <v>36000</v>
      </c>
      <c r="J28" s="14">
        <v>29324</v>
      </c>
      <c r="K28" s="15">
        <f>L28+20368</f>
        <v>49692</v>
      </c>
      <c r="L28" s="15">
        <f>4250*4+3081*4</f>
        <v>29324</v>
      </c>
      <c r="M28" s="15">
        <f t="shared" si="0"/>
        <v>29324</v>
      </c>
      <c r="N28" s="15">
        <v>0</v>
      </c>
      <c r="O28" s="58">
        <f t="shared" si="1"/>
        <v>0</v>
      </c>
      <c r="P28" s="39">
        <f t="shared" si="2"/>
        <v>24</v>
      </c>
      <c r="Q28" s="40">
        <f t="shared" si="3"/>
        <v>0</v>
      </c>
      <c r="R28" s="7"/>
      <c r="S28" s="6"/>
      <c r="T28" s="16"/>
      <c r="U28" s="16"/>
      <c r="V28" s="114"/>
      <c r="W28" s="5"/>
      <c r="X28" s="16"/>
      <c r="Y28" s="16"/>
      <c r="Z28" s="16"/>
      <c r="AA28" s="18"/>
      <c r="AB28" s="8">
        <f t="shared" si="4"/>
        <v>1</v>
      </c>
      <c r="AC28" s="9">
        <f t="shared" si="5"/>
        <v>1</v>
      </c>
      <c r="AD28" s="10">
        <f t="shared" si="8"/>
        <v>1</v>
      </c>
      <c r="AE28" s="36">
        <f t="shared" si="6"/>
        <v>0.59455128205128216</v>
      </c>
      <c r="AF28" s="81">
        <f t="shared" si="7"/>
        <v>33</v>
      </c>
    </row>
    <row r="29" spans="1:32" ht="21.75" customHeight="1">
      <c r="A29" s="92">
        <v>34</v>
      </c>
      <c r="B29" s="11" t="s">
        <v>57</v>
      </c>
      <c r="C29" s="11" t="s">
        <v>116</v>
      </c>
      <c r="D29" s="52" t="s">
        <v>129</v>
      </c>
      <c r="E29" s="53" t="s">
        <v>172</v>
      </c>
      <c r="F29" s="12" t="s">
        <v>125</v>
      </c>
      <c r="G29" s="12">
        <v>4</v>
      </c>
      <c r="H29" s="35">
        <v>20</v>
      </c>
      <c r="I29" s="7">
        <v>36000</v>
      </c>
      <c r="J29" s="14">
        <v>28600</v>
      </c>
      <c r="K29" s="15">
        <f>L29+13760+25860+25496</f>
        <v>93716</v>
      </c>
      <c r="L29" s="15">
        <f>4148*4+3002*4</f>
        <v>28600</v>
      </c>
      <c r="M29" s="15">
        <f t="shared" si="0"/>
        <v>28600</v>
      </c>
      <c r="N29" s="15">
        <v>0</v>
      </c>
      <c r="O29" s="58">
        <f t="shared" si="1"/>
        <v>0</v>
      </c>
      <c r="P29" s="39">
        <f t="shared" si="2"/>
        <v>24</v>
      </c>
      <c r="Q29" s="40">
        <f t="shared" si="3"/>
        <v>0</v>
      </c>
      <c r="R29" s="7"/>
      <c r="S29" s="6"/>
      <c r="T29" s="16"/>
      <c r="U29" s="16"/>
      <c r="V29" s="114"/>
      <c r="W29" s="5"/>
      <c r="X29" s="16"/>
      <c r="Y29" s="16"/>
      <c r="Z29" s="16"/>
      <c r="AA29" s="18"/>
      <c r="AB29" s="8">
        <f t="shared" si="4"/>
        <v>1</v>
      </c>
      <c r="AC29" s="9">
        <f t="shared" si="5"/>
        <v>1</v>
      </c>
      <c r="AD29" s="10">
        <f t="shared" si="8"/>
        <v>1</v>
      </c>
      <c r="AE29" s="36">
        <f t="shared" si="6"/>
        <v>0.59455128205128216</v>
      </c>
      <c r="AF29" s="81">
        <f t="shared" si="7"/>
        <v>34</v>
      </c>
    </row>
    <row r="30" spans="1:32" ht="21.75" customHeight="1">
      <c r="A30" s="92">
        <v>35</v>
      </c>
      <c r="B30" s="11" t="s">
        <v>57</v>
      </c>
      <c r="C30" s="11" t="s">
        <v>116</v>
      </c>
      <c r="D30" s="52" t="s">
        <v>121</v>
      </c>
      <c r="E30" s="53" t="s">
        <v>126</v>
      </c>
      <c r="F30" s="12" t="s">
        <v>125</v>
      </c>
      <c r="G30" s="12">
        <v>4</v>
      </c>
      <c r="H30" s="35">
        <v>20</v>
      </c>
      <c r="I30" s="7">
        <v>36000</v>
      </c>
      <c r="J30" s="14">
        <v>26944</v>
      </c>
      <c r="K30" s="15">
        <f>L30+24592+26944+21716</f>
        <v>73252</v>
      </c>
      <c r="L30" s="15"/>
      <c r="M30" s="15">
        <f t="shared" si="0"/>
        <v>0</v>
      </c>
      <c r="N30" s="15">
        <v>0</v>
      </c>
      <c r="O30" s="58" t="str">
        <f t="shared" si="1"/>
        <v>0</v>
      </c>
      <c r="P30" s="39" t="str">
        <f t="shared" si="2"/>
        <v>0</v>
      </c>
      <c r="Q30" s="40">
        <f t="shared" si="3"/>
        <v>24</v>
      </c>
      <c r="R30" s="7"/>
      <c r="S30" s="6"/>
      <c r="T30" s="16"/>
      <c r="U30" s="16"/>
      <c r="V30" s="114"/>
      <c r="W30" s="5">
        <v>24</v>
      </c>
      <c r="X30" s="16"/>
      <c r="Y30" s="16"/>
      <c r="Z30" s="16"/>
      <c r="AA30" s="18"/>
      <c r="AB30" s="8">
        <f t="shared" si="4"/>
        <v>0</v>
      </c>
      <c r="AC30" s="9">
        <f t="shared" si="5"/>
        <v>0</v>
      </c>
      <c r="AD30" s="10">
        <f t="shared" si="8"/>
        <v>0</v>
      </c>
      <c r="AE30" s="36">
        <f t="shared" si="6"/>
        <v>0.59455128205128216</v>
      </c>
      <c r="AF30" s="81">
        <f t="shared" si="7"/>
        <v>35</v>
      </c>
    </row>
    <row r="31" spans="1:32" ht="21.75" customHeight="1" thickBot="1">
      <c r="A31" s="92">
        <v>36</v>
      </c>
      <c r="B31" s="11" t="s">
        <v>57</v>
      </c>
      <c r="C31" s="11" t="s">
        <v>116</v>
      </c>
      <c r="D31" s="52" t="s">
        <v>115</v>
      </c>
      <c r="E31" s="53" t="s">
        <v>174</v>
      </c>
      <c r="F31" s="12" t="s">
        <v>138</v>
      </c>
      <c r="G31" s="12">
        <v>3</v>
      </c>
      <c r="H31" s="35">
        <v>20</v>
      </c>
      <c r="I31" s="7">
        <v>36000</v>
      </c>
      <c r="J31" s="14">
        <v>19566</v>
      </c>
      <c r="K31" s="15">
        <f>L31+20295</f>
        <v>39861</v>
      </c>
      <c r="L31" s="15">
        <f>2735*3+3787*3</f>
        <v>19566</v>
      </c>
      <c r="M31" s="15">
        <f t="shared" si="0"/>
        <v>19566</v>
      </c>
      <c r="N31" s="15">
        <v>0</v>
      </c>
      <c r="O31" s="58">
        <f t="shared" si="1"/>
        <v>0</v>
      </c>
      <c r="P31" s="39">
        <f t="shared" si="2"/>
        <v>21</v>
      </c>
      <c r="Q31" s="40">
        <f t="shared" si="3"/>
        <v>3</v>
      </c>
      <c r="R31" s="7"/>
      <c r="S31" s="6">
        <v>3</v>
      </c>
      <c r="T31" s="16"/>
      <c r="U31" s="16"/>
      <c r="V31" s="114"/>
      <c r="W31" s="5"/>
      <c r="X31" s="16"/>
      <c r="Y31" s="16"/>
      <c r="Z31" s="16"/>
      <c r="AA31" s="18"/>
      <c r="AB31" s="8">
        <f t="shared" si="4"/>
        <v>1</v>
      </c>
      <c r="AC31" s="9">
        <f t="shared" si="5"/>
        <v>0.875</v>
      </c>
      <c r="AD31" s="10">
        <f t="shared" si="8"/>
        <v>0.875</v>
      </c>
      <c r="AE31" s="36">
        <f t="shared" si="6"/>
        <v>0.59455128205128216</v>
      </c>
      <c r="AF31" s="81">
        <f t="shared" si="7"/>
        <v>36</v>
      </c>
    </row>
    <row r="32" spans="1:32" ht="19.5" thickBot="1">
      <c r="A32" s="435" t="s">
        <v>34</v>
      </c>
      <c r="B32" s="436"/>
      <c r="C32" s="436"/>
      <c r="D32" s="436"/>
      <c r="E32" s="436"/>
      <c r="F32" s="436"/>
      <c r="G32" s="436"/>
      <c r="H32" s="437"/>
      <c r="I32" s="22">
        <f t="shared" ref="I32:N32" si="50">SUM(I6:I31)</f>
        <v>7071600</v>
      </c>
      <c r="J32" s="19">
        <f t="shared" si="50"/>
        <v>633052</v>
      </c>
      <c r="K32" s="20">
        <f t="shared" si="50"/>
        <v>1812186</v>
      </c>
      <c r="L32" s="21">
        <f t="shared" si="50"/>
        <v>598505</v>
      </c>
      <c r="M32" s="20">
        <f t="shared" si="50"/>
        <v>598505</v>
      </c>
      <c r="N32" s="21">
        <f t="shared" si="50"/>
        <v>0</v>
      </c>
      <c r="O32" s="41">
        <f t="shared" si="1"/>
        <v>0</v>
      </c>
      <c r="P32" s="42">
        <f t="shared" ref="P32:AA32" si="51">SUM(P6:P31)</f>
        <v>371</v>
      </c>
      <c r="Q32" s="43">
        <f t="shared" si="51"/>
        <v>253</v>
      </c>
      <c r="R32" s="23">
        <f t="shared" si="51"/>
        <v>0</v>
      </c>
      <c r="S32" s="24">
        <f t="shared" si="51"/>
        <v>70</v>
      </c>
      <c r="T32" s="24">
        <f t="shared" si="51"/>
        <v>18</v>
      </c>
      <c r="U32" s="24">
        <f t="shared" si="51"/>
        <v>0</v>
      </c>
      <c r="V32" s="25">
        <f t="shared" si="51"/>
        <v>0</v>
      </c>
      <c r="W32" s="26">
        <f t="shared" si="51"/>
        <v>165</v>
      </c>
      <c r="X32" s="27">
        <f t="shared" si="51"/>
        <v>0</v>
      </c>
      <c r="Y32" s="27">
        <f t="shared" si="51"/>
        <v>0</v>
      </c>
      <c r="Z32" s="27">
        <f t="shared" si="51"/>
        <v>0</v>
      </c>
      <c r="AA32" s="27">
        <f t="shared" si="51"/>
        <v>0</v>
      </c>
      <c r="AB32" s="28">
        <f>AVERAGE(AB6:AB31)</f>
        <v>0.88</v>
      </c>
      <c r="AC32" s="4">
        <f>AVERAGE(AC6:AC31)</f>
        <v>0.59455128205128216</v>
      </c>
      <c r="AD32" s="4">
        <f>AVERAGE(AD6:AD31)</f>
        <v>0.59455128205128216</v>
      </c>
      <c r="AE32" s="29"/>
    </row>
    <row r="33" spans="1:32">
      <c r="T33" s="50" t="s">
        <v>130</v>
      </c>
    </row>
    <row r="34" spans="1:32" ht="18.75">
      <c r="A34" s="2"/>
      <c r="B34" s="2" t="s">
        <v>35</v>
      </c>
      <c r="C34" s="2"/>
      <c r="D34" s="2"/>
      <c r="E34" s="2"/>
      <c r="F34" s="2"/>
      <c r="G34" s="2"/>
      <c r="H34" s="3"/>
      <c r="I34" s="3"/>
      <c r="J34" s="2"/>
      <c r="K34" s="2"/>
      <c r="L34" s="2"/>
      <c r="M34" s="2"/>
      <c r="N34" s="2" t="s">
        <v>36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1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2">
      <c r="A40" s="49"/>
      <c r="B40" s="49" t="s">
        <v>131</v>
      </c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</row>
    <row r="41" spans="1:32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</row>
    <row r="42" spans="1:3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</row>
    <row r="43" spans="1:32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82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14.2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F45" s="50"/>
    </row>
    <row r="46" spans="1:32" ht="14.2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7">
      <c r="A49" s="59"/>
      <c r="B49" s="59"/>
      <c r="C49" s="59"/>
      <c r="D49" s="59"/>
      <c r="E49" s="59"/>
      <c r="F49" s="37"/>
      <c r="G49" s="37"/>
      <c r="H49" s="38"/>
      <c r="I49" s="38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F49" s="50"/>
    </row>
    <row r="50" spans="1:32" ht="29.25" customHeight="1">
      <c r="A50" s="60"/>
      <c r="B50" s="60"/>
      <c r="C50" s="61"/>
      <c r="D50" s="61"/>
      <c r="E50" s="61"/>
      <c r="F50" s="60"/>
      <c r="G50" s="60"/>
      <c r="H50" s="60"/>
      <c r="I50" s="60"/>
      <c r="J50" s="60"/>
      <c r="K50" s="60"/>
      <c r="L50" s="60"/>
      <c r="M50" s="61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29.25" customHeight="1">
      <c r="A54" s="60"/>
      <c r="B54" s="60"/>
      <c r="C54" s="62"/>
      <c r="D54" s="61"/>
      <c r="E54" s="61"/>
      <c r="F54" s="60"/>
      <c r="G54" s="60"/>
      <c r="H54" s="60"/>
      <c r="I54" s="60"/>
      <c r="J54" s="60"/>
      <c r="K54" s="60"/>
      <c r="L54" s="60"/>
      <c r="M54" s="62"/>
      <c r="N54" s="60"/>
      <c r="O54" s="60"/>
      <c r="P54" s="63"/>
      <c r="Q54" s="63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0"/>
      <c r="AC54" s="60"/>
      <c r="AD54" s="60"/>
      <c r="AF54" s="50"/>
    </row>
    <row r="55" spans="1:32" ht="29.25" customHeight="1">
      <c r="A55" s="60"/>
      <c r="B55" s="60"/>
      <c r="C55" s="62"/>
      <c r="D55" s="61"/>
      <c r="E55" s="61"/>
      <c r="F55" s="60"/>
      <c r="G55" s="60"/>
      <c r="H55" s="60"/>
      <c r="I55" s="60"/>
      <c r="J55" s="60"/>
      <c r="K55" s="60"/>
      <c r="L55" s="60"/>
      <c r="M55" s="62"/>
      <c r="N55" s="60"/>
      <c r="O55" s="60"/>
      <c r="P55" s="63"/>
      <c r="Q55" s="63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0"/>
      <c r="AC55" s="60"/>
      <c r="AD55" s="60"/>
      <c r="AF55" s="50"/>
    </row>
    <row r="56" spans="1:32" ht="29.25" customHeight="1">
      <c r="A56" s="60"/>
      <c r="B56" s="60"/>
      <c r="C56" s="62"/>
      <c r="D56" s="61"/>
      <c r="E56" s="61"/>
      <c r="F56" s="60"/>
      <c r="G56" s="60"/>
      <c r="H56" s="60"/>
      <c r="I56" s="60"/>
      <c r="J56" s="60"/>
      <c r="K56" s="60"/>
      <c r="L56" s="60"/>
      <c r="M56" s="62"/>
      <c r="N56" s="60"/>
      <c r="O56" s="60"/>
      <c r="P56" s="63"/>
      <c r="Q56" s="63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0"/>
      <c r="AC56" s="60"/>
      <c r="AD56" s="60"/>
      <c r="AF56" s="50"/>
    </row>
    <row r="57" spans="1:32" ht="29.25" customHeight="1">
      <c r="A57" s="60"/>
      <c r="B57" s="60"/>
      <c r="C57" s="62"/>
      <c r="D57" s="61"/>
      <c r="E57" s="61"/>
      <c r="F57" s="60"/>
      <c r="G57" s="60"/>
      <c r="H57" s="60"/>
      <c r="I57" s="60"/>
      <c r="J57" s="60"/>
      <c r="K57" s="60"/>
      <c r="L57" s="60"/>
      <c r="M57" s="62"/>
      <c r="N57" s="60"/>
      <c r="O57" s="60"/>
      <c r="P57" s="63"/>
      <c r="Q57" s="63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0"/>
      <c r="AC57" s="60"/>
      <c r="AD57" s="60"/>
      <c r="AF57" s="50"/>
    </row>
    <row r="58" spans="1:32" ht="14.25" customHeight="1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F58" s="50"/>
    </row>
    <row r="59" spans="1:32" ht="36" thickBot="1">
      <c r="A59" s="438" t="s">
        <v>45</v>
      </c>
      <c r="B59" s="438"/>
      <c r="C59" s="438"/>
      <c r="D59" s="438"/>
      <c r="E59" s="438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F59" s="50"/>
    </row>
    <row r="60" spans="1:32" ht="26.25" thickBot="1">
      <c r="A60" s="439" t="s">
        <v>199</v>
      </c>
      <c r="B60" s="440"/>
      <c r="C60" s="440"/>
      <c r="D60" s="440"/>
      <c r="E60" s="440"/>
      <c r="F60" s="440"/>
      <c r="G60" s="440"/>
      <c r="H60" s="440"/>
      <c r="I60" s="440"/>
      <c r="J60" s="440"/>
      <c r="K60" s="440"/>
      <c r="L60" s="440"/>
      <c r="M60" s="441"/>
      <c r="N60" s="442" t="s">
        <v>205</v>
      </c>
      <c r="O60" s="443"/>
      <c r="P60" s="443"/>
      <c r="Q60" s="443"/>
      <c r="R60" s="443"/>
      <c r="S60" s="443"/>
      <c r="T60" s="443"/>
      <c r="U60" s="443"/>
      <c r="V60" s="443"/>
      <c r="W60" s="443"/>
      <c r="X60" s="443"/>
      <c r="Y60" s="443"/>
      <c r="Z60" s="443"/>
      <c r="AA60" s="443"/>
      <c r="AB60" s="443"/>
      <c r="AC60" s="443"/>
      <c r="AD60" s="444"/>
    </row>
    <row r="61" spans="1:32" ht="27" customHeight="1">
      <c r="A61" s="445" t="s">
        <v>2</v>
      </c>
      <c r="B61" s="446"/>
      <c r="C61" s="116" t="s">
        <v>46</v>
      </c>
      <c r="D61" s="116" t="s">
        <v>47</v>
      </c>
      <c r="E61" s="116" t="s">
        <v>107</v>
      </c>
      <c r="F61" s="447" t="s">
        <v>106</v>
      </c>
      <c r="G61" s="448"/>
      <c r="H61" s="448"/>
      <c r="I61" s="448"/>
      <c r="J61" s="448"/>
      <c r="K61" s="448"/>
      <c r="L61" s="448"/>
      <c r="M61" s="449"/>
      <c r="N61" s="67" t="s">
        <v>110</v>
      </c>
      <c r="O61" s="116" t="s">
        <v>46</v>
      </c>
      <c r="P61" s="447" t="s">
        <v>47</v>
      </c>
      <c r="Q61" s="450"/>
      <c r="R61" s="447" t="s">
        <v>38</v>
      </c>
      <c r="S61" s="448"/>
      <c r="T61" s="448"/>
      <c r="U61" s="450"/>
      <c r="V61" s="447" t="s">
        <v>48</v>
      </c>
      <c r="W61" s="448"/>
      <c r="X61" s="448"/>
      <c r="Y61" s="448"/>
      <c r="Z61" s="448"/>
      <c r="AA61" s="448"/>
      <c r="AB61" s="448"/>
      <c r="AC61" s="448"/>
      <c r="AD61" s="449"/>
    </row>
    <row r="62" spans="1:32" ht="27" customHeight="1">
      <c r="A62" s="429" t="s">
        <v>161</v>
      </c>
      <c r="B62" s="420"/>
      <c r="C62" s="130" t="s">
        <v>154</v>
      </c>
      <c r="D62" s="130"/>
      <c r="E62" s="130" t="s">
        <v>166</v>
      </c>
      <c r="F62" s="417" t="s">
        <v>157</v>
      </c>
      <c r="G62" s="418"/>
      <c r="H62" s="418"/>
      <c r="I62" s="418"/>
      <c r="J62" s="418"/>
      <c r="K62" s="418"/>
      <c r="L62" s="418"/>
      <c r="M62" s="419"/>
      <c r="N62" s="117" t="s">
        <v>127</v>
      </c>
      <c r="O62" s="124" t="s">
        <v>151</v>
      </c>
      <c r="P62" s="430" t="s">
        <v>209</v>
      </c>
      <c r="Q62" s="431"/>
      <c r="R62" s="430" t="s">
        <v>175</v>
      </c>
      <c r="S62" s="432"/>
      <c r="T62" s="432"/>
      <c r="U62" s="431"/>
      <c r="V62" s="417" t="s">
        <v>122</v>
      </c>
      <c r="W62" s="418"/>
      <c r="X62" s="418"/>
      <c r="Y62" s="418"/>
      <c r="Z62" s="418"/>
      <c r="AA62" s="418"/>
      <c r="AB62" s="418"/>
      <c r="AC62" s="418"/>
      <c r="AD62" s="419"/>
    </row>
    <row r="63" spans="1:32" ht="27" customHeight="1">
      <c r="A63" s="429" t="s">
        <v>112</v>
      </c>
      <c r="B63" s="420"/>
      <c r="C63" s="118" t="s">
        <v>150</v>
      </c>
      <c r="D63" s="118" t="s">
        <v>121</v>
      </c>
      <c r="E63" s="118" t="s">
        <v>188</v>
      </c>
      <c r="F63" s="417" t="s">
        <v>171</v>
      </c>
      <c r="G63" s="418"/>
      <c r="H63" s="418"/>
      <c r="I63" s="418"/>
      <c r="J63" s="418"/>
      <c r="K63" s="418"/>
      <c r="L63" s="418"/>
      <c r="M63" s="419"/>
      <c r="N63" s="117" t="s">
        <v>127</v>
      </c>
      <c r="O63" s="124" t="s">
        <v>159</v>
      </c>
      <c r="P63" s="430" t="s">
        <v>144</v>
      </c>
      <c r="Q63" s="431"/>
      <c r="R63" s="430" t="s">
        <v>177</v>
      </c>
      <c r="S63" s="432"/>
      <c r="T63" s="432"/>
      <c r="U63" s="431"/>
      <c r="V63" s="417" t="s">
        <v>122</v>
      </c>
      <c r="W63" s="418"/>
      <c r="X63" s="418"/>
      <c r="Y63" s="418"/>
      <c r="Z63" s="418"/>
      <c r="AA63" s="418"/>
      <c r="AB63" s="418"/>
      <c r="AC63" s="418"/>
      <c r="AD63" s="419"/>
    </row>
    <row r="64" spans="1:32" ht="27" customHeight="1">
      <c r="A64" s="429" t="s">
        <v>127</v>
      </c>
      <c r="B64" s="420"/>
      <c r="C64" s="118" t="s">
        <v>150</v>
      </c>
      <c r="D64" s="118" t="s">
        <v>141</v>
      </c>
      <c r="E64" s="118" t="s">
        <v>200</v>
      </c>
      <c r="F64" s="417" t="s">
        <v>122</v>
      </c>
      <c r="G64" s="418"/>
      <c r="H64" s="418"/>
      <c r="I64" s="418"/>
      <c r="J64" s="418"/>
      <c r="K64" s="418"/>
      <c r="L64" s="418"/>
      <c r="M64" s="419"/>
      <c r="N64" s="117" t="s">
        <v>112</v>
      </c>
      <c r="O64" s="124" t="s">
        <v>207</v>
      </c>
      <c r="P64" s="430" t="s">
        <v>208</v>
      </c>
      <c r="Q64" s="431"/>
      <c r="R64" s="430" t="s">
        <v>206</v>
      </c>
      <c r="S64" s="432"/>
      <c r="T64" s="432"/>
      <c r="U64" s="431"/>
      <c r="V64" s="417" t="s">
        <v>122</v>
      </c>
      <c r="W64" s="418"/>
      <c r="X64" s="418"/>
      <c r="Y64" s="418"/>
      <c r="Z64" s="418"/>
      <c r="AA64" s="418"/>
      <c r="AB64" s="418"/>
      <c r="AC64" s="418"/>
      <c r="AD64" s="419"/>
    </row>
    <row r="65" spans="1:32" ht="27" customHeight="1">
      <c r="A65" s="429" t="s">
        <v>116</v>
      </c>
      <c r="B65" s="420"/>
      <c r="C65" s="130" t="s">
        <v>150</v>
      </c>
      <c r="D65" s="130" t="s">
        <v>140</v>
      </c>
      <c r="E65" s="130" t="s">
        <v>201</v>
      </c>
      <c r="F65" s="417" t="s">
        <v>122</v>
      </c>
      <c r="G65" s="418"/>
      <c r="H65" s="418"/>
      <c r="I65" s="418"/>
      <c r="J65" s="418"/>
      <c r="K65" s="418"/>
      <c r="L65" s="418"/>
      <c r="M65" s="419"/>
      <c r="N65" s="117" t="s">
        <v>127</v>
      </c>
      <c r="O65" s="124" t="s">
        <v>212</v>
      </c>
      <c r="P65" s="430" t="s">
        <v>213</v>
      </c>
      <c r="Q65" s="431"/>
      <c r="R65" s="430" t="s">
        <v>210</v>
      </c>
      <c r="S65" s="432"/>
      <c r="T65" s="432"/>
      <c r="U65" s="431"/>
      <c r="V65" s="417" t="s">
        <v>211</v>
      </c>
      <c r="W65" s="418"/>
      <c r="X65" s="418"/>
      <c r="Y65" s="418"/>
      <c r="Z65" s="418"/>
      <c r="AA65" s="418"/>
      <c r="AB65" s="418"/>
      <c r="AC65" s="418"/>
      <c r="AD65" s="419"/>
    </row>
    <row r="66" spans="1:32" ht="27" customHeight="1">
      <c r="A66" s="429" t="s">
        <v>127</v>
      </c>
      <c r="B66" s="420"/>
      <c r="C66" s="118" t="s">
        <v>152</v>
      </c>
      <c r="D66" s="118"/>
      <c r="E66" s="118" t="s">
        <v>176</v>
      </c>
      <c r="F66" s="417" t="s">
        <v>202</v>
      </c>
      <c r="G66" s="418"/>
      <c r="H66" s="418"/>
      <c r="I66" s="418"/>
      <c r="J66" s="418"/>
      <c r="K66" s="418"/>
      <c r="L66" s="418"/>
      <c r="M66" s="419"/>
      <c r="N66" s="117" t="s">
        <v>215</v>
      </c>
      <c r="O66" s="124" t="s">
        <v>216</v>
      </c>
      <c r="P66" s="430" t="s">
        <v>213</v>
      </c>
      <c r="Q66" s="431"/>
      <c r="R66" s="430" t="s">
        <v>214</v>
      </c>
      <c r="S66" s="432"/>
      <c r="T66" s="432"/>
      <c r="U66" s="431"/>
      <c r="V66" s="417" t="s">
        <v>122</v>
      </c>
      <c r="W66" s="418"/>
      <c r="X66" s="418"/>
      <c r="Y66" s="418"/>
      <c r="Z66" s="418"/>
      <c r="AA66" s="418"/>
      <c r="AB66" s="418"/>
      <c r="AC66" s="418"/>
      <c r="AD66" s="419"/>
    </row>
    <row r="67" spans="1:32" ht="27" customHeight="1">
      <c r="A67" s="429" t="s">
        <v>127</v>
      </c>
      <c r="B67" s="420"/>
      <c r="C67" s="130" t="s">
        <v>152</v>
      </c>
      <c r="D67" s="130"/>
      <c r="E67" s="130" t="s">
        <v>203</v>
      </c>
      <c r="F67" s="417" t="s">
        <v>122</v>
      </c>
      <c r="G67" s="418"/>
      <c r="H67" s="418"/>
      <c r="I67" s="418"/>
      <c r="J67" s="418"/>
      <c r="K67" s="418"/>
      <c r="L67" s="418"/>
      <c r="M67" s="419"/>
      <c r="N67" s="117"/>
      <c r="O67" s="124"/>
      <c r="P67" s="430"/>
      <c r="Q67" s="431"/>
      <c r="R67" s="430"/>
      <c r="S67" s="432"/>
      <c r="T67" s="432"/>
      <c r="U67" s="431"/>
      <c r="V67" s="417"/>
      <c r="W67" s="418"/>
      <c r="X67" s="418"/>
      <c r="Y67" s="418"/>
      <c r="Z67" s="418"/>
      <c r="AA67" s="418"/>
      <c r="AB67" s="418"/>
      <c r="AC67" s="418"/>
      <c r="AD67" s="419"/>
    </row>
    <row r="68" spans="1:32" ht="27" customHeight="1">
      <c r="A68" s="429" t="s">
        <v>112</v>
      </c>
      <c r="B68" s="420"/>
      <c r="C68" s="118" t="s">
        <v>184</v>
      </c>
      <c r="D68" s="118" t="s">
        <v>115</v>
      </c>
      <c r="E68" s="118" t="s">
        <v>165</v>
      </c>
      <c r="F68" s="417" t="s">
        <v>164</v>
      </c>
      <c r="G68" s="418"/>
      <c r="H68" s="418"/>
      <c r="I68" s="418"/>
      <c r="J68" s="418"/>
      <c r="K68" s="418"/>
      <c r="L68" s="418"/>
      <c r="M68" s="419"/>
      <c r="N68" s="117"/>
      <c r="O68" s="124"/>
      <c r="P68" s="430"/>
      <c r="Q68" s="431"/>
      <c r="R68" s="430"/>
      <c r="S68" s="432"/>
      <c r="T68" s="432"/>
      <c r="U68" s="431"/>
      <c r="V68" s="417"/>
      <c r="W68" s="418"/>
      <c r="X68" s="418"/>
      <c r="Y68" s="418"/>
      <c r="Z68" s="418"/>
      <c r="AA68" s="418"/>
      <c r="AB68" s="418"/>
      <c r="AC68" s="418"/>
      <c r="AD68" s="419"/>
    </row>
    <row r="69" spans="1:32" ht="27" customHeight="1">
      <c r="A69" s="415" t="s">
        <v>186</v>
      </c>
      <c r="B69" s="416"/>
      <c r="C69" s="121" t="s">
        <v>187</v>
      </c>
      <c r="D69" s="121"/>
      <c r="E69" s="118" t="s">
        <v>185</v>
      </c>
      <c r="F69" s="417" t="s">
        <v>153</v>
      </c>
      <c r="G69" s="418"/>
      <c r="H69" s="418"/>
      <c r="I69" s="418"/>
      <c r="J69" s="418"/>
      <c r="K69" s="418"/>
      <c r="L69" s="418"/>
      <c r="M69" s="419"/>
      <c r="N69" s="117"/>
      <c r="O69" s="124"/>
      <c r="P69" s="430"/>
      <c r="Q69" s="431"/>
      <c r="R69" s="430"/>
      <c r="S69" s="432"/>
      <c r="T69" s="432"/>
      <c r="U69" s="431"/>
      <c r="V69" s="417"/>
      <c r="W69" s="418"/>
      <c r="X69" s="418"/>
      <c r="Y69" s="418"/>
      <c r="Z69" s="418"/>
      <c r="AA69" s="418"/>
      <c r="AB69" s="418"/>
      <c r="AC69" s="418"/>
      <c r="AD69" s="419"/>
    </row>
    <row r="70" spans="1:32" ht="27" customHeight="1">
      <c r="A70" s="415" t="s">
        <v>127</v>
      </c>
      <c r="B70" s="416"/>
      <c r="C70" s="121" t="s">
        <v>204</v>
      </c>
      <c r="D70" s="121" t="s">
        <v>115</v>
      </c>
      <c r="E70" s="118" t="s">
        <v>197</v>
      </c>
      <c r="F70" s="417" t="s">
        <v>122</v>
      </c>
      <c r="G70" s="418"/>
      <c r="H70" s="418"/>
      <c r="I70" s="418"/>
      <c r="J70" s="418"/>
      <c r="K70" s="418"/>
      <c r="L70" s="418"/>
      <c r="M70" s="419"/>
      <c r="N70" s="117"/>
      <c r="O70" s="124"/>
      <c r="P70" s="420"/>
      <c r="Q70" s="420"/>
      <c r="R70" s="420"/>
      <c r="S70" s="420"/>
      <c r="T70" s="420"/>
      <c r="U70" s="420"/>
      <c r="V70" s="417"/>
      <c r="W70" s="418"/>
      <c r="X70" s="418"/>
      <c r="Y70" s="418"/>
      <c r="Z70" s="418"/>
      <c r="AA70" s="418"/>
      <c r="AB70" s="418"/>
      <c r="AC70" s="418"/>
      <c r="AD70" s="419"/>
      <c r="AF70" s="81">
        <f>8*3000</f>
        <v>24000</v>
      </c>
    </row>
    <row r="71" spans="1:32" ht="27" customHeight="1" thickBot="1">
      <c r="A71" s="421"/>
      <c r="B71" s="422"/>
      <c r="C71" s="119"/>
      <c r="D71" s="120"/>
      <c r="E71" s="119"/>
      <c r="F71" s="423"/>
      <c r="G71" s="424"/>
      <c r="H71" s="424"/>
      <c r="I71" s="424"/>
      <c r="J71" s="424"/>
      <c r="K71" s="424"/>
      <c r="L71" s="424"/>
      <c r="M71" s="425"/>
      <c r="N71" s="105"/>
      <c r="O71" s="97"/>
      <c r="P71" s="426"/>
      <c r="Q71" s="426"/>
      <c r="R71" s="426"/>
      <c r="S71" s="426"/>
      <c r="T71" s="426"/>
      <c r="U71" s="426"/>
      <c r="V71" s="427"/>
      <c r="W71" s="427"/>
      <c r="X71" s="427"/>
      <c r="Y71" s="427"/>
      <c r="Z71" s="427"/>
      <c r="AA71" s="427"/>
      <c r="AB71" s="427"/>
      <c r="AC71" s="427"/>
      <c r="AD71" s="428"/>
      <c r="AF71" s="81">
        <f>16*3000</f>
        <v>48000</v>
      </c>
    </row>
    <row r="72" spans="1:32" ht="27.75" thickBot="1">
      <c r="A72" s="413" t="s">
        <v>217</v>
      </c>
      <c r="B72" s="413"/>
      <c r="C72" s="413"/>
      <c r="D72" s="413"/>
      <c r="E72" s="413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F72" s="81">
        <v>24000</v>
      </c>
    </row>
    <row r="73" spans="1:32" ht="29.25" customHeight="1" thickBot="1">
      <c r="A73" s="414" t="s">
        <v>111</v>
      </c>
      <c r="B73" s="411"/>
      <c r="C73" s="122" t="s">
        <v>2</v>
      </c>
      <c r="D73" s="122" t="s">
        <v>37</v>
      </c>
      <c r="E73" s="122" t="s">
        <v>3</v>
      </c>
      <c r="F73" s="411" t="s">
        <v>109</v>
      </c>
      <c r="G73" s="411"/>
      <c r="H73" s="411"/>
      <c r="I73" s="411"/>
      <c r="J73" s="411"/>
      <c r="K73" s="411" t="s">
        <v>39</v>
      </c>
      <c r="L73" s="411"/>
      <c r="M73" s="122" t="s">
        <v>40</v>
      </c>
      <c r="N73" s="411" t="s">
        <v>41</v>
      </c>
      <c r="O73" s="411"/>
      <c r="P73" s="408" t="s">
        <v>42</v>
      </c>
      <c r="Q73" s="410"/>
      <c r="R73" s="408" t="s">
        <v>43</v>
      </c>
      <c r="S73" s="409"/>
      <c r="T73" s="409"/>
      <c r="U73" s="409"/>
      <c r="V73" s="409"/>
      <c r="W73" s="409"/>
      <c r="X73" s="409"/>
      <c r="Y73" s="409"/>
      <c r="Z73" s="409"/>
      <c r="AA73" s="410"/>
      <c r="AB73" s="411" t="s">
        <v>44</v>
      </c>
      <c r="AC73" s="411"/>
      <c r="AD73" s="412"/>
      <c r="AF73" s="81">
        <f>SUM(AF70:AF72)</f>
        <v>96000</v>
      </c>
    </row>
    <row r="74" spans="1:32" ht="25.5" customHeight="1">
      <c r="A74" s="399">
        <v>1</v>
      </c>
      <c r="B74" s="400"/>
      <c r="C74" s="98" t="s">
        <v>116</v>
      </c>
      <c r="D74" s="128"/>
      <c r="E74" s="129" t="s">
        <v>140</v>
      </c>
      <c r="F74" s="401" t="s">
        <v>218</v>
      </c>
      <c r="G74" s="391"/>
      <c r="H74" s="391"/>
      <c r="I74" s="391"/>
      <c r="J74" s="391"/>
      <c r="K74" s="391" t="s">
        <v>155</v>
      </c>
      <c r="L74" s="391"/>
      <c r="M74" s="51" t="s">
        <v>170</v>
      </c>
      <c r="N74" s="402" t="s">
        <v>143</v>
      </c>
      <c r="O74" s="402"/>
      <c r="P74" s="403">
        <v>50</v>
      </c>
      <c r="Q74" s="403"/>
      <c r="R74" s="404"/>
      <c r="S74" s="404"/>
      <c r="T74" s="404"/>
      <c r="U74" s="404"/>
      <c r="V74" s="404"/>
      <c r="W74" s="404"/>
      <c r="X74" s="404"/>
      <c r="Y74" s="404"/>
      <c r="Z74" s="404"/>
      <c r="AA74" s="404"/>
      <c r="AB74" s="391"/>
      <c r="AC74" s="391"/>
      <c r="AD74" s="392"/>
      <c r="AF74" s="50"/>
    </row>
    <row r="75" spans="1:32" ht="25.5" customHeight="1">
      <c r="A75" s="399">
        <v>2</v>
      </c>
      <c r="B75" s="400"/>
      <c r="C75" s="98" t="s">
        <v>220</v>
      </c>
      <c r="D75" s="126"/>
      <c r="E75" s="123" t="s">
        <v>213</v>
      </c>
      <c r="F75" s="401" t="s">
        <v>219</v>
      </c>
      <c r="G75" s="391"/>
      <c r="H75" s="391"/>
      <c r="I75" s="391"/>
      <c r="J75" s="391"/>
      <c r="K75" s="391" t="s">
        <v>221</v>
      </c>
      <c r="L75" s="391"/>
      <c r="M75" s="51" t="s">
        <v>222</v>
      </c>
      <c r="N75" s="402" t="s">
        <v>223</v>
      </c>
      <c r="O75" s="402"/>
      <c r="P75" s="403">
        <v>250</v>
      </c>
      <c r="Q75" s="403"/>
      <c r="R75" s="404"/>
      <c r="S75" s="404"/>
      <c r="T75" s="404"/>
      <c r="U75" s="404"/>
      <c r="V75" s="404"/>
      <c r="W75" s="404"/>
      <c r="X75" s="404"/>
      <c r="Y75" s="404"/>
      <c r="Z75" s="404"/>
      <c r="AA75" s="404"/>
      <c r="AB75" s="391"/>
      <c r="AC75" s="391"/>
      <c r="AD75" s="392"/>
      <c r="AF75" s="50"/>
    </row>
    <row r="76" spans="1:32" ht="25.5" customHeight="1">
      <c r="A76" s="399">
        <v>3</v>
      </c>
      <c r="B76" s="400"/>
      <c r="C76" s="98" t="s">
        <v>220</v>
      </c>
      <c r="D76" s="142"/>
      <c r="E76" s="139" t="s">
        <v>213</v>
      </c>
      <c r="F76" s="401" t="s">
        <v>224</v>
      </c>
      <c r="G76" s="391"/>
      <c r="H76" s="391"/>
      <c r="I76" s="391"/>
      <c r="J76" s="391"/>
      <c r="K76" s="391" t="s">
        <v>221</v>
      </c>
      <c r="L76" s="391"/>
      <c r="M76" s="51" t="s">
        <v>222</v>
      </c>
      <c r="N76" s="402" t="s">
        <v>223</v>
      </c>
      <c r="O76" s="402"/>
      <c r="P76" s="403">
        <v>250</v>
      </c>
      <c r="Q76" s="403"/>
      <c r="R76" s="404"/>
      <c r="S76" s="404"/>
      <c r="T76" s="404"/>
      <c r="U76" s="404"/>
      <c r="V76" s="404"/>
      <c r="W76" s="404"/>
      <c r="X76" s="404"/>
      <c r="Y76" s="404"/>
      <c r="Z76" s="404"/>
      <c r="AA76" s="404"/>
      <c r="AB76" s="391"/>
      <c r="AC76" s="391"/>
      <c r="AD76" s="392"/>
      <c r="AF76" s="50"/>
    </row>
    <row r="77" spans="1:32" ht="25.5" customHeight="1">
      <c r="A77" s="399">
        <v>4</v>
      </c>
      <c r="B77" s="400"/>
      <c r="C77" s="98" t="s">
        <v>226</v>
      </c>
      <c r="D77" s="126"/>
      <c r="E77" s="123"/>
      <c r="F77" s="405" t="s">
        <v>225</v>
      </c>
      <c r="G77" s="406"/>
      <c r="H77" s="406"/>
      <c r="I77" s="406"/>
      <c r="J77" s="407"/>
      <c r="K77" s="391" t="s">
        <v>228</v>
      </c>
      <c r="L77" s="391"/>
      <c r="M77" s="51" t="s">
        <v>222</v>
      </c>
      <c r="N77" s="402" t="s">
        <v>227</v>
      </c>
      <c r="O77" s="402"/>
      <c r="P77" s="403">
        <v>100</v>
      </c>
      <c r="Q77" s="403"/>
      <c r="R77" s="404"/>
      <c r="S77" s="404"/>
      <c r="T77" s="404"/>
      <c r="U77" s="404"/>
      <c r="V77" s="404"/>
      <c r="W77" s="404"/>
      <c r="X77" s="404"/>
      <c r="Y77" s="404"/>
      <c r="Z77" s="404"/>
      <c r="AA77" s="404"/>
      <c r="AB77" s="391"/>
      <c r="AC77" s="391"/>
      <c r="AD77" s="392"/>
      <c r="AF77" s="50"/>
    </row>
    <row r="78" spans="1:32" ht="25.5" customHeight="1">
      <c r="A78" s="399">
        <v>5</v>
      </c>
      <c r="B78" s="400"/>
      <c r="C78" s="98"/>
      <c r="D78" s="126"/>
      <c r="E78" s="123"/>
      <c r="F78" s="405"/>
      <c r="G78" s="406"/>
      <c r="H78" s="406"/>
      <c r="I78" s="406"/>
      <c r="J78" s="407"/>
      <c r="K78" s="391"/>
      <c r="L78" s="391"/>
      <c r="M78" s="51"/>
      <c r="N78" s="402"/>
      <c r="O78" s="402"/>
      <c r="P78" s="403"/>
      <c r="Q78" s="403"/>
      <c r="R78" s="404"/>
      <c r="S78" s="404"/>
      <c r="T78" s="404"/>
      <c r="U78" s="404"/>
      <c r="V78" s="404"/>
      <c r="W78" s="404"/>
      <c r="X78" s="404"/>
      <c r="Y78" s="404"/>
      <c r="Z78" s="404"/>
      <c r="AA78" s="404"/>
      <c r="AB78" s="391"/>
      <c r="AC78" s="391"/>
      <c r="AD78" s="392"/>
      <c r="AF78" s="50"/>
    </row>
    <row r="79" spans="1:32" ht="25.5" customHeight="1">
      <c r="A79" s="399">
        <v>6</v>
      </c>
      <c r="B79" s="400"/>
      <c r="C79" s="98"/>
      <c r="D79" s="126"/>
      <c r="E79" s="123"/>
      <c r="F79" s="405"/>
      <c r="G79" s="406"/>
      <c r="H79" s="406"/>
      <c r="I79" s="406"/>
      <c r="J79" s="407"/>
      <c r="K79" s="391"/>
      <c r="L79" s="391"/>
      <c r="M79" s="51"/>
      <c r="N79" s="402"/>
      <c r="O79" s="402"/>
      <c r="P79" s="403"/>
      <c r="Q79" s="403"/>
      <c r="R79" s="404"/>
      <c r="S79" s="404"/>
      <c r="T79" s="404"/>
      <c r="U79" s="404"/>
      <c r="V79" s="404"/>
      <c r="W79" s="404"/>
      <c r="X79" s="404"/>
      <c r="Y79" s="404"/>
      <c r="Z79" s="404"/>
      <c r="AA79" s="404"/>
      <c r="AB79" s="391"/>
      <c r="AC79" s="391"/>
      <c r="AD79" s="392"/>
      <c r="AF79" s="50"/>
    </row>
    <row r="80" spans="1:32" ht="25.5" customHeight="1">
      <c r="A80" s="399">
        <v>7</v>
      </c>
      <c r="B80" s="400"/>
      <c r="C80" s="98"/>
      <c r="D80" s="126"/>
      <c r="E80" s="123"/>
      <c r="F80" s="405"/>
      <c r="G80" s="406"/>
      <c r="H80" s="406"/>
      <c r="I80" s="406"/>
      <c r="J80" s="407"/>
      <c r="K80" s="391"/>
      <c r="L80" s="391"/>
      <c r="M80" s="51"/>
      <c r="N80" s="402"/>
      <c r="O80" s="402"/>
      <c r="P80" s="403"/>
      <c r="Q80" s="403"/>
      <c r="R80" s="404"/>
      <c r="S80" s="404"/>
      <c r="T80" s="404"/>
      <c r="U80" s="404"/>
      <c r="V80" s="404"/>
      <c r="W80" s="404"/>
      <c r="X80" s="404"/>
      <c r="Y80" s="404"/>
      <c r="Z80" s="404"/>
      <c r="AA80" s="404"/>
      <c r="AB80" s="391"/>
      <c r="AC80" s="391"/>
      <c r="AD80" s="392"/>
      <c r="AF80" s="50"/>
    </row>
    <row r="81" spans="1:32" ht="25.5" customHeight="1">
      <c r="A81" s="399">
        <v>8</v>
      </c>
      <c r="B81" s="400"/>
      <c r="C81" s="98"/>
      <c r="D81" s="126"/>
      <c r="E81" s="123"/>
      <c r="F81" s="401"/>
      <c r="G81" s="391"/>
      <c r="H81" s="391"/>
      <c r="I81" s="391"/>
      <c r="J81" s="391"/>
      <c r="K81" s="391"/>
      <c r="L81" s="391"/>
      <c r="M81" s="51"/>
      <c r="N81" s="402"/>
      <c r="O81" s="402"/>
      <c r="P81" s="403"/>
      <c r="Q81" s="403"/>
      <c r="R81" s="404"/>
      <c r="S81" s="404"/>
      <c r="T81" s="404"/>
      <c r="U81" s="404"/>
      <c r="V81" s="404"/>
      <c r="W81" s="404"/>
      <c r="X81" s="404"/>
      <c r="Y81" s="404"/>
      <c r="Z81" s="404"/>
      <c r="AA81" s="404"/>
      <c r="AB81" s="391"/>
      <c r="AC81" s="391"/>
      <c r="AD81" s="392"/>
      <c r="AF81" s="50"/>
    </row>
    <row r="82" spans="1:32" ht="25.5" customHeight="1">
      <c r="A82" s="399">
        <v>9</v>
      </c>
      <c r="B82" s="400"/>
      <c r="C82" s="98"/>
      <c r="D82" s="126"/>
      <c r="E82" s="123"/>
      <c r="F82" s="401"/>
      <c r="G82" s="391"/>
      <c r="H82" s="391"/>
      <c r="I82" s="391"/>
      <c r="J82" s="391"/>
      <c r="K82" s="391"/>
      <c r="L82" s="391"/>
      <c r="M82" s="51"/>
      <c r="N82" s="402"/>
      <c r="O82" s="402"/>
      <c r="P82" s="403"/>
      <c r="Q82" s="403"/>
      <c r="R82" s="404"/>
      <c r="S82" s="404"/>
      <c r="T82" s="404"/>
      <c r="U82" s="404"/>
      <c r="V82" s="404"/>
      <c r="W82" s="404"/>
      <c r="X82" s="404"/>
      <c r="Y82" s="404"/>
      <c r="Z82" s="404"/>
      <c r="AA82" s="404"/>
      <c r="AB82" s="391"/>
      <c r="AC82" s="391"/>
      <c r="AD82" s="392"/>
      <c r="AF82" s="50"/>
    </row>
    <row r="83" spans="1:32" ht="25.5" customHeight="1">
      <c r="A83" s="399">
        <v>10</v>
      </c>
      <c r="B83" s="400"/>
      <c r="C83" s="98"/>
      <c r="D83" s="126"/>
      <c r="E83" s="123"/>
      <c r="F83" s="401"/>
      <c r="G83" s="391"/>
      <c r="H83" s="391"/>
      <c r="I83" s="391"/>
      <c r="J83" s="391"/>
      <c r="K83" s="391"/>
      <c r="L83" s="391"/>
      <c r="M83" s="51"/>
      <c r="N83" s="402"/>
      <c r="O83" s="402"/>
      <c r="P83" s="403"/>
      <c r="Q83" s="403"/>
      <c r="R83" s="404"/>
      <c r="S83" s="404"/>
      <c r="T83" s="404"/>
      <c r="U83" s="404"/>
      <c r="V83" s="404"/>
      <c r="W83" s="404"/>
      <c r="X83" s="404"/>
      <c r="Y83" s="404"/>
      <c r="Z83" s="404"/>
      <c r="AA83" s="404"/>
      <c r="AB83" s="391"/>
      <c r="AC83" s="391"/>
      <c r="AD83" s="392"/>
      <c r="AF83" s="50"/>
    </row>
    <row r="84" spans="1:32" ht="26.25" customHeight="1" thickBot="1">
      <c r="A84" s="371" t="s">
        <v>229</v>
      </c>
      <c r="B84" s="371"/>
      <c r="C84" s="371"/>
      <c r="D84" s="371"/>
      <c r="E84" s="371"/>
      <c r="F84" s="37"/>
      <c r="G84" s="37"/>
      <c r="H84" s="38"/>
      <c r="I84" s="38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F84" s="50"/>
    </row>
    <row r="85" spans="1:32" ht="23.25" thickBot="1">
      <c r="A85" s="393" t="s">
        <v>111</v>
      </c>
      <c r="B85" s="394"/>
      <c r="C85" s="125" t="s">
        <v>2</v>
      </c>
      <c r="D85" s="125" t="s">
        <v>37</v>
      </c>
      <c r="E85" s="125" t="s">
        <v>120</v>
      </c>
      <c r="F85" s="373" t="s">
        <v>38</v>
      </c>
      <c r="G85" s="373"/>
      <c r="H85" s="373"/>
      <c r="I85" s="373"/>
      <c r="J85" s="373"/>
      <c r="K85" s="395" t="s">
        <v>58</v>
      </c>
      <c r="L85" s="396"/>
      <c r="M85" s="396"/>
      <c r="N85" s="396"/>
      <c r="O85" s="396"/>
      <c r="P85" s="396"/>
      <c r="Q85" s="396"/>
      <c r="R85" s="396"/>
      <c r="S85" s="397"/>
      <c r="T85" s="373" t="s">
        <v>49</v>
      </c>
      <c r="U85" s="373"/>
      <c r="V85" s="395" t="s">
        <v>50</v>
      </c>
      <c r="W85" s="397"/>
      <c r="X85" s="396" t="s">
        <v>51</v>
      </c>
      <c r="Y85" s="396"/>
      <c r="Z85" s="396"/>
      <c r="AA85" s="396"/>
      <c r="AB85" s="396"/>
      <c r="AC85" s="396"/>
      <c r="AD85" s="398"/>
      <c r="AF85" s="50"/>
    </row>
    <row r="86" spans="1:32" ht="33.75" customHeight="1">
      <c r="A86" s="365">
        <v>1</v>
      </c>
      <c r="B86" s="366"/>
      <c r="C86" s="127"/>
      <c r="D86" s="127"/>
      <c r="E86" s="65"/>
      <c r="F86" s="380"/>
      <c r="G86" s="381"/>
      <c r="H86" s="381"/>
      <c r="I86" s="381"/>
      <c r="J86" s="382"/>
      <c r="K86" s="383"/>
      <c r="L86" s="384"/>
      <c r="M86" s="384"/>
      <c r="N86" s="384"/>
      <c r="O86" s="384"/>
      <c r="P86" s="384"/>
      <c r="Q86" s="384"/>
      <c r="R86" s="384"/>
      <c r="S86" s="385"/>
      <c r="T86" s="386"/>
      <c r="U86" s="387"/>
      <c r="V86" s="388"/>
      <c r="W86" s="388"/>
      <c r="X86" s="389"/>
      <c r="Y86" s="389"/>
      <c r="Z86" s="389"/>
      <c r="AA86" s="389"/>
      <c r="AB86" s="389"/>
      <c r="AC86" s="389"/>
      <c r="AD86" s="390"/>
      <c r="AF86" s="50"/>
    </row>
    <row r="87" spans="1:32" ht="30" customHeight="1">
      <c r="A87" s="358">
        <f>A86+1</f>
        <v>2</v>
      </c>
      <c r="B87" s="359"/>
      <c r="C87" s="126"/>
      <c r="D87" s="126"/>
      <c r="E87" s="32"/>
      <c r="F87" s="359"/>
      <c r="G87" s="359"/>
      <c r="H87" s="359"/>
      <c r="I87" s="359"/>
      <c r="J87" s="359"/>
      <c r="K87" s="374"/>
      <c r="L87" s="375"/>
      <c r="M87" s="375"/>
      <c r="N87" s="375"/>
      <c r="O87" s="375"/>
      <c r="P87" s="375"/>
      <c r="Q87" s="375"/>
      <c r="R87" s="375"/>
      <c r="S87" s="376"/>
      <c r="T87" s="377"/>
      <c r="U87" s="377"/>
      <c r="V87" s="377"/>
      <c r="W87" s="377"/>
      <c r="X87" s="378"/>
      <c r="Y87" s="378"/>
      <c r="Z87" s="378"/>
      <c r="AA87" s="378"/>
      <c r="AB87" s="378"/>
      <c r="AC87" s="378"/>
      <c r="AD87" s="379"/>
      <c r="AF87" s="50"/>
    </row>
    <row r="88" spans="1:32" ht="30" customHeight="1">
      <c r="A88" s="358">
        <f t="shared" ref="A88:A92" si="52">A87+1</f>
        <v>3</v>
      </c>
      <c r="B88" s="359"/>
      <c r="C88" s="126"/>
      <c r="D88" s="126"/>
      <c r="E88" s="32"/>
      <c r="F88" s="359"/>
      <c r="G88" s="359"/>
      <c r="H88" s="359"/>
      <c r="I88" s="359"/>
      <c r="J88" s="359"/>
      <c r="K88" s="374"/>
      <c r="L88" s="375"/>
      <c r="M88" s="375"/>
      <c r="N88" s="375"/>
      <c r="O88" s="375"/>
      <c r="P88" s="375"/>
      <c r="Q88" s="375"/>
      <c r="R88" s="375"/>
      <c r="S88" s="376"/>
      <c r="T88" s="377"/>
      <c r="U88" s="377"/>
      <c r="V88" s="377"/>
      <c r="W88" s="377"/>
      <c r="X88" s="378"/>
      <c r="Y88" s="378"/>
      <c r="Z88" s="378"/>
      <c r="AA88" s="378"/>
      <c r="AB88" s="378"/>
      <c r="AC88" s="378"/>
      <c r="AD88" s="379"/>
      <c r="AF88" s="50"/>
    </row>
    <row r="89" spans="1:32" ht="30" customHeight="1">
      <c r="A89" s="358">
        <f t="shared" si="52"/>
        <v>4</v>
      </c>
      <c r="B89" s="359"/>
      <c r="C89" s="126"/>
      <c r="D89" s="126"/>
      <c r="E89" s="32"/>
      <c r="F89" s="359"/>
      <c r="G89" s="359"/>
      <c r="H89" s="359"/>
      <c r="I89" s="359"/>
      <c r="J89" s="359"/>
      <c r="K89" s="374"/>
      <c r="L89" s="375"/>
      <c r="M89" s="375"/>
      <c r="N89" s="375"/>
      <c r="O89" s="375"/>
      <c r="P89" s="375"/>
      <c r="Q89" s="375"/>
      <c r="R89" s="375"/>
      <c r="S89" s="376"/>
      <c r="T89" s="377"/>
      <c r="U89" s="377"/>
      <c r="V89" s="377"/>
      <c r="W89" s="377"/>
      <c r="X89" s="378"/>
      <c r="Y89" s="378"/>
      <c r="Z89" s="378"/>
      <c r="AA89" s="378"/>
      <c r="AB89" s="378"/>
      <c r="AC89" s="378"/>
      <c r="AD89" s="379"/>
      <c r="AF89" s="50"/>
    </row>
    <row r="90" spans="1:32" ht="30" customHeight="1">
      <c r="A90" s="358">
        <f t="shared" si="52"/>
        <v>5</v>
      </c>
      <c r="B90" s="359"/>
      <c r="C90" s="126"/>
      <c r="D90" s="126"/>
      <c r="E90" s="32"/>
      <c r="F90" s="359"/>
      <c r="G90" s="359"/>
      <c r="H90" s="359"/>
      <c r="I90" s="359"/>
      <c r="J90" s="359"/>
      <c r="K90" s="374"/>
      <c r="L90" s="375"/>
      <c r="M90" s="375"/>
      <c r="N90" s="375"/>
      <c r="O90" s="375"/>
      <c r="P90" s="375"/>
      <c r="Q90" s="375"/>
      <c r="R90" s="375"/>
      <c r="S90" s="376"/>
      <c r="T90" s="377"/>
      <c r="U90" s="377"/>
      <c r="V90" s="377"/>
      <c r="W90" s="377"/>
      <c r="X90" s="378"/>
      <c r="Y90" s="378"/>
      <c r="Z90" s="378"/>
      <c r="AA90" s="378"/>
      <c r="AB90" s="378"/>
      <c r="AC90" s="378"/>
      <c r="AD90" s="379"/>
      <c r="AF90" s="50"/>
    </row>
    <row r="91" spans="1:32" ht="30" customHeight="1">
      <c r="A91" s="358">
        <f t="shared" si="52"/>
        <v>6</v>
      </c>
      <c r="B91" s="359"/>
      <c r="C91" s="126"/>
      <c r="D91" s="126"/>
      <c r="E91" s="32"/>
      <c r="F91" s="359"/>
      <c r="G91" s="359"/>
      <c r="H91" s="359"/>
      <c r="I91" s="359"/>
      <c r="J91" s="359"/>
      <c r="K91" s="374"/>
      <c r="L91" s="375"/>
      <c r="M91" s="375"/>
      <c r="N91" s="375"/>
      <c r="O91" s="375"/>
      <c r="P91" s="375"/>
      <c r="Q91" s="375"/>
      <c r="R91" s="375"/>
      <c r="S91" s="376"/>
      <c r="T91" s="377"/>
      <c r="U91" s="377"/>
      <c r="V91" s="377"/>
      <c r="W91" s="377"/>
      <c r="X91" s="378"/>
      <c r="Y91" s="378"/>
      <c r="Z91" s="378"/>
      <c r="AA91" s="378"/>
      <c r="AB91" s="378"/>
      <c r="AC91" s="378"/>
      <c r="AD91" s="379"/>
      <c r="AF91" s="50"/>
    </row>
    <row r="92" spans="1:32" ht="30" customHeight="1">
      <c r="A92" s="358">
        <f t="shared" si="52"/>
        <v>7</v>
      </c>
      <c r="B92" s="359"/>
      <c r="C92" s="126"/>
      <c r="D92" s="126"/>
      <c r="E92" s="32"/>
      <c r="F92" s="359"/>
      <c r="G92" s="359"/>
      <c r="H92" s="359"/>
      <c r="I92" s="359"/>
      <c r="J92" s="359"/>
      <c r="K92" s="374"/>
      <c r="L92" s="375"/>
      <c r="M92" s="375"/>
      <c r="N92" s="375"/>
      <c r="O92" s="375"/>
      <c r="P92" s="375"/>
      <c r="Q92" s="375"/>
      <c r="R92" s="375"/>
      <c r="S92" s="376"/>
      <c r="T92" s="377"/>
      <c r="U92" s="377"/>
      <c r="V92" s="377"/>
      <c r="W92" s="377"/>
      <c r="X92" s="378"/>
      <c r="Y92" s="378"/>
      <c r="Z92" s="378"/>
      <c r="AA92" s="378"/>
      <c r="AB92" s="378"/>
      <c r="AC92" s="378"/>
      <c r="AD92" s="379"/>
      <c r="AF92" s="50"/>
    </row>
    <row r="93" spans="1:32" ht="36" thickBot="1">
      <c r="A93" s="371" t="s">
        <v>230</v>
      </c>
      <c r="B93" s="371"/>
      <c r="C93" s="371"/>
      <c r="D93" s="371"/>
      <c r="E93" s="371"/>
      <c r="F93" s="37"/>
      <c r="G93" s="37"/>
      <c r="H93" s="38"/>
      <c r="I93" s="38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F93" s="50"/>
    </row>
    <row r="94" spans="1:32" ht="30.75" customHeight="1" thickBot="1">
      <c r="A94" s="372" t="s">
        <v>111</v>
      </c>
      <c r="B94" s="373"/>
      <c r="C94" s="363" t="s">
        <v>52</v>
      </c>
      <c r="D94" s="363"/>
      <c r="E94" s="363" t="s">
        <v>53</v>
      </c>
      <c r="F94" s="363"/>
      <c r="G94" s="363"/>
      <c r="H94" s="363"/>
      <c r="I94" s="363"/>
      <c r="J94" s="363"/>
      <c r="K94" s="363" t="s">
        <v>54</v>
      </c>
      <c r="L94" s="363"/>
      <c r="M94" s="363"/>
      <c r="N94" s="363"/>
      <c r="O94" s="363"/>
      <c r="P94" s="363"/>
      <c r="Q94" s="363"/>
      <c r="R94" s="363"/>
      <c r="S94" s="363"/>
      <c r="T94" s="363" t="s">
        <v>55</v>
      </c>
      <c r="U94" s="363"/>
      <c r="V94" s="363" t="s">
        <v>56</v>
      </c>
      <c r="W94" s="363"/>
      <c r="X94" s="363"/>
      <c r="Y94" s="363" t="s">
        <v>51</v>
      </c>
      <c r="Z94" s="363"/>
      <c r="AA94" s="363"/>
      <c r="AB94" s="363"/>
      <c r="AC94" s="363"/>
      <c r="AD94" s="364"/>
      <c r="AF94" s="50"/>
    </row>
    <row r="95" spans="1:32" ht="30.75" customHeight="1">
      <c r="A95" s="365">
        <v>1</v>
      </c>
      <c r="B95" s="366"/>
      <c r="C95" s="367"/>
      <c r="D95" s="367"/>
      <c r="E95" s="367"/>
      <c r="F95" s="367"/>
      <c r="G95" s="367"/>
      <c r="H95" s="367"/>
      <c r="I95" s="367"/>
      <c r="J95" s="367"/>
      <c r="K95" s="367"/>
      <c r="L95" s="367"/>
      <c r="M95" s="367"/>
      <c r="N95" s="367"/>
      <c r="O95" s="367"/>
      <c r="P95" s="367"/>
      <c r="Q95" s="367"/>
      <c r="R95" s="367"/>
      <c r="S95" s="367"/>
      <c r="T95" s="367"/>
      <c r="U95" s="367"/>
      <c r="V95" s="368"/>
      <c r="W95" s="368"/>
      <c r="X95" s="368"/>
      <c r="Y95" s="369"/>
      <c r="Z95" s="369"/>
      <c r="AA95" s="369"/>
      <c r="AB95" s="369"/>
      <c r="AC95" s="369"/>
      <c r="AD95" s="370"/>
      <c r="AF95" s="50"/>
    </row>
    <row r="96" spans="1:32" ht="30.75" customHeight="1">
      <c r="A96" s="358">
        <v>2</v>
      </c>
      <c r="B96" s="359"/>
      <c r="C96" s="360"/>
      <c r="D96" s="360"/>
      <c r="E96" s="360"/>
      <c r="F96" s="360"/>
      <c r="G96" s="360"/>
      <c r="H96" s="360"/>
      <c r="I96" s="360"/>
      <c r="J96" s="360"/>
      <c r="K96" s="360"/>
      <c r="L96" s="360"/>
      <c r="M96" s="360"/>
      <c r="N96" s="360"/>
      <c r="O96" s="360"/>
      <c r="P96" s="360"/>
      <c r="Q96" s="360"/>
      <c r="R96" s="360"/>
      <c r="S96" s="360"/>
      <c r="T96" s="361"/>
      <c r="U96" s="361"/>
      <c r="V96" s="362"/>
      <c r="W96" s="362"/>
      <c r="X96" s="362"/>
      <c r="Y96" s="350"/>
      <c r="Z96" s="350"/>
      <c r="AA96" s="350"/>
      <c r="AB96" s="350"/>
      <c r="AC96" s="350"/>
      <c r="AD96" s="351"/>
      <c r="AF96" s="50"/>
    </row>
    <row r="97" spans="1:32" ht="30.75" customHeight="1" thickBot="1">
      <c r="A97" s="352">
        <v>3</v>
      </c>
      <c r="B97" s="353"/>
      <c r="C97" s="354"/>
      <c r="D97" s="354"/>
      <c r="E97" s="354"/>
      <c r="F97" s="354"/>
      <c r="G97" s="354"/>
      <c r="H97" s="354"/>
      <c r="I97" s="354"/>
      <c r="J97" s="354"/>
      <c r="K97" s="354"/>
      <c r="L97" s="354"/>
      <c r="M97" s="354"/>
      <c r="N97" s="354"/>
      <c r="O97" s="354"/>
      <c r="P97" s="354"/>
      <c r="Q97" s="354"/>
      <c r="R97" s="354"/>
      <c r="S97" s="354"/>
      <c r="T97" s="354"/>
      <c r="U97" s="354"/>
      <c r="V97" s="355"/>
      <c r="W97" s="355"/>
      <c r="X97" s="355"/>
      <c r="Y97" s="356"/>
      <c r="Z97" s="356"/>
      <c r="AA97" s="356"/>
      <c r="AB97" s="356"/>
      <c r="AC97" s="356"/>
      <c r="AD97" s="357"/>
      <c r="AF97" s="50"/>
    </row>
  </sheetData>
  <mergeCells count="232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32:H32"/>
    <mergeCell ref="A59:E59"/>
    <mergeCell ref="A60:M60"/>
    <mergeCell ref="N60:AD60"/>
    <mergeCell ref="A61:B61"/>
    <mergeCell ref="F61:M61"/>
    <mergeCell ref="P61:Q61"/>
    <mergeCell ref="R61:U61"/>
    <mergeCell ref="V61:AD61"/>
    <mergeCell ref="I4:O4"/>
    <mergeCell ref="P4:Q4"/>
    <mergeCell ref="R4:V4"/>
    <mergeCell ref="W4:AA4"/>
    <mergeCell ref="AB4:AB5"/>
    <mergeCell ref="AC4:AC5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A64:B64"/>
    <mergeCell ref="F64:M64"/>
    <mergeCell ref="P64:Q64"/>
    <mergeCell ref="R64:U64"/>
    <mergeCell ref="V64:AD64"/>
    <mergeCell ref="A65:B65"/>
    <mergeCell ref="F65:M65"/>
    <mergeCell ref="P65:Q65"/>
    <mergeCell ref="R65:U65"/>
    <mergeCell ref="V65:AD65"/>
    <mergeCell ref="A66:B66"/>
    <mergeCell ref="F66:M66"/>
    <mergeCell ref="P66:Q66"/>
    <mergeCell ref="R66:U66"/>
    <mergeCell ref="V66:AD66"/>
    <mergeCell ref="A67:B67"/>
    <mergeCell ref="F67:M67"/>
    <mergeCell ref="P67:Q67"/>
    <mergeCell ref="R67:U67"/>
    <mergeCell ref="V67:AD67"/>
    <mergeCell ref="R70:U70"/>
    <mergeCell ref="V70:AD70"/>
    <mergeCell ref="A71:B71"/>
    <mergeCell ref="F71:M71"/>
    <mergeCell ref="P71:Q71"/>
    <mergeCell ref="R71:U71"/>
    <mergeCell ref="V71:AD71"/>
    <mergeCell ref="A68:B68"/>
    <mergeCell ref="F68:M68"/>
    <mergeCell ref="P68:Q68"/>
    <mergeCell ref="R68:U68"/>
    <mergeCell ref="V68:AD68"/>
    <mergeCell ref="A69:B69"/>
    <mergeCell ref="F69:M69"/>
    <mergeCell ref="P69:Q69"/>
    <mergeCell ref="R69:U69"/>
    <mergeCell ref="V69:AD69"/>
    <mergeCell ref="A72:E72"/>
    <mergeCell ref="A73:B73"/>
    <mergeCell ref="F73:J73"/>
    <mergeCell ref="K73:L73"/>
    <mergeCell ref="N73:O73"/>
    <mergeCell ref="P73:Q73"/>
    <mergeCell ref="A70:B70"/>
    <mergeCell ref="F70:M70"/>
    <mergeCell ref="P70:Q70"/>
    <mergeCell ref="R73:AA73"/>
    <mergeCell ref="AB73:AD73"/>
    <mergeCell ref="A74:B74"/>
    <mergeCell ref="F74:J74"/>
    <mergeCell ref="K74:L74"/>
    <mergeCell ref="N74:O74"/>
    <mergeCell ref="P74:Q74"/>
    <mergeCell ref="R74:AA74"/>
    <mergeCell ref="AB74:AD74"/>
    <mergeCell ref="AB75:AD75"/>
    <mergeCell ref="A76:B76"/>
    <mergeCell ref="F76:J76"/>
    <mergeCell ref="K76:L76"/>
    <mergeCell ref="N76:O76"/>
    <mergeCell ref="P76:Q76"/>
    <mergeCell ref="R76:AA76"/>
    <mergeCell ref="AB76:AD76"/>
    <mergeCell ref="A75:B75"/>
    <mergeCell ref="F75:J75"/>
    <mergeCell ref="K75:L75"/>
    <mergeCell ref="N75:O75"/>
    <mergeCell ref="P75:Q75"/>
    <mergeCell ref="R75:AA75"/>
    <mergeCell ref="AB77:AD77"/>
    <mergeCell ref="A78:B78"/>
    <mergeCell ref="F78:J78"/>
    <mergeCell ref="K78:L78"/>
    <mergeCell ref="N78:O78"/>
    <mergeCell ref="P78:Q78"/>
    <mergeCell ref="R78:AA78"/>
    <mergeCell ref="AB78:AD78"/>
    <mergeCell ref="A77:B77"/>
    <mergeCell ref="F77:J77"/>
    <mergeCell ref="K77:L77"/>
    <mergeCell ref="N77:O77"/>
    <mergeCell ref="P77:Q77"/>
    <mergeCell ref="R77:AA77"/>
    <mergeCell ref="AB79:AD79"/>
    <mergeCell ref="A80:B80"/>
    <mergeCell ref="F80:J80"/>
    <mergeCell ref="K80:L80"/>
    <mergeCell ref="N80:O80"/>
    <mergeCell ref="P80:Q80"/>
    <mergeCell ref="R80:AA80"/>
    <mergeCell ref="AB80:AD80"/>
    <mergeCell ref="A79:B79"/>
    <mergeCell ref="F79:J79"/>
    <mergeCell ref="K79:L79"/>
    <mergeCell ref="N79:O79"/>
    <mergeCell ref="P79:Q79"/>
    <mergeCell ref="R79:AA79"/>
    <mergeCell ref="AB81:AD81"/>
    <mergeCell ref="A82:B82"/>
    <mergeCell ref="F82:J82"/>
    <mergeCell ref="K82:L82"/>
    <mergeCell ref="N82:O82"/>
    <mergeCell ref="P82:Q82"/>
    <mergeCell ref="R82:AA82"/>
    <mergeCell ref="AB82:AD82"/>
    <mergeCell ref="A81:B81"/>
    <mergeCell ref="F81:J81"/>
    <mergeCell ref="K81:L81"/>
    <mergeCell ref="N81:O81"/>
    <mergeCell ref="P81:Q81"/>
    <mergeCell ref="R81:AA81"/>
    <mergeCell ref="AB83:AD83"/>
    <mergeCell ref="A84:E84"/>
    <mergeCell ref="A85:B85"/>
    <mergeCell ref="F85:J85"/>
    <mergeCell ref="K85:S85"/>
    <mergeCell ref="T85:U85"/>
    <mergeCell ref="V85:W85"/>
    <mergeCell ref="X85:AD85"/>
    <mergeCell ref="A83:B83"/>
    <mergeCell ref="F83:J83"/>
    <mergeCell ref="K83:L83"/>
    <mergeCell ref="N83:O83"/>
    <mergeCell ref="P83:Q83"/>
    <mergeCell ref="R83:AA83"/>
    <mergeCell ref="A87:B87"/>
    <mergeCell ref="F87:J87"/>
    <mergeCell ref="K87:S87"/>
    <mergeCell ref="T87:U87"/>
    <mergeCell ref="V87:W87"/>
    <mergeCell ref="X87:AD87"/>
    <mergeCell ref="A86:B86"/>
    <mergeCell ref="F86:J86"/>
    <mergeCell ref="K86:S86"/>
    <mergeCell ref="T86:U86"/>
    <mergeCell ref="V86:W86"/>
    <mergeCell ref="X86:AD86"/>
    <mergeCell ref="A89:B89"/>
    <mergeCell ref="F89:J89"/>
    <mergeCell ref="K89:S89"/>
    <mergeCell ref="T89:U89"/>
    <mergeCell ref="V89:W89"/>
    <mergeCell ref="X89:AD89"/>
    <mergeCell ref="A88:B88"/>
    <mergeCell ref="F88:J88"/>
    <mergeCell ref="K88:S88"/>
    <mergeCell ref="T88:U88"/>
    <mergeCell ref="V88:W88"/>
    <mergeCell ref="X88:AD88"/>
    <mergeCell ref="V92:W92"/>
    <mergeCell ref="X92:AD92"/>
    <mergeCell ref="A91:B91"/>
    <mergeCell ref="F91:J91"/>
    <mergeCell ref="K91:S91"/>
    <mergeCell ref="T91:U91"/>
    <mergeCell ref="V91:W91"/>
    <mergeCell ref="X91:AD91"/>
    <mergeCell ref="A90:B90"/>
    <mergeCell ref="F90:J90"/>
    <mergeCell ref="K90:S90"/>
    <mergeCell ref="T90:U90"/>
    <mergeCell ref="V90:W90"/>
    <mergeCell ref="X90:AD90"/>
    <mergeCell ref="A93:E93"/>
    <mergeCell ref="A94:B94"/>
    <mergeCell ref="C94:D94"/>
    <mergeCell ref="E94:J94"/>
    <mergeCell ref="K94:S94"/>
    <mergeCell ref="T94:U94"/>
    <mergeCell ref="A92:B92"/>
    <mergeCell ref="F92:J92"/>
    <mergeCell ref="K92:S92"/>
    <mergeCell ref="T92:U92"/>
    <mergeCell ref="V94:X94"/>
    <mergeCell ref="Y94:AD94"/>
    <mergeCell ref="A95:B95"/>
    <mergeCell ref="C95:D95"/>
    <mergeCell ref="E95:J95"/>
    <mergeCell ref="K95:S95"/>
    <mergeCell ref="T95:U95"/>
    <mergeCell ref="V95:X95"/>
    <mergeCell ref="Y95:AD95"/>
    <mergeCell ref="Y96:AD96"/>
    <mergeCell ref="A97:B97"/>
    <mergeCell ref="C97:D97"/>
    <mergeCell ref="E97:J97"/>
    <mergeCell ref="K97:S97"/>
    <mergeCell ref="T97:U97"/>
    <mergeCell ref="V97:X97"/>
    <mergeCell ref="Y97:AD97"/>
    <mergeCell ref="A96:B96"/>
    <mergeCell ref="C96:D96"/>
    <mergeCell ref="E96:J96"/>
    <mergeCell ref="K96:S96"/>
    <mergeCell ref="T96:U96"/>
    <mergeCell ref="V96:X9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8" fitToHeight="2" orientation="landscape" r:id="rId1"/>
  <rowBreaks count="1" manualBreakCount="1">
    <brk id="57" max="29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61775-8775-4370-952F-560F2406AC1F}">
  <sheetPr codeName="Sheet11">
    <pageSetUpPr fitToPage="1"/>
  </sheetPr>
  <dimension ref="A1:AF93"/>
  <sheetViews>
    <sheetView view="pageBreakPreview" zoomScale="70" zoomScaleNormal="72" zoomScaleSheetLayoutView="70" workbookViewId="0">
      <selection activeCell="A90" sqref="A90:B90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1" bestFit="1" customWidth="1"/>
    <col min="33" max="33" width="17.625" style="50" customWidth="1"/>
    <col min="34" max="16384" width="9" style="50"/>
  </cols>
  <sheetData>
    <row r="1" spans="1:32" ht="44.25" customHeight="1">
      <c r="A1" s="461" t="s">
        <v>521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61"/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62"/>
      <c r="B3" s="462"/>
      <c r="C3" s="462"/>
      <c r="D3" s="462"/>
      <c r="E3" s="462"/>
      <c r="F3" s="462"/>
      <c r="G3" s="462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63" t="s">
        <v>0</v>
      </c>
      <c r="B4" s="465" t="s">
        <v>1</v>
      </c>
      <c r="C4" s="465" t="s">
        <v>2</v>
      </c>
      <c r="D4" s="468" t="s">
        <v>3</v>
      </c>
      <c r="E4" s="470" t="s">
        <v>4</v>
      </c>
      <c r="F4" s="468" t="s">
        <v>5</v>
      </c>
      <c r="G4" s="465" t="s">
        <v>6</v>
      </c>
      <c r="H4" s="471" t="s">
        <v>7</v>
      </c>
      <c r="I4" s="451" t="s">
        <v>8</v>
      </c>
      <c r="J4" s="452"/>
      <c r="K4" s="452"/>
      <c r="L4" s="452"/>
      <c r="M4" s="452"/>
      <c r="N4" s="452"/>
      <c r="O4" s="453"/>
      <c r="P4" s="454" t="s">
        <v>9</v>
      </c>
      <c r="Q4" s="455"/>
      <c r="R4" s="456" t="s">
        <v>10</v>
      </c>
      <c r="S4" s="457"/>
      <c r="T4" s="457"/>
      <c r="U4" s="457"/>
      <c r="V4" s="458"/>
      <c r="W4" s="457" t="s">
        <v>11</v>
      </c>
      <c r="X4" s="457"/>
      <c r="Y4" s="457"/>
      <c r="Z4" s="457"/>
      <c r="AA4" s="458"/>
      <c r="AB4" s="459" t="s">
        <v>12</v>
      </c>
      <c r="AC4" s="433" t="s">
        <v>13</v>
      </c>
      <c r="AD4" s="433" t="s">
        <v>14</v>
      </c>
      <c r="AE4" s="54"/>
    </row>
    <row r="5" spans="1:32" ht="51" customHeight="1" thickBot="1">
      <c r="A5" s="464"/>
      <c r="B5" s="466"/>
      <c r="C5" s="467"/>
      <c r="D5" s="469"/>
      <c r="E5" s="469"/>
      <c r="F5" s="469"/>
      <c r="G5" s="466"/>
      <c r="H5" s="472"/>
      <c r="I5" s="55" t="s">
        <v>15</v>
      </c>
      <c r="J5" s="56" t="s">
        <v>16</v>
      </c>
      <c r="K5" s="224" t="s">
        <v>17</v>
      </c>
      <c r="L5" s="224" t="s">
        <v>18</v>
      </c>
      <c r="M5" s="224" t="s">
        <v>19</v>
      </c>
      <c r="N5" s="224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60"/>
      <c r="AC5" s="434"/>
      <c r="AD5" s="434"/>
      <c r="AE5" s="54"/>
    </row>
    <row r="6" spans="1:32" ht="27" customHeight="1">
      <c r="A6" s="106">
        <v>1</v>
      </c>
      <c r="B6" s="11" t="s">
        <v>57</v>
      </c>
      <c r="C6" s="34" t="s">
        <v>387</v>
      </c>
      <c r="D6" s="52" t="s">
        <v>140</v>
      </c>
      <c r="E6" s="53" t="s">
        <v>415</v>
      </c>
      <c r="F6" s="30" t="s">
        <v>139</v>
      </c>
      <c r="G6" s="12">
        <v>1</v>
      </c>
      <c r="H6" s="13">
        <v>24</v>
      </c>
      <c r="I6" s="31">
        <v>11500</v>
      </c>
      <c r="J6" s="14">
        <v>655</v>
      </c>
      <c r="K6" s="15">
        <f>L6+4993+6081</f>
        <v>11729</v>
      </c>
      <c r="L6" s="15">
        <v>655</v>
      </c>
      <c r="M6" s="15">
        <f t="shared" ref="M6:M27" si="0">L6-N6</f>
        <v>655</v>
      </c>
      <c r="N6" s="15">
        <v>0</v>
      </c>
      <c r="O6" s="58">
        <f t="shared" ref="O6:O28" si="1">IF(L6=0,"0",N6/L6)</f>
        <v>0</v>
      </c>
      <c r="P6" s="39">
        <f t="shared" ref="P6:P27" si="2">IF(L6=0,"0",(24-Q6))</f>
        <v>4</v>
      </c>
      <c r="Q6" s="40">
        <f t="shared" ref="Q6:Q27" si="3">SUM(R6:AA6)</f>
        <v>20</v>
      </c>
      <c r="R6" s="7"/>
      <c r="S6" s="6"/>
      <c r="T6" s="16"/>
      <c r="U6" s="16"/>
      <c r="V6" s="17"/>
      <c r="W6" s="5"/>
      <c r="X6" s="16"/>
      <c r="Y6" s="16"/>
      <c r="Z6" s="16"/>
      <c r="AA6" s="18">
        <v>20</v>
      </c>
      <c r="AB6" s="8">
        <f t="shared" ref="AB6:AB27" si="4">IF(J6=0,"0",(L6/J6))</f>
        <v>1</v>
      </c>
      <c r="AC6" s="9">
        <f t="shared" ref="AC6:AC27" si="5">IF(P6=0,"0",(P6/24))</f>
        <v>0.16666666666666666</v>
      </c>
      <c r="AD6" s="10">
        <f>AC6*AB6*(1-O6)</f>
        <v>0.16666666666666666</v>
      </c>
      <c r="AE6" s="36">
        <f t="shared" ref="AE6:AE27" si="6">$AD$28</f>
        <v>0.60416666666666652</v>
      </c>
      <c r="AF6" s="81">
        <f t="shared" ref="AF6:AF27" si="7">A6</f>
        <v>1</v>
      </c>
    </row>
    <row r="7" spans="1:32" ht="27" customHeight="1">
      <c r="A7" s="106">
        <v>2</v>
      </c>
      <c r="B7" s="11" t="s">
        <v>57</v>
      </c>
      <c r="C7" s="34" t="s">
        <v>461</v>
      </c>
      <c r="D7" s="52" t="s">
        <v>482</v>
      </c>
      <c r="E7" s="53" t="s">
        <v>483</v>
      </c>
      <c r="F7" s="30" t="s">
        <v>484</v>
      </c>
      <c r="G7" s="12">
        <v>3</v>
      </c>
      <c r="H7" s="13">
        <v>24</v>
      </c>
      <c r="I7" s="31">
        <v>40000</v>
      </c>
      <c r="J7" s="14">
        <v>19896</v>
      </c>
      <c r="K7" s="15">
        <f>L7+13566</f>
        <v>33462</v>
      </c>
      <c r="L7" s="15">
        <f>2920*3+3712*3</f>
        <v>19896</v>
      </c>
      <c r="M7" s="15">
        <f t="shared" si="0"/>
        <v>19896</v>
      </c>
      <c r="N7" s="15">
        <v>0</v>
      </c>
      <c r="O7" s="58">
        <f t="shared" si="1"/>
        <v>0</v>
      </c>
      <c r="P7" s="39">
        <f t="shared" si="2"/>
        <v>24</v>
      </c>
      <c r="Q7" s="40">
        <f t="shared" si="3"/>
        <v>0</v>
      </c>
      <c r="R7" s="7"/>
      <c r="S7" s="6"/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1</v>
      </c>
      <c r="AD7" s="10">
        <f t="shared" ref="AD7:AD27" si="8">AC7*AB7*(1-O7)</f>
        <v>1</v>
      </c>
      <c r="AE7" s="36">
        <f t="shared" si="6"/>
        <v>0.60416666666666652</v>
      </c>
      <c r="AF7" s="81">
        <f t="shared" si="7"/>
        <v>2</v>
      </c>
    </row>
    <row r="8" spans="1:32" ht="27" customHeight="1">
      <c r="A8" s="92">
        <v>3</v>
      </c>
      <c r="B8" s="11" t="s">
        <v>57</v>
      </c>
      <c r="C8" s="34" t="s">
        <v>417</v>
      </c>
      <c r="D8" s="52"/>
      <c r="E8" s="53" t="s">
        <v>444</v>
      </c>
      <c r="F8" s="30" t="s">
        <v>286</v>
      </c>
      <c r="G8" s="12" t="s">
        <v>445</v>
      </c>
      <c r="H8" s="13">
        <v>22</v>
      </c>
      <c r="I8" s="31">
        <v>3700</v>
      </c>
      <c r="J8" s="5">
        <v>1585</v>
      </c>
      <c r="K8" s="15">
        <f>L8+3046+1585</f>
        <v>4631</v>
      </c>
      <c r="L8" s="15"/>
      <c r="M8" s="15">
        <f t="shared" si="0"/>
        <v>0</v>
      </c>
      <c r="N8" s="15">
        <v>0</v>
      </c>
      <c r="O8" s="58" t="str">
        <f t="shared" si="1"/>
        <v>0</v>
      </c>
      <c r="P8" s="39" t="str">
        <f t="shared" si="2"/>
        <v>0</v>
      </c>
      <c r="Q8" s="40">
        <f t="shared" si="3"/>
        <v>24</v>
      </c>
      <c r="R8" s="7"/>
      <c r="S8" s="6"/>
      <c r="T8" s="16"/>
      <c r="U8" s="16"/>
      <c r="V8" s="17"/>
      <c r="W8" s="5">
        <v>24</v>
      </c>
      <c r="X8" s="16"/>
      <c r="Y8" s="16"/>
      <c r="Z8" s="16"/>
      <c r="AA8" s="18"/>
      <c r="AB8" s="8">
        <f t="shared" si="4"/>
        <v>0</v>
      </c>
      <c r="AC8" s="9">
        <f t="shared" si="5"/>
        <v>0</v>
      </c>
      <c r="AD8" s="10">
        <f t="shared" si="8"/>
        <v>0</v>
      </c>
      <c r="AE8" s="36">
        <f t="shared" si="6"/>
        <v>0.60416666666666652</v>
      </c>
      <c r="AF8" s="81">
        <f t="shared" si="7"/>
        <v>3</v>
      </c>
    </row>
    <row r="9" spans="1:32" ht="27" customHeight="1">
      <c r="A9" s="92">
        <v>4</v>
      </c>
      <c r="B9" s="11" t="s">
        <v>57</v>
      </c>
      <c r="C9" s="34" t="s">
        <v>116</v>
      </c>
      <c r="D9" s="52" t="s">
        <v>284</v>
      </c>
      <c r="E9" s="53" t="s">
        <v>312</v>
      </c>
      <c r="F9" s="30" t="s">
        <v>323</v>
      </c>
      <c r="G9" s="12">
        <v>1</v>
      </c>
      <c r="H9" s="13">
        <v>24</v>
      </c>
      <c r="I9" s="7">
        <v>60000</v>
      </c>
      <c r="J9" s="14">
        <v>5904</v>
      </c>
      <c r="K9" s="15">
        <f>L9+3954+360+4890+6432+4873</f>
        <v>26413</v>
      </c>
      <c r="L9" s="15">
        <f>3374+2530</f>
        <v>5904</v>
      </c>
      <c r="M9" s="15">
        <f t="shared" si="0"/>
        <v>5904</v>
      </c>
      <c r="N9" s="15">
        <v>0</v>
      </c>
      <c r="O9" s="58">
        <f t="shared" si="1"/>
        <v>0</v>
      </c>
      <c r="P9" s="39">
        <f t="shared" si="2"/>
        <v>23</v>
      </c>
      <c r="Q9" s="40">
        <f t="shared" si="3"/>
        <v>1</v>
      </c>
      <c r="R9" s="7"/>
      <c r="S9" s="6">
        <v>1</v>
      </c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0.95833333333333337</v>
      </c>
      <c r="AD9" s="10">
        <f t="shared" si="8"/>
        <v>0.95833333333333337</v>
      </c>
      <c r="AE9" s="36">
        <f t="shared" si="6"/>
        <v>0.60416666666666652</v>
      </c>
      <c r="AF9" s="81">
        <f t="shared" si="7"/>
        <v>4</v>
      </c>
    </row>
    <row r="10" spans="1:32" ht="27" customHeight="1">
      <c r="A10" s="92">
        <v>5</v>
      </c>
      <c r="B10" s="11" t="s">
        <v>57</v>
      </c>
      <c r="C10" s="11" t="s">
        <v>112</v>
      </c>
      <c r="D10" s="52" t="s">
        <v>121</v>
      </c>
      <c r="E10" s="53" t="s">
        <v>188</v>
      </c>
      <c r="F10" s="30" t="s">
        <v>124</v>
      </c>
      <c r="G10" s="33">
        <v>1</v>
      </c>
      <c r="H10" s="35">
        <v>24</v>
      </c>
      <c r="I10" s="7">
        <v>115000</v>
      </c>
      <c r="J10" s="14">
        <v>5660</v>
      </c>
      <c r="K10" s="15">
        <f>L10+5338+5669+5744+4980+3619+1932+309+2790</f>
        <v>36041</v>
      </c>
      <c r="L10" s="15">
        <f>3075+2585</f>
        <v>5660</v>
      </c>
      <c r="M10" s="15">
        <f t="shared" si="0"/>
        <v>5660</v>
      </c>
      <c r="N10" s="15">
        <v>0</v>
      </c>
      <c r="O10" s="58">
        <f t="shared" si="1"/>
        <v>0</v>
      </c>
      <c r="P10" s="39">
        <f t="shared" si="2"/>
        <v>24</v>
      </c>
      <c r="Q10" s="40">
        <f t="shared" si="3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1</v>
      </c>
      <c r="AD10" s="10">
        <f t="shared" si="8"/>
        <v>1</v>
      </c>
      <c r="AE10" s="36">
        <f t="shared" si="6"/>
        <v>0.60416666666666652</v>
      </c>
      <c r="AF10" s="81">
        <f t="shared" si="7"/>
        <v>5</v>
      </c>
    </row>
    <row r="11" spans="1:32" ht="27" customHeight="1">
      <c r="A11" s="92">
        <v>6</v>
      </c>
      <c r="B11" s="11" t="s">
        <v>57</v>
      </c>
      <c r="C11" s="11" t="s">
        <v>161</v>
      </c>
      <c r="D11" s="52"/>
      <c r="E11" s="53" t="s">
        <v>465</v>
      </c>
      <c r="F11" s="30" t="s">
        <v>145</v>
      </c>
      <c r="G11" s="33">
        <v>2</v>
      </c>
      <c r="H11" s="35">
        <v>24</v>
      </c>
      <c r="I11" s="7">
        <v>13000</v>
      </c>
      <c r="J11" s="14">
        <v>9524</v>
      </c>
      <c r="K11" s="15">
        <f>L11+6400</f>
        <v>15924</v>
      </c>
      <c r="L11" s="15">
        <f>2474*2+2288*2</f>
        <v>9524</v>
      </c>
      <c r="M11" s="15">
        <f t="shared" si="0"/>
        <v>9524</v>
      </c>
      <c r="N11" s="15">
        <v>0</v>
      </c>
      <c r="O11" s="58">
        <f t="shared" si="1"/>
        <v>0</v>
      </c>
      <c r="P11" s="39">
        <f t="shared" si="2"/>
        <v>24</v>
      </c>
      <c r="Q11" s="40">
        <f t="shared" si="3"/>
        <v>0</v>
      </c>
      <c r="R11" s="7"/>
      <c r="S11" s="6"/>
      <c r="T11" s="16"/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1</v>
      </c>
      <c r="AD11" s="10">
        <f t="shared" si="8"/>
        <v>1</v>
      </c>
      <c r="AE11" s="36">
        <f t="shared" si="6"/>
        <v>0.60416666666666652</v>
      </c>
      <c r="AF11" s="81">
        <f t="shared" si="7"/>
        <v>6</v>
      </c>
    </row>
    <row r="12" spans="1:32" ht="27" customHeight="1">
      <c r="A12" s="92">
        <v>7</v>
      </c>
      <c r="B12" s="11" t="s">
        <v>57</v>
      </c>
      <c r="C12" s="34" t="s">
        <v>116</v>
      </c>
      <c r="D12" s="52" t="s">
        <v>115</v>
      </c>
      <c r="E12" s="53" t="s">
        <v>214</v>
      </c>
      <c r="F12" s="30" t="s">
        <v>235</v>
      </c>
      <c r="G12" s="12">
        <v>1</v>
      </c>
      <c r="H12" s="13">
        <v>22</v>
      </c>
      <c r="I12" s="31">
        <v>60000</v>
      </c>
      <c r="J12" s="5">
        <v>8292</v>
      </c>
      <c r="K12" s="15">
        <f>L12+7218+9738+8082+9034+9324+9374+7651+3030</f>
        <v>71743</v>
      </c>
      <c r="L12" s="15">
        <f>2050*2+2096*2</f>
        <v>8292</v>
      </c>
      <c r="M12" s="15">
        <f t="shared" si="0"/>
        <v>8292</v>
      </c>
      <c r="N12" s="15">
        <v>0</v>
      </c>
      <c r="O12" s="58">
        <f t="shared" si="1"/>
        <v>0</v>
      </c>
      <c r="P12" s="39">
        <f t="shared" si="2"/>
        <v>24</v>
      </c>
      <c r="Q12" s="40">
        <f t="shared" si="3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1</v>
      </c>
      <c r="AD12" s="10">
        <f t="shared" si="8"/>
        <v>1</v>
      </c>
      <c r="AE12" s="36">
        <f t="shared" si="6"/>
        <v>0.60416666666666652</v>
      </c>
      <c r="AF12" s="81">
        <f t="shared" si="7"/>
        <v>7</v>
      </c>
    </row>
    <row r="13" spans="1:32" ht="27" customHeight="1">
      <c r="A13" s="92">
        <v>8</v>
      </c>
      <c r="B13" s="11" t="s">
        <v>57</v>
      </c>
      <c r="C13" s="11" t="s">
        <v>127</v>
      </c>
      <c r="D13" s="52" t="s">
        <v>209</v>
      </c>
      <c r="E13" s="53" t="s">
        <v>180</v>
      </c>
      <c r="F13" s="30" t="s">
        <v>123</v>
      </c>
      <c r="G13" s="33">
        <v>1</v>
      </c>
      <c r="H13" s="35">
        <v>22</v>
      </c>
      <c r="I13" s="7">
        <v>17400</v>
      </c>
      <c r="J13" s="14">
        <v>1913</v>
      </c>
      <c r="K13" s="15">
        <f>L13+2074+4459</f>
        <v>8446</v>
      </c>
      <c r="L13" s="15">
        <v>1913</v>
      </c>
      <c r="M13" s="15">
        <f t="shared" si="0"/>
        <v>1913</v>
      </c>
      <c r="N13" s="15">
        <v>0</v>
      </c>
      <c r="O13" s="58">
        <f t="shared" si="1"/>
        <v>0</v>
      </c>
      <c r="P13" s="39">
        <f t="shared" si="2"/>
        <v>11</v>
      </c>
      <c r="Q13" s="40">
        <f t="shared" si="3"/>
        <v>13</v>
      </c>
      <c r="R13" s="7"/>
      <c r="S13" s="6">
        <v>13</v>
      </c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0.45833333333333331</v>
      </c>
      <c r="AD13" s="10">
        <f t="shared" si="8"/>
        <v>0.45833333333333331</v>
      </c>
      <c r="AE13" s="36">
        <f t="shared" si="6"/>
        <v>0.60416666666666652</v>
      </c>
      <c r="AF13" s="81">
        <f t="shared" si="7"/>
        <v>8</v>
      </c>
    </row>
    <row r="14" spans="1:32" ht="27" customHeight="1">
      <c r="A14" s="99">
        <v>9</v>
      </c>
      <c r="B14" s="11" t="s">
        <v>57</v>
      </c>
      <c r="C14" s="34" t="s">
        <v>112</v>
      </c>
      <c r="D14" s="52" t="s">
        <v>115</v>
      </c>
      <c r="E14" s="53" t="s">
        <v>165</v>
      </c>
      <c r="F14" s="30" t="s">
        <v>167</v>
      </c>
      <c r="G14" s="33">
        <v>1</v>
      </c>
      <c r="H14" s="35">
        <v>50</v>
      </c>
      <c r="I14" s="7">
        <v>300</v>
      </c>
      <c r="J14" s="5">
        <v>391</v>
      </c>
      <c r="K14" s="15">
        <f>L14+300</f>
        <v>300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/>
      <c r="T14" s="16"/>
      <c r="U14" s="16"/>
      <c r="V14" s="17"/>
      <c r="W14" s="5"/>
      <c r="X14" s="16"/>
      <c r="Y14" s="16"/>
      <c r="Z14" s="16"/>
      <c r="AA14" s="18">
        <v>24</v>
      </c>
      <c r="AB14" s="8">
        <f t="shared" si="4"/>
        <v>0</v>
      </c>
      <c r="AC14" s="9">
        <f t="shared" si="5"/>
        <v>0</v>
      </c>
      <c r="AD14" s="10">
        <f t="shared" si="8"/>
        <v>0</v>
      </c>
      <c r="AE14" s="36">
        <f t="shared" si="6"/>
        <v>0.60416666666666652</v>
      </c>
      <c r="AF14" s="81">
        <f t="shared" si="7"/>
        <v>9</v>
      </c>
    </row>
    <row r="15" spans="1:32" ht="27" customHeight="1">
      <c r="A15" s="106">
        <v>10</v>
      </c>
      <c r="B15" s="11" t="s">
        <v>57</v>
      </c>
      <c r="C15" s="34" t="s">
        <v>127</v>
      </c>
      <c r="D15" s="52" t="s">
        <v>313</v>
      </c>
      <c r="E15" s="53" t="s">
        <v>324</v>
      </c>
      <c r="F15" s="30" t="s">
        <v>325</v>
      </c>
      <c r="G15" s="12">
        <v>4</v>
      </c>
      <c r="H15" s="13">
        <v>24</v>
      </c>
      <c r="I15" s="31">
        <v>200000</v>
      </c>
      <c r="J15" s="14">
        <v>40504</v>
      </c>
      <c r="K15" s="15">
        <f>L15+34980+32440+20828+34276+40080</f>
        <v>203108</v>
      </c>
      <c r="L15" s="15">
        <f>5610*4+4516*4</f>
        <v>40504</v>
      </c>
      <c r="M15" s="15">
        <f t="shared" si="0"/>
        <v>40504</v>
      </c>
      <c r="N15" s="15">
        <v>0</v>
      </c>
      <c r="O15" s="58">
        <f t="shared" si="1"/>
        <v>0</v>
      </c>
      <c r="P15" s="39">
        <f t="shared" si="2"/>
        <v>24</v>
      </c>
      <c r="Q15" s="40">
        <f t="shared" si="3"/>
        <v>0</v>
      </c>
      <c r="R15" s="7"/>
      <c r="S15" s="6"/>
      <c r="T15" s="16"/>
      <c r="U15" s="16"/>
      <c r="V15" s="17"/>
      <c r="W15" s="5"/>
      <c r="X15" s="16"/>
      <c r="Y15" s="16"/>
      <c r="Z15" s="16"/>
      <c r="AA15" s="18"/>
      <c r="AB15" s="8">
        <f t="shared" si="4"/>
        <v>1</v>
      </c>
      <c r="AC15" s="9">
        <f t="shared" si="5"/>
        <v>1</v>
      </c>
      <c r="AD15" s="10">
        <f t="shared" si="8"/>
        <v>1</v>
      </c>
      <c r="AE15" s="36">
        <f t="shared" si="6"/>
        <v>0.60416666666666652</v>
      </c>
      <c r="AF15" s="81">
        <f t="shared" si="7"/>
        <v>10</v>
      </c>
    </row>
    <row r="16" spans="1:32" ht="27" customHeight="1">
      <c r="A16" s="106">
        <v>11</v>
      </c>
      <c r="B16" s="11" t="s">
        <v>57</v>
      </c>
      <c r="C16" s="34" t="s">
        <v>112</v>
      </c>
      <c r="D16" s="52" t="s">
        <v>115</v>
      </c>
      <c r="E16" s="53" t="s">
        <v>486</v>
      </c>
      <c r="F16" s="30" t="s">
        <v>286</v>
      </c>
      <c r="G16" s="12">
        <v>1</v>
      </c>
      <c r="H16" s="13">
        <v>24</v>
      </c>
      <c r="I16" s="7">
        <v>5000</v>
      </c>
      <c r="J16" s="14">
        <v>4969</v>
      </c>
      <c r="K16" s="15">
        <f>L16+1828</f>
        <v>6797</v>
      </c>
      <c r="L16" s="15">
        <f>2518+2451</f>
        <v>4969</v>
      </c>
      <c r="M16" s="15">
        <f t="shared" si="0"/>
        <v>4969</v>
      </c>
      <c r="N16" s="15">
        <v>0</v>
      </c>
      <c r="O16" s="58">
        <f t="shared" si="1"/>
        <v>0</v>
      </c>
      <c r="P16" s="39">
        <f t="shared" si="2"/>
        <v>24</v>
      </c>
      <c r="Q16" s="40">
        <f t="shared" si="3"/>
        <v>0</v>
      </c>
      <c r="R16" s="7"/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1</v>
      </c>
      <c r="AD16" s="10">
        <f t="shared" si="8"/>
        <v>1</v>
      </c>
      <c r="AE16" s="36">
        <f t="shared" si="6"/>
        <v>0.60416666666666652</v>
      </c>
      <c r="AF16" s="81">
        <f t="shared" si="7"/>
        <v>11</v>
      </c>
    </row>
    <row r="17" spans="1:32" ht="27" customHeight="1">
      <c r="A17" s="106">
        <v>12</v>
      </c>
      <c r="B17" s="11" t="s">
        <v>57</v>
      </c>
      <c r="C17" s="34" t="s">
        <v>127</v>
      </c>
      <c r="D17" s="52" t="s">
        <v>129</v>
      </c>
      <c r="E17" s="53" t="s">
        <v>225</v>
      </c>
      <c r="F17" s="30" t="s">
        <v>228</v>
      </c>
      <c r="G17" s="12">
        <v>2</v>
      </c>
      <c r="H17" s="13">
        <v>24</v>
      </c>
      <c r="I17" s="7">
        <v>13000</v>
      </c>
      <c r="J17" s="14">
        <v>10178</v>
      </c>
      <c r="K17" s="15">
        <f>L17+6526</f>
        <v>16704</v>
      </c>
      <c r="L17" s="15">
        <f>2640*2+2449*2</f>
        <v>10178</v>
      </c>
      <c r="M17" s="15">
        <f t="shared" si="0"/>
        <v>10178</v>
      </c>
      <c r="N17" s="15">
        <v>0</v>
      </c>
      <c r="O17" s="58">
        <f t="shared" si="1"/>
        <v>0</v>
      </c>
      <c r="P17" s="39">
        <f t="shared" si="2"/>
        <v>24</v>
      </c>
      <c r="Q17" s="40">
        <f t="shared" si="3"/>
        <v>0</v>
      </c>
      <c r="R17" s="7"/>
      <c r="S17" s="6"/>
      <c r="T17" s="16"/>
      <c r="U17" s="16"/>
      <c r="V17" s="17"/>
      <c r="W17" s="5"/>
      <c r="X17" s="16"/>
      <c r="Y17" s="16"/>
      <c r="Z17" s="16"/>
      <c r="AA17" s="18"/>
      <c r="AB17" s="8">
        <f t="shared" si="4"/>
        <v>1</v>
      </c>
      <c r="AC17" s="9">
        <f t="shared" si="5"/>
        <v>1</v>
      </c>
      <c r="AD17" s="10">
        <f t="shared" si="8"/>
        <v>1</v>
      </c>
      <c r="AE17" s="36">
        <f t="shared" si="6"/>
        <v>0.60416666666666652</v>
      </c>
      <c r="AF17" s="81">
        <f t="shared" si="7"/>
        <v>12</v>
      </c>
    </row>
    <row r="18" spans="1:32" ht="27" customHeight="1">
      <c r="A18" s="92">
        <v>13</v>
      </c>
      <c r="B18" s="11" t="s">
        <v>57</v>
      </c>
      <c r="C18" s="34" t="s">
        <v>127</v>
      </c>
      <c r="D18" s="52" t="s">
        <v>121</v>
      </c>
      <c r="E18" s="53" t="s">
        <v>523</v>
      </c>
      <c r="F18" s="30" t="s">
        <v>128</v>
      </c>
      <c r="G18" s="12">
        <v>1</v>
      </c>
      <c r="H18" s="13">
        <v>22</v>
      </c>
      <c r="I18" s="31">
        <v>2500</v>
      </c>
      <c r="J18" s="5">
        <v>2604</v>
      </c>
      <c r="K18" s="15">
        <f>L18</f>
        <v>2604</v>
      </c>
      <c r="L18" s="15">
        <f>1652+952</f>
        <v>2604</v>
      </c>
      <c r="M18" s="15">
        <f t="shared" si="0"/>
        <v>2604</v>
      </c>
      <c r="N18" s="15">
        <v>0</v>
      </c>
      <c r="O18" s="58">
        <f t="shared" si="1"/>
        <v>0</v>
      </c>
      <c r="P18" s="39">
        <f t="shared" si="2"/>
        <v>13</v>
      </c>
      <c r="Q18" s="40">
        <f t="shared" si="3"/>
        <v>11</v>
      </c>
      <c r="R18" s="7"/>
      <c r="S18" s="6">
        <v>11</v>
      </c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0.54166666666666663</v>
      </c>
      <c r="AD18" s="10">
        <f t="shared" si="8"/>
        <v>0.54166666666666663</v>
      </c>
      <c r="AE18" s="36">
        <f t="shared" si="6"/>
        <v>0.60416666666666652</v>
      </c>
      <c r="AF18" s="81">
        <f t="shared" si="7"/>
        <v>13</v>
      </c>
    </row>
    <row r="19" spans="1:32" ht="27" customHeight="1">
      <c r="A19" s="92">
        <v>14</v>
      </c>
      <c r="B19" s="11" t="s">
        <v>57</v>
      </c>
      <c r="C19" s="11" t="s">
        <v>161</v>
      </c>
      <c r="D19" s="52"/>
      <c r="E19" s="53" t="s">
        <v>467</v>
      </c>
      <c r="F19" s="30" t="s">
        <v>145</v>
      </c>
      <c r="G19" s="33">
        <v>2</v>
      </c>
      <c r="H19" s="35">
        <v>24</v>
      </c>
      <c r="I19" s="7">
        <v>13000</v>
      </c>
      <c r="J19" s="14">
        <v>6232</v>
      </c>
      <c r="K19" s="15">
        <f>L19+7480</f>
        <v>13712</v>
      </c>
      <c r="L19" s="15">
        <f>1015*2+2000*2+202</f>
        <v>6232</v>
      </c>
      <c r="M19" s="15">
        <f t="shared" si="0"/>
        <v>6232</v>
      </c>
      <c r="N19" s="15">
        <v>0</v>
      </c>
      <c r="O19" s="58">
        <f t="shared" si="1"/>
        <v>0</v>
      </c>
      <c r="P19" s="39">
        <f t="shared" si="2"/>
        <v>19</v>
      </c>
      <c r="Q19" s="40">
        <f t="shared" si="3"/>
        <v>5</v>
      </c>
      <c r="R19" s="7"/>
      <c r="S19" s="6">
        <v>5</v>
      </c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0.79166666666666663</v>
      </c>
      <c r="AD19" s="10">
        <f t="shared" si="8"/>
        <v>0.79166666666666663</v>
      </c>
      <c r="AE19" s="36">
        <f t="shared" si="6"/>
        <v>0.60416666666666652</v>
      </c>
      <c r="AF19" s="81">
        <f t="shared" si="7"/>
        <v>14</v>
      </c>
    </row>
    <row r="20" spans="1:32" ht="27" customHeight="1">
      <c r="A20" s="106">
        <v>15</v>
      </c>
      <c r="B20" s="11" t="s">
        <v>57</v>
      </c>
      <c r="C20" s="11" t="s">
        <v>112</v>
      </c>
      <c r="D20" s="52" t="s">
        <v>115</v>
      </c>
      <c r="E20" s="53" t="s">
        <v>148</v>
      </c>
      <c r="F20" s="30" t="s">
        <v>138</v>
      </c>
      <c r="G20" s="33">
        <v>2</v>
      </c>
      <c r="H20" s="35">
        <v>24</v>
      </c>
      <c r="I20" s="7">
        <v>190000</v>
      </c>
      <c r="J20" s="14">
        <v>2136</v>
      </c>
      <c r="K20" s="15">
        <f>L20+2429+7472+8688+7444+11036+10988+11010+10896+8170+1188+8544+8600+10428</f>
        <v>109029</v>
      </c>
      <c r="L20" s="15">
        <f>1686+225*2</f>
        <v>2136</v>
      </c>
      <c r="M20" s="15">
        <f t="shared" si="0"/>
        <v>2136</v>
      </c>
      <c r="N20" s="15">
        <v>0</v>
      </c>
      <c r="O20" s="58">
        <f t="shared" si="1"/>
        <v>0</v>
      </c>
      <c r="P20" s="39">
        <f t="shared" si="2"/>
        <v>11</v>
      </c>
      <c r="Q20" s="40">
        <f t="shared" si="3"/>
        <v>13</v>
      </c>
      <c r="R20" s="7"/>
      <c r="S20" s="6">
        <v>13</v>
      </c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0.45833333333333331</v>
      </c>
      <c r="AD20" s="10">
        <f t="shared" si="8"/>
        <v>0.45833333333333331</v>
      </c>
      <c r="AE20" s="36">
        <f t="shared" si="6"/>
        <v>0.60416666666666652</v>
      </c>
      <c r="AF20" s="81">
        <f t="shared" si="7"/>
        <v>15</v>
      </c>
    </row>
    <row r="21" spans="1:32" ht="26.25" customHeight="1">
      <c r="A21" s="92">
        <v>16</v>
      </c>
      <c r="B21" s="11" t="s">
        <v>57</v>
      </c>
      <c r="C21" s="11" t="s">
        <v>113</v>
      </c>
      <c r="D21" s="52"/>
      <c r="E21" s="53" t="s">
        <v>160</v>
      </c>
      <c r="F21" s="12" t="s">
        <v>114</v>
      </c>
      <c r="G21" s="12">
        <v>4</v>
      </c>
      <c r="H21" s="35">
        <v>20</v>
      </c>
      <c r="I21" s="7">
        <v>2000000</v>
      </c>
      <c r="J21" s="14">
        <v>58660</v>
      </c>
      <c r="K21" s="15">
        <f>L21+29876+62940+54476+54396+57856+63452+64136+60836</f>
        <v>506628</v>
      </c>
      <c r="L21" s="15">
        <f>8259*4+6406*4</f>
        <v>58660</v>
      </c>
      <c r="M21" s="15">
        <f t="shared" si="0"/>
        <v>58660</v>
      </c>
      <c r="N21" s="15">
        <v>0</v>
      </c>
      <c r="O21" s="58">
        <f t="shared" si="1"/>
        <v>0</v>
      </c>
      <c r="P21" s="39">
        <f t="shared" si="2"/>
        <v>24</v>
      </c>
      <c r="Q21" s="40">
        <f t="shared" si="3"/>
        <v>0</v>
      </c>
      <c r="R21" s="7"/>
      <c r="S21" s="6"/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1</v>
      </c>
      <c r="AD21" s="10">
        <f t="shared" si="8"/>
        <v>1</v>
      </c>
      <c r="AE21" s="36">
        <f t="shared" si="6"/>
        <v>0.60416666666666652</v>
      </c>
      <c r="AF21" s="81">
        <f t="shared" si="7"/>
        <v>16</v>
      </c>
    </row>
    <row r="22" spans="1:32" ht="21.75" customHeight="1">
      <c r="A22" s="92">
        <v>31</v>
      </c>
      <c r="B22" s="11" t="s">
        <v>57</v>
      </c>
      <c r="C22" s="11" t="s">
        <v>191</v>
      </c>
      <c r="D22" s="52"/>
      <c r="E22" s="53" t="s">
        <v>522</v>
      </c>
      <c r="F22" s="12" t="s">
        <v>193</v>
      </c>
      <c r="G22" s="12">
        <v>28</v>
      </c>
      <c r="H22" s="35">
        <v>20</v>
      </c>
      <c r="I22" s="7">
        <v>1000000</v>
      </c>
      <c r="J22" s="14">
        <v>402220</v>
      </c>
      <c r="K22" s="15">
        <f>L22</f>
        <v>402220</v>
      </c>
      <c r="L22" s="15">
        <f>7001*28+7364*28</f>
        <v>402220</v>
      </c>
      <c r="M22" s="15">
        <f t="shared" si="0"/>
        <v>402220</v>
      </c>
      <c r="N22" s="15">
        <v>0</v>
      </c>
      <c r="O22" s="58">
        <f t="shared" si="1"/>
        <v>0</v>
      </c>
      <c r="P22" s="39">
        <f t="shared" si="2"/>
        <v>22</v>
      </c>
      <c r="Q22" s="40">
        <f t="shared" si="3"/>
        <v>2</v>
      </c>
      <c r="R22" s="7"/>
      <c r="S22" s="6"/>
      <c r="T22" s="16">
        <v>2</v>
      </c>
      <c r="U22" s="16"/>
      <c r="V22" s="17"/>
      <c r="W22" s="5"/>
      <c r="X22" s="16"/>
      <c r="Y22" s="16"/>
      <c r="Z22" s="16"/>
      <c r="AA22" s="18"/>
      <c r="AB22" s="8">
        <f t="shared" si="4"/>
        <v>1</v>
      </c>
      <c r="AC22" s="9">
        <f t="shared" si="5"/>
        <v>0.91666666666666663</v>
      </c>
      <c r="AD22" s="10">
        <f t="shared" si="8"/>
        <v>0.91666666666666663</v>
      </c>
      <c r="AE22" s="36">
        <f t="shared" si="6"/>
        <v>0.60416666666666652</v>
      </c>
      <c r="AF22" s="81">
        <f t="shared" si="7"/>
        <v>31</v>
      </c>
    </row>
    <row r="23" spans="1:32" ht="21.75" customHeight="1">
      <c r="A23" s="92">
        <v>32</v>
      </c>
      <c r="B23" s="11" t="s">
        <v>57</v>
      </c>
      <c r="C23" s="11"/>
      <c r="D23" s="52"/>
      <c r="E23" s="53"/>
      <c r="F23" s="12"/>
      <c r="G23" s="12"/>
      <c r="H23" s="35">
        <v>20</v>
      </c>
      <c r="I23" s="7"/>
      <c r="J23" s="14">
        <v>0</v>
      </c>
      <c r="K23" s="15">
        <f t="shared" ref="K23" si="9">L23</f>
        <v>0</v>
      </c>
      <c r="L23" s="15"/>
      <c r="M23" s="15">
        <f t="shared" si="0"/>
        <v>0</v>
      </c>
      <c r="N23" s="15">
        <v>0</v>
      </c>
      <c r="O23" s="58" t="str">
        <f t="shared" si="1"/>
        <v>0</v>
      </c>
      <c r="P23" s="39" t="str">
        <f t="shared" si="2"/>
        <v>0</v>
      </c>
      <c r="Q23" s="40">
        <f t="shared" si="3"/>
        <v>24</v>
      </c>
      <c r="R23" s="7"/>
      <c r="S23" s="6"/>
      <c r="T23" s="16"/>
      <c r="U23" s="16"/>
      <c r="V23" s="17"/>
      <c r="W23" s="5">
        <v>24</v>
      </c>
      <c r="X23" s="16"/>
      <c r="Y23" s="16"/>
      <c r="Z23" s="16"/>
      <c r="AA23" s="18"/>
      <c r="AB23" s="8" t="str">
        <f t="shared" si="4"/>
        <v>0</v>
      </c>
      <c r="AC23" s="9">
        <f t="shared" si="5"/>
        <v>0</v>
      </c>
      <c r="AD23" s="10">
        <f t="shared" si="8"/>
        <v>0</v>
      </c>
      <c r="AE23" s="36">
        <f t="shared" si="6"/>
        <v>0.60416666666666652</v>
      </c>
      <c r="AF23" s="81">
        <f t="shared" si="7"/>
        <v>32</v>
      </c>
    </row>
    <row r="24" spans="1:32" ht="21.75" customHeight="1">
      <c r="A24" s="92">
        <v>33</v>
      </c>
      <c r="B24" s="11" t="s">
        <v>57</v>
      </c>
      <c r="C24" s="11" t="s">
        <v>116</v>
      </c>
      <c r="D24" s="52" t="s">
        <v>147</v>
      </c>
      <c r="E24" s="53" t="s">
        <v>183</v>
      </c>
      <c r="F24" s="12" t="s">
        <v>124</v>
      </c>
      <c r="G24" s="12">
        <v>4</v>
      </c>
      <c r="H24" s="35">
        <v>20</v>
      </c>
      <c r="I24" s="7">
        <v>36000</v>
      </c>
      <c r="J24" s="14">
        <v>31996</v>
      </c>
      <c r="K24" s="15">
        <f>L24+20368+29324+31996</f>
        <v>81688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14"/>
      <c r="W24" s="5">
        <v>24</v>
      </c>
      <c r="X24" s="16"/>
      <c r="Y24" s="16"/>
      <c r="Z24" s="16"/>
      <c r="AA24" s="18"/>
      <c r="AB24" s="8">
        <f t="shared" si="4"/>
        <v>0</v>
      </c>
      <c r="AC24" s="9">
        <f t="shared" si="5"/>
        <v>0</v>
      </c>
      <c r="AD24" s="10">
        <f t="shared" si="8"/>
        <v>0</v>
      </c>
      <c r="AE24" s="36">
        <f t="shared" si="6"/>
        <v>0.60416666666666652</v>
      </c>
      <c r="AF24" s="81">
        <f t="shared" si="7"/>
        <v>33</v>
      </c>
    </row>
    <row r="25" spans="1:32" ht="21.75" customHeight="1">
      <c r="A25" s="92">
        <v>34</v>
      </c>
      <c r="B25" s="11" t="s">
        <v>57</v>
      </c>
      <c r="C25" s="11" t="s">
        <v>116</v>
      </c>
      <c r="D25" s="52" t="s">
        <v>129</v>
      </c>
      <c r="E25" s="53" t="s">
        <v>172</v>
      </c>
      <c r="F25" s="12" t="s">
        <v>125</v>
      </c>
      <c r="G25" s="12">
        <v>4</v>
      </c>
      <c r="H25" s="35">
        <v>20</v>
      </c>
      <c r="I25" s="7">
        <v>36000</v>
      </c>
      <c r="J25" s="14">
        <v>28802</v>
      </c>
      <c r="K25" s="15">
        <f>L25+13760+25860+25496+28600+28802</f>
        <v>122518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14"/>
      <c r="W25" s="5">
        <v>24</v>
      </c>
      <c r="X25" s="16"/>
      <c r="Y25" s="16"/>
      <c r="Z25" s="16"/>
      <c r="AA25" s="18"/>
      <c r="AB25" s="8">
        <f t="shared" si="4"/>
        <v>0</v>
      </c>
      <c r="AC25" s="9">
        <f t="shared" si="5"/>
        <v>0</v>
      </c>
      <c r="AD25" s="10">
        <f t="shared" si="8"/>
        <v>0</v>
      </c>
      <c r="AE25" s="36">
        <f t="shared" si="6"/>
        <v>0.60416666666666652</v>
      </c>
      <c r="AF25" s="81">
        <f t="shared" si="7"/>
        <v>34</v>
      </c>
    </row>
    <row r="26" spans="1:32" ht="21.75" customHeight="1">
      <c r="A26" s="92">
        <v>35</v>
      </c>
      <c r="B26" s="11" t="s">
        <v>57</v>
      </c>
      <c r="C26" s="11" t="s">
        <v>116</v>
      </c>
      <c r="D26" s="52" t="s">
        <v>121</v>
      </c>
      <c r="E26" s="53" t="s">
        <v>126</v>
      </c>
      <c r="F26" s="12" t="s">
        <v>125</v>
      </c>
      <c r="G26" s="12">
        <v>4</v>
      </c>
      <c r="H26" s="35">
        <v>20</v>
      </c>
      <c r="I26" s="7">
        <v>36000</v>
      </c>
      <c r="J26" s="14">
        <v>26944</v>
      </c>
      <c r="K26" s="15">
        <f>L26+24592+26944+21716</f>
        <v>73252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24</v>
      </c>
      <c r="R26" s="7"/>
      <c r="S26" s="6"/>
      <c r="T26" s="16"/>
      <c r="U26" s="16"/>
      <c r="V26" s="114"/>
      <c r="W26" s="5">
        <v>24</v>
      </c>
      <c r="X26" s="16"/>
      <c r="Y26" s="16"/>
      <c r="Z26" s="16"/>
      <c r="AA26" s="18"/>
      <c r="AB26" s="8">
        <f t="shared" si="4"/>
        <v>0</v>
      </c>
      <c r="AC26" s="9">
        <f t="shared" si="5"/>
        <v>0</v>
      </c>
      <c r="AD26" s="10">
        <f t="shared" si="8"/>
        <v>0</v>
      </c>
      <c r="AE26" s="36">
        <f t="shared" si="6"/>
        <v>0.60416666666666652</v>
      </c>
      <c r="AF26" s="81">
        <f t="shared" si="7"/>
        <v>35</v>
      </c>
    </row>
    <row r="27" spans="1:32" ht="21.75" customHeight="1" thickBot="1">
      <c r="A27" s="92">
        <v>36</v>
      </c>
      <c r="B27" s="11" t="s">
        <v>57</v>
      </c>
      <c r="C27" s="11" t="s">
        <v>113</v>
      </c>
      <c r="D27" s="52"/>
      <c r="E27" s="53" t="s">
        <v>182</v>
      </c>
      <c r="F27" s="12" t="s">
        <v>114</v>
      </c>
      <c r="G27" s="12">
        <v>4</v>
      </c>
      <c r="H27" s="35">
        <v>20</v>
      </c>
      <c r="I27" s="7">
        <v>1000000</v>
      </c>
      <c r="J27" s="14">
        <v>76368</v>
      </c>
      <c r="K27" s="15">
        <f>L27+28388+70816</f>
        <v>175572</v>
      </c>
      <c r="L27" s="15">
        <f>9954*4+9138*4</f>
        <v>76368</v>
      </c>
      <c r="M27" s="15">
        <f t="shared" si="0"/>
        <v>76368</v>
      </c>
      <c r="N27" s="15">
        <v>0</v>
      </c>
      <c r="O27" s="58">
        <f t="shared" si="1"/>
        <v>0</v>
      </c>
      <c r="P27" s="39">
        <f t="shared" si="2"/>
        <v>24</v>
      </c>
      <c r="Q27" s="40">
        <f t="shared" si="3"/>
        <v>0</v>
      </c>
      <c r="R27" s="7"/>
      <c r="S27" s="6"/>
      <c r="T27" s="16"/>
      <c r="U27" s="16"/>
      <c r="V27" s="114"/>
      <c r="W27" s="5"/>
      <c r="X27" s="16"/>
      <c r="Y27" s="16"/>
      <c r="Z27" s="16"/>
      <c r="AA27" s="18"/>
      <c r="AB27" s="8">
        <f t="shared" si="4"/>
        <v>1</v>
      </c>
      <c r="AC27" s="9">
        <f t="shared" si="5"/>
        <v>1</v>
      </c>
      <c r="AD27" s="10">
        <f t="shared" si="8"/>
        <v>1</v>
      </c>
      <c r="AE27" s="36">
        <f t="shared" si="6"/>
        <v>0.60416666666666652</v>
      </c>
      <c r="AF27" s="81">
        <f t="shared" si="7"/>
        <v>36</v>
      </c>
    </row>
    <row r="28" spans="1:32" ht="19.5" thickBot="1">
      <c r="A28" s="435" t="s">
        <v>34</v>
      </c>
      <c r="B28" s="436"/>
      <c r="C28" s="436"/>
      <c r="D28" s="436"/>
      <c r="E28" s="436"/>
      <c r="F28" s="436"/>
      <c r="G28" s="436"/>
      <c r="H28" s="437"/>
      <c r="I28" s="22">
        <f t="shared" ref="I28:N28" si="10">SUM(I6:I27)</f>
        <v>4852400</v>
      </c>
      <c r="J28" s="19">
        <f t="shared" si="10"/>
        <v>745433</v>
      </c>
      <c r="K28" s="20">
        <f t="shared" si="10"/>
        <v>1922521</v>
      </c>
      <c r="L28" s="21">
        <f t="shared" si="10"/>
        <v>655715</v>
      </c>
      <c r="M28" s="20">
        <f t="shared" si="10"/>
        <v>655715</v>
      </c>
      <c r="N28" s="21">
        <f t="shared" si="10"/>
        <v>0</v>
      </c>
      <c r="O28" s="41">
        <f t="shared" si="1"/>
        <v>0</v>
      </c>
      <c r="P28" s="42">
        <f t="shared" ref="P28:AA28" si="11">SUM(P6:P27)</f>
        <v>319</v>
      </c>
      <c r="Q28" s="43">
        <f t="shared" si="11"/>
        <v>209</v>
      </c>
      <c r="R28" s="23">
        <f t="shared" si="11"/>
        <v>0</v>
      </c>
      <c r="S28" s="24">
        <f t="shared" si="11"/>
        <v>43</v>
      </c>
      <c r="T28" s="24">
        <f t="shared" si="11"/>
        <v>2</v>
      </c>
      <c r="U28" s="24">
        <f t="shared" si="11"/>
        <v>0</v>
      </c>
      <c r="V28" s="25">
        <f t="shared" si="11"/>
        <v>0</v>
      </c>
      <c r="W28" s="26">
        <f t="shared" si="11"/>
        <v>120</v>
      </c>
      <c r="X28" s="27">
        <f t="shared" si="11"/>
        <v>0</v>
      </c>
      <c r="Y28" s="27">
        <f t="shared" si="11"/>
        <v>0</v>
      </c>
      <c r="Z28" s="27">
        <f t="shared" si="11"/>
        <v>0</v>
      </c>
      <c r="AA28" s="27">
        <f t="shared" si="11"/>
        <v>44</v>
      </c>
      <c r="AB28" s="28">
        <f>AVERAGE(AB6:AB27)</f>
        <v>0.76190476190476186</v>
      </c>
      <c r="AC28" s="4">
        <f>AVERAGE(AC6:AC27)</f>
        <v>0.60416666666666652</v>
      </c>
      <c r="AD28" s="4">
        <f>AVERAGE(AD6:AD27)</f>
        <v>0.60416666666666652</v>
      </c>
      <c r="AE28" s="29"/>
    </row>
    <row r="29" spans="1:32">
      <c r="T29" s="50" t="s">
        <v>130</v>
      </c>
    </row>
    <row r="30" spans="1:32" ht="18.75">
      <c r="A30" s="2"/>
      <c r="B30" s="2" t="s">
        <v>35</v>
      </c>
      <c r="C30" s="2"/>
      <c r="D30" s="2"/>
      <c r="E30" s="2"/>
      <c r="F30" s="2"/>
      <c r="G30" s="2"/>
      <c r="H30" s="3"/>
      <c r="I30" s="3"/>
      <c r="J30" s="2"/>
      <c r="K30" s="2"/>
      <c r="L30" s="2"/>
      <c r="M30" s="2"/>
      <c r="N30" s="2" t="s">
        <v>36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1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 t="s">
        <v>131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F39" s="82"/>
    </row>
    <row r="40" spans="1:32" ht="14.2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F40" s="50"/>
    </row>
    <row r="41" spans="1:32" ht="14.2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F41" s="50"/>
    </row>
    <row r="42" spans="1:32" ht="14.2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50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27">
      <c r="A45" s="59"/>
      <c r="B45" s="59"/>
      <c r="C45" s="59"/>
      <c r="D45" s="59"/>
      <c r="E45" s="59"/>
      <c r="F45" s="37"/>
      <c r="G45" s="37"/>
      <c r="H45" s="38"/>
      <c r="I45" s="38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F45" s="50"/>
    </row>
    <row r="46" spans="1:32" ht="29.25" customHeight="1">
      <c r="A46" s="60"/>
      <c r="B46" s="60"/>
      <c r="C46" s="61"/>
      <c r="D46" s="61"/>
      <c r="E46" s="61"/>
      <c r="F46" s="60"/>
      <c r="G46" s="60"/>
      <c r="H46" s="60"/>
      <c r="I46" s="60"/>
      <c r="J46" s="60"/>
      <c r="K46" s="60"/>
      <c r="L46" s="60"/>
      <c r="M46" s="61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29.25" customHeight="1">
      <c r="A49" s="60"/>
      <c r="B49" s="60"/>
      <c r="C49" s="62"/>
      <c r="D49" s="61"/>
      <c r="E49" s="61"/>
      <c r="F49" s="60"/>
      <c r="G49" s="60"/>
      <c r="H49" s="60"/>
      <c r="I49" s="60"/>
      <c r="J49" s="60"/>
      <c r="K49" s="60"/>
      <c r="L49" s="60"/>
      <c r="M49" s="62"/>
      <c r="N49" s="60"/>
      <c r="O49" s="60"/>
      <c r="P49" s="63"/>
      <c r="Q49" s="63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14.2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F54" s="50"/>
    </row>
    <row r="55" spans="1:32" ht="36" thickBot="1">
      <c r="A55" s="438" t="s">
        <v>45</v>
      </c>
      <c r="B55" s="438"/>
      <c r="C55" s="438"/>
      <c r="D55" s="438"/>
      <c r="E55" s="438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F55" s="50"/>
    </row>
    <row r="56" spans="1:32" ht="26.25" thickBot="1">
      <c r="A56" s="439" t="s">
        <v>524</v>
      </c>
      <c r="B56" s="440"/>
      <c r="C56" s="440"/>
      <c r="D56" s="440"/>
      <c r="E56" s="440"/>
      <c r="F56" s="440"/>
      <c r="G56" s="440"/>
      <c r="H56" s="440"/>
      <c r="I56" s="440"/>
      <c r="J56" s="440"/>
      <c r="K56" s="440"/>
      <c r="L56" s="440"/>
      <c r="M56" s="441"/>
      <c r="N56" s="442" t="s">
        <v>539</v>
      </c>
      <c r="O56" s="443"/>
      <c r="P56" s="443"/>
      <c r="Q56" s="443"/>
      <c r="R56" s="443"/>
      <c r="S56" s="443"/>
      <c r="T56" s="443"/>
      <c r="U56" s="443"/>
      <c r="V56" s="443"/>
      <c r="W56" s="443"/>
      <c r="X56" s="443"/>
      <c r="Y56" s="443"/>
      <c r="Z56" s="443"/>
      <c r="AA56" s="443"/>
      <c r="AB56" s="443"/>
      <c r="AC56" s="443"/>
      <c r="AD56" s="444"/>
    </row>
    <row r="57" spans="1:32" ht="27" customHeight="1">
      <c r="A57" s="445" t="s">
        <v>2</v>
      </c>
      <c r="B57" s="446"/>
      <c r="C57" s="225" t="s">
        <v>46</v>
      </c>
      <c r="D57" s="225" t="s">
        <v>47</v>
      </c>
      <c r="E57" s="225" t="s">
        <v>107</v>
      </c>
      <c r="F57" s="447" t="s">
        <v>106</v>
      </c>
      <c r="G57" s="448"/>
      <c r="H57" s="448"/>
      <c r="I57" s="448"/>
      <c r="J57" s="448"/>
      <c r="K57" s="448"/>
      <c r="L57" s="448"/>
      <c r="M57" s="449"/>
      <c r="N57" s="67" t="s">
        <v>110</v>
      </c>
      <c r="O57" s="225" t="s">
        <v>46</v>
      </c>
      <c r="P57" s="447" t="s">
        <v>47</v>
      </c>
      <c r="Q57" s="450"/>
      <c r="R57" s="447" t="s">
        <v>38</v>
      </c>
      <c r="S57" s="448"/>
      <c r="T57" s="448"/>
      <c r="U57" s="450"/>
      <c r="V57" s="447" t="s">
        <v>48</v>
      </c>
      <c r="W57" s="448"/>
      <c r="X57" s="448"/>
      <c r="Y57" s="448"/>
      <c r="Z57" s="448"/>
      <c r="AA57" s="448"/>
      <c r="AB57" s="448"/>
      <c r="AC57" s="448"/>
      <c r="AD57" s="449"/>
    </row>
    <row r="58" spans="1:32" ht="27" customHeight="1">
      <c r="A58" s="429" t="s">
        <v>161</v>
      </c>
      <c r="B58" s="420"/>
      <c r="C58" s="244" t="s">
        <v>212</v>
      </c>
      <c r="D58" s="244"/>
      <c r="E58" s="244" t="s">
        <v>467</v>
      </c>
      <c r="F58" s="417" t="s">
        <v>525</v>
      </c>
      <c r="G58" s="418"/>
      <c r="H58" s="418"/>
      <c r="I58" s="418"/>
      <c r="J58" s="418"/>
      <c r="K58" s="418"/>
      <c r="L58" s="418"/>
      <c r="M58" s="419"/>
      <c r="N58" s="247" t="s">
        <v>112</v>
      </c>
      <c r="O58" s="241" t="s">
        <v>240</v>
      </c>
      <c r="P58" s="430" t="s">
        <v>115</v>
      </c>
      <c r="Q58" s="431"/>
      <c r="R58" s="430" t="s">
        <v>543</v>
      </c>
      <c r="S58" s="432"/>
      <c r="T58" s="432"/>
      <c r="U58" s="431"/>
      <c r="V58" s="417" t="s">
        <v>153</v>
      </c>
      <c r="W58" s="418"/>
      <c r="X58" s="418"/>
      <c r="Y58" s="418"/>
      <c r="Z58" s="418"/>
      <c r="AA58" s="418"/>
      <c r="AB58" s="418"/>
      <c r="AC58" s="418"/>
      <c r="AD58" s="419"/>
    </row>
    <row r="59" spans="1:32" ht="27" customHeight="1">
      <c r="A59" s="429" t="s">
        <v>526</v>
      </c>
      <c r="B59" s="420"/>
      <c r="C59" s="227" t="s">
        <v>527</v>
      </c>
      <c r="D59" s="227" t="s">
        <v>528</v>
      </c>
      <c r="E59" s="227" t="s">
        <v>529</v>
      </c>
      <c r="F59" s="473" t="s">
        <v>332</v>
      </c>
      <c r="G59" s="474"/>
      <c r="H59" s="474"/>
      <c r="I59" s="474"/>
      <c r="J59" s="474"/>
      <c r="K59" s="474"/>
      <c r="L59" s="474"/>
      <c r="M59" s="475"/>
      <c r="N59" s="226" t="s">
        <v>112</v>
      </c>
      <c r="O59" s="233" t="s">
        <v>240</v>
      </c>
      <c r="P59" s="430" t="s">
        <v>115</v>
      </c>
      <c r="Q59" s="431"/>
      <c r="R59" s="430" t="s">
        <v>503</v>
      </c>
      <c r="S59" s="432"/>
      <c r="T59" s="432"/>
      <c r="U59" s="431"/>
      <c r="V59" s="417" t="s">
        <v>153</v>
      </c>
      <c r="W59" s="418"/>
      <c r="X59" s="418"/>
      <c r="Y59" s="418"/>
      <c r="Z59" s="418"/>
      <c r="AA59" s="418"/>
      <c r="AB59" s="418"/>
      <c r="AC59" s="418"/>
      <c r="AD59" s="419"/>
    </row>
    <row r="60" spans="1:32" ht="27" customHeight="1">
      <c r="A60" s="429" t="s">
        <v>526</v>
      </c>
      <c r="B60" s="420"/>
      <c r="C60" s="227" t="s">
        <v>527</v>
      </c>
      <c r="D60" s="227" t="s">
        <v>528</v>
      </c>
      <c r="E60" s="244" t="s">
        <v>530</v>
      </c>
      <c r="F60" s="473" t="s">
        <v>531</v>
      </c>
      <c r="G60" s="474"/>
      <c r="H60" s="474"/>
      <c r="I60" s="474"/>
      <c r="J60" s="474"/>
      <c r="K60" s="474"/>
      <c r="L60" s="474"/>
      <c r="M60" s="475"/>
      <c r="N60" s="226" t="s">
        <v>112</v>
      </c>
      <c r="O60" s="233" t="s">
        <v>316</v>
      </c>
      <c r="P60" s="430" t="s">
        <v>115</v>
      </c>
      <c r="Q60" s="431"/>
      <c r="R60" s="430" t="s">
        <v>148</v>
      </c>
      <c r="S60" s="432"/>
      <c r="T60" s="432"/>
      <c r="U60" s="431"/>
      <c r="V60" s="417" t="s">
        <v>153</v>
      </c>
      <c r="W60" s="418"/>
      <c r="X60" s="418"/>
      <c r="Y60" s="418"/>
      <c r="Z60" s="418"/>
      <c r="AA60" s="418"/>
      <c r="AB60" s="418"/>
      <c r="AC60" s="418"/>
      <c r="AD60" s="419"/>
    </row>
    <row r="61" spans="1:32" ht="27" customHeight="1">
      <c r="A61" s="429" t="s">
        <v>533</v>
      </c>
      <c r="B61" s="420"/>
      <c r="C61" s="227" t="s">
        <v>534</v>
      </c>
      <c r="D61" s="227" t="s">
        <v>535</v>
      </c>
      <c r="E61" s="227" t="s">
        <v>532</v>
      </c>
      <c r="F61" s="473" t="s">
        <v>122</v>
      </c>
      <c r="G61" s="474"/>
      <c r="H61" s="474"/>
      <c r="I61" s="474"/>
      <c r="J61" s="474"/>
      <c r="K61" s="474"/>
      <c r="L61" s="474"/>
      <c r="M61" s="475"/>
      <c r="N61" s="226" t="s">
        <v>533</v>
      </c>
      <c r="O61" s="233" t="s">
        <v>546</v>
      </c>
      <c r="P61" s="430"/>
      <c r="Q61" s="431"/>
      <c r="R61" s="430" t="s">
        <v>544</v>
      </c>
      <c r="S61" s="432"/>
      <c r="T61" s="432"/>
      <c r="U61" s="431"/>
      <c r="V61" s="417" t="s">
        <v>545</v>
      </c>
      <c r="W61" s="418"/>
      <c r="X61" s="418"/>
      <c r="Y61" s="418"/>
      <c r="Z61" s="418"/>
      <c r="AA61" s="418"/>
      <c r="AB61" s="418"/>
      <c r="AC61" s="418"/>
      <c r="AD61" s="419"/>
    </row>
    <row r="62" spans="1:32" ht="27" customHeight="1">
      <c r="A62" s="429" t="s">
        <v>537</v>
      </c>
      <c r="B62" s="420"/>
      <c r="C62" s="227" t="s">
        <v>538</v>
      </c>
      <c r="D62" s="227"/>
      <c r="E62" s="227" t="s">
        <v>536</v>
      </c>
      <c r="F62" s="473" t="s">
        <v>122</v>
      </c>
      <c r="G62" s="474"/>
      <c r="H62" s="474"/>
      <c r="I62" s="474"/>
      <c r="J62" s="474"/>
      <c r="K62" s="474"/>
      <c r="L62" s="474"/>
      <c r="M62" s="475"/>
      <c r="N62" s="226" t="s">
        <v>112</v>
      </c>
      <c r="O62" s="233" t="s">
        <v>548</v>
      </c>
      <c r="P62" s="430" t="s">
        <v>549</v>
      </c>
      <c r="Q62" s="431"/>
      <c r="R62" s="430" t="s">
        <v>547</v>
      </c>
      <c r="S62" s="432"/>
      <c r="T62" s="432"/>
      <c r="U62" s="431"/>
      <c r="V62" s="417" t="s">
        <v>545</v>
      </c>
      <c r="W62" s="418"/>
      <c r="X62" s="418"/>
      <c r="Y62" s="418"/>
      <c r="Z62" s="418"/>
      <c r="AA62" s="418"/>
      <c r="AB62" s="418"/>
      <c r="AC62" s="418"/>
      <c r="AD62" s="419"/>
    </row>
    <row r="63" spans="1:32" ht="27" customHeight="1">
      <c r="A63" s="429" t="s">
        <v>526</v>
      </c>
      <c r="B63" s="420"/>
      <c r="C63" s="227" t="s">
        <v>540</v>
      </c>
      <c r="D63" s="227" t="s">
        <v>528</v>
      </c>
      <c r="E63" s="227" t="s">
        <v>541</v>
      </c>
      <c r="F63" s="417" t="s">
        <v>542</v>
      </c>
      <c r="G63" s="418"/>
      <c r="H63" s="418"/>
      <c r="I63" s="418"/>
      <c r="J63" s="418"/>
      <c r="K63" s="418"/>
      <c r="L63" s="418"/>
      <c r="M63" s="419"/>
      <c r="N63" s="226"/>
      <c r="O63" s="233"/>
      <c r="P63" s="430"/>
      <c r="Q63" s="431"/>
      <c r="R63" s="430"/>
      <c r="S63" s="432"/>
      <c r="T63" s="432"/>
      <c r="U63" s="431"/>
      <c r="V63" s="417"/>
      <c r="W63" s="418"/>
      <c r="X63" s="418"/>
      <c r="Y63" s="418"/>
      <c r="Z63" s="418"/>
      <c r="AA63" s="418"/>
      <c r="AB63" s="418"/>
      <c r="AC63" s="418"/>
      <c r="AD63" s="419"/>
    </row>
    <row r="64" spans="1:32" ht="27" customHeight="1">
      <c r="A64" s="415"/>
      <c r="B64" s="416"/>
      <c r="C64" s="230"/>
      <c r="D64" s="230"/>
      <c r="E64" s="230"/>
      <c r="F64" s="473"/>
      <c r="G64" s="474"/>
      <c r="H64" s="474"/>
      <c r="I64" s="474"/>
      <c r="J64" s="474"/>
      <c r="K64" s="474"/>
      <c r="L64" s="474"/>
      <c r="M64" s="475"/>
      <c r="N64" s="226"/>
      <c r="O64" s="233"/>
      <c r="P64" s="430"/>
      <c r="Q64" s="431"/>
      <c r="R64" s="430"/>
      <c r="S64" s="432"/>
      <c r="T64" s="432"/>
      <c r="U64" s="431"/>
      <c r="V64" s="417"/>
      <c r="W64" s="418"/>
      <c r="X64" s="418"/>
      <c r="Y64" s="418"/>
      <c r="Z64" s="418"/>
      <c r="AA64" s="418"/>
      <c r="AB64" s="418"/>
      <c r="AC64" s="418"/>
      <c r="AD64" s="419"/>
    </row>
    <row r="65" spans="1:32" ht="27" customHeight="1">
      <c r="A65" s="415"/>
      <c r="B65" s="416"/>
      <c r="C65" s="230"/>
      <c r="D65" s="230"/>
      <c r="E65" s="230"/>
      <c r="F65" s="473"/>
      <c r="G65" s="474"/>
      <c r="H65" s="474"/>
      <c r="I65" s="474"/>
      <c r="J65" s="474"/>
      <c r="K65" s="474"/>
      <c r="L65" s="474"/>
      <c r="M65" s="475"/>
      <c r="N65" s="226"/>
      <c r="O65" s="233"/>
      <c r="P65" s="430"/>
      <c r="Q65" s="431"/>
      <c r="R65" s="430"/>
      <c r="S65" s="432"/>
      <c r="T65" s="432"/>
      <c r="U65" s="431"/>
      <c r="V65" s="417"/>
      <c r="W65" s="418"/>
      <c r="X65" s="418"/>
      <c r="Y65" s="418"/>
      <c r="Z65" s="418"/>
      <c r="AA65" s="418"/>
      <c r="AB65" s="418"/>
      <c r="AC65" s="418"/>
      <c r="AD65" s="419"/>
    </row>
    <row r="66" spans="1:32" ht="27" customHeight="1">
      <c r="A66" s="415"/>
      <c r="B66" s="416"/>
      <c r="C66" s="230"/>
      <c r="D66" s="230"/>
      <c r="E66" s="227"/>
      <c r="F66" s="473"/>
      <c r="G66" s="474"/>
      <c r="H66" s="474"/>
      <c r="I66" s="474"/>
      <c r="J66" s="474"/>
      <c r="K66" s="474"/>
      <c r="L66" s="474"/>
      <c r="M66" s="475"/>
      <c r="N66" s="226"/>
      <c r="O66" s="233"/>
      <c r="P66" s="420"/>
      <c r="Q66" s="420"/>
      <c r="R66" s="420"/>
      <c r="S66" s="420"/>
      <c r="T66" s="420"/>
      <c r="U66" s="420"/>
      <c r="V66" s="417"/>
      <c r="W66" s="418"/>
      <c r="X66" s="418"/>
      <c r="Y66" s="418"/>
      <c r="Z66" s="418"/>
      <c r="AA66" s="418"/>
      <c r="AB66" s="418"/>
      <c r="AC66" s="418"/>
      <c r="AD66" s="419"/>
      <c r="AF66" s="81">
        <f>8*3000</f>
        <v>24000</v>
      </c>
    </row>
    <row r="67" spans="1:32" ht="27" customHeight="1" thickBot="1">
      <c r="A67" s="421"/>
      <c r="B67" s="422"/>
      <c r="C67" s="228"/>
      <c r="D67" s="229"/>
      <c r="E67" s="228"/>
      <c r="F67" s="423"/>
      <c r="G67" s="424"/>
      <c r="H67" s="424"/>
      <c r="I67" s="424"/>
      <c r="J67" s="424"/>
      <c r="K67" s="424"/>
      <c r="L67" s="424"/>
      <c r="M67" s="425"/>
      <c r="N67" s="105"/>
      <c r="O67" s="97"/>
      <c r="P67" s="426"/>
      <c r="Q67" s="426"/>
      <c r="R67" s="426"/>
      <c r="S67" s="426"/>
      <c r="T67" s="426"/>
      <c r="U67" s="426"/>
      <c r="V67" s="427"/>
      <c r="W67" s="427"/>
      <c r="X67" s="427"/>
      <c r="Y67" s="427"/>
      <c r="Z67" s="427"/>
      <c r="AA67" s="427"/>
      <c r="AB67" s="427"/>
      <c r="AC67" s="427"/>
      <c r="AD67" s="428"/>
      <c r="AF67" s="81">
        <f>16*3000</f>
        <v>48000</v>
      </c>
    </row>
    <row r="68" spans="1:32" ht="27.75" thickBot="1">
      <c r="A68" s="413" t="s">
        <v>550</v>
      </c>
      <c r="B68" s="413"/>
      <c r="C68" s="413"/>
      <c r="D68" s="413"/>
      <c r="E68" s="413"/>
      <c r="F68" s="37"/>
      <c r="G68" s="37"/>
      <c r="H68" s="38"/>
      <c r="I68" s="38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F68" s="81">
        <v>24000</v>
      </c>
    </row>
    <row r="69" spans="1:32" ht="29.25" customHeight="1" thickBot="1">
      <c r="A69" s="414" t="s">
        <v>111</v>
      </c>
      <c r="B69" s="411"/>
      <c r="C69" s="231" t="s">
        <v>2</v>
      </c>
      <c r="D69" s="231" t="s">
        <v>37</v>
      </c>
      <c r="E69" s="231" t="s">
        <v>3</v>
      </c>
      <c r="F69" s="411" t="s">
        <v>109</v>
      </c>
      <c r="G69" s="411"/>
      <c r="H69" s="411"/>
      <c r="I69" s="411"/>
      <c r="J69" s="411"/>
      <c r="K69" s="411" t="s">
        <v>39</v>
      </c>
      <c r="L69" s="411"/>
      <c r="M69" s="231" t="s">
        <v>40</v>
      </c>
      <c r="N69" s="411" t="s">
        <v>41</v>
      </c>
      <c r="O69" s="411"/>
      <c r="P69" s="408" t="s">
        <v>42</v>
      </c>
      <c r="Q69" s="410"/>
      <c r="R69" s="408" t="s">
        <v>43</v>
      </c>
      <c r="S69" s="409"/>
      <c r="T69" s="409"/>
      <c r="U69" s="409"/>
      <c r="V69" s="409"/>
      <c r="W69" s="409"/>
      <c r="X69" s="409"/>
      <c r="Y69" s="409"/>
      <c r="Z69" s="409"/>
      <c r="AA69" s="410"/>
      <c r="AB69" s="411" t="s">
        <v>44</v>
      </c>
      <c r="AC69" s="411"/>
      <c r="AD69" s="412"/>
      <c r="AF69" s="81">
        <f>SUM(AF66:AF68)</f>
        <v>96000</v>
      </c>
    </row>
    <row r="70" spans="1:32" ht="25.5" customHeight="1">
      <c r="A70" s="399">
        <v>1</v>
      </c>
      <c r="B70" s="400"/>
      <c r="C70" s="98" t="s">
        <v>537</v>
      </c>
      <c r="D70" s="235"/>
      <c r="E70" s="232" t="s">
        <v>556</v>
      </c>
      <c r="F70" s="401" t="s">
        <v>551</v>
      </c>
      <c r="G70" s="391"/>
      <c r="H70" s="391"/>
      <c r="I70" s="391"/>
      <c r="J70" s="391"/>
      <c r="K70" s="391" t="s">
        <v>557</v>
      </c>
      <c r="L70" s="391"/>
      <c r="M70" s="51" t="s">
        <v>558</v>
      </c>
      <c r="N70" s="402" t="s">
        <v>559</v>
      </c>
      <c r="O70" s="402"/>
      <c r="P70" s="403">
        <v>2600</v>
      </c>
      <c r="Q70" s="403"/>
      <c r="R70" s="404" t="s">
        <v>560</v>
      </c>
      <c r="S70" s="404"/>
      <c r="T70" s="404"/>
      <c r="U70" s="404"/>
      <c r="V70" s="404"/>
      <c r="W70" s="404"/>
      <c r="X70" s="404"/>
      <c r="Y70" s="404"/>
      <c r="Z70" s="404"/>
      <c r="AA70" s="404"/>
      <c r="AB70" s="391"/>
      <c r="AC70" s="391"/>
      <c r="AD70" s="392"/>
      <c r="AF70" s="50"/>
    </row>
    <row r="71" spans="1:32" ht="25.5" customHeight="1">
      <c r="A71" s="399">
        <v>2</v>
      </c>
      <c r="B71" s="400"/>
      <c r="C71" s="98" t="s">
        <v>526</v>
      </c>
      <c r="D71" s="235"/>
      <c r="E71" s="232" t="s">
        <v>528</v>
      </c>
      <c r="F71" s="401" t="s">
        <v>552</v>
      </c>
      <c r="G71" s="391"/>
      <c r="H71" s="391"/>
      <c r="I71" s="391"/>
      <c r="J71" s="391"/>
      <c r="K71" s="391" t="s">
        <v>561</v>
      </c>
      <c r="L71" s="391"/>
      <c r="M71" s="51" t="s">
        <v>562</v>
      </c>
      <c r="N71" s="402" t="s">
        <v>527</v>
      </c>
      <c r="O71" s="402"/>
      <c r="P71" s="403">
        <v>30</v>
      </c>
      <c r="Q71" s="403"/>
      <c r="R71" s="404" t="s">
        <v>563</v>
      </c>
      <c r="S71" s="404"/>
      <c r="T71" s="404"/>
      <c r="U71" s="404"/>
      <c r="V71" s="404"/>
      <c r="W71" s="404"/>
      <c r="X71" s="404"/>
      <c r="Y71" s="404"/>
      <c r="Z71" s="404"/>
      <c r="AA71" s="404"/>
      <c r="AB71" s="391"/>
      <c r="AC71" s="391"/>
      <c r="AD71" s="392"/>
      <c r="AF71" s="50"/>
    </row>
    <row r="72" spans="1:32" ht="25.5" customHeight="1">
      <c r="A72" s="399">
        <v>3</v>
      </c>
      <c r="B72" s="400"/>
      <c r="C72" s="98" t="s">
        <v>564</v>
      </c>
      <c r="D72" s="235"/>
      <c r="E72" s="232" t="s">
        <v>528</v>
      </c>
      <c r="F72" s="401" t="s">
        <v>553</v>
      </c>
      <c r="G72" s="391"/>
      <c r="H72" s="391"/>
      <c r="I72" s="391"/>
      <c r="J72" s="391"/>
      <c r="K72" s="391" t="s">
        <v>565</v>
      </c>
      <c r="L72" s="391"/>
      <c r="M72" s="51" t="s">
        <v>566</v>
      </c>
      <c r="N72" s="402" t="s">
        <v>534</v>
      </c>
      <c r="O72" s="402"/>
      <c r="P72" s="403">
        <v>30</v>
      </c>
      <c r="Q72" s="403"/>
      <c r="R72" s="404"/>
      <c r="S72" s="404"/>
      <c r="T72" s="404"/>
      <c r="U72" s="404"/>
      <c r="V72" s="404"/>
      <c r="W72" s="404"/>
      <c r="X72" s="404"/>
      <c r="Y72" s="404"/>
      <c r="Z72" s="404"/>
      <c r="AA72" s="404"/>
      <c r="AB72" s="391"/>
      <c r="AC72" s="391"/>
      <c r="AD72" s="392"/>
      <c r="AF72" s="50"/>
    </row>
    <row r="73" spans="1:32" ht="25.5" customHeight="1">
      <c r="A73" s="399">
        <v>4</v>
      </c>
      <c r="B73" s="400"/>
      <c r="C73" s="98" t="s">
        <v>564</v>
      </c>
      <c r="D73" s="237"/>
      <c r="E73" s="240" t="s">
        <v>528</v>
      </c>
      <c r="F73" s="405" t="s">
        <v>554</v>
      </c>
      <c r="G73" s="406"/>
      <c r="H73" s="406"/>
      <c r="I73" s="406"/>
      <c r="J73" s="407"/>
      <c r="K73" s="391" t="s">
        <v>565</v>
      </c>
      <c r="L73" s="391"/>
      <c r="M73" s="51" t="s">
        <v>566</v>
      </c>
      <c r="N73" s="402" t="s">
        <v>534</v>
      </c>
      <c r="O73" s="402"/>
      <c r="P73" s="403">
        <v>30</v>
      </c>
      <c r="Q73" s="403"/>
      <c r="R73" s="404"/>
      <c r="S73" s="404"/>
      <c r="T73" s="404"/>
      <c r="U73" s="404"/>
      <c r="V73" s="404"/>
      <c r="W73" s="404"/>
      <c r="X73" s="404"/>
      <c r="Y73" s="404"/>
      <c r="Z73" s="404"/>
      <c r="AA73" s="404"/>
      <c r="AB73" s="391"/>
      <c r="AC73" s="391"/>
      <c r="AD73" s="392"/>
      <c r="AF73" s="50"/>
    </row>
    <row r="74" spans="1:32" ht="25.5" customHeight="1">
      <c r="A74" s="399">
        <v>5</v>
      </c>
      <c r="B74" s="400"/>
      <c r="C74" s="98" t="s">
        <v>526</v>
      </c>
      <c r="D74" s="235"/>
      <c r="E74" s="232" t="s">
        <v>567</v>
      </c>
      <c r="F74" s="405" t="s">
        <v>555</v>
      </c>
      <c r="G74" s="406"/>
      <c r="H74" s="406"/>
      <c r="I74" s="406"/>
      <c r="J74" s="407"/>
      <c r="K74" s="391">
        <v>8301</v>
      </c>
      <c r="L74" s="391"/>
      <c r="M74" s="51" t="s">
        <v>562</v>
      </c>
      <c r="N74" s="402" t="s">
        <v>568</v>
      </c>
      <c r="O74" s="402"/>
      <c r="P74" s="403">
        <v>150</v>
      </c>
      <c r="Q74" s="403"/>
      <c r="R74" s="404"/>
      <c r="S74" s="404"/>
      <c r="T74" s="404"/>
      <c r="U74" s="404"/>
      <c r="V74" s="404"/>
      <c r="W74" s="404"/>
      <c r="X74" s="404"/>
      <c r="Y74" s="404"/>
      <c r="Z74" s="404"/>
      <c r="AA74" s="404"/>
      <c r="AB74" s="391"/>
      <c r="AC74" s="391"/>
      <c r="AD74" s="392"/>
      <c r="AF74" s="50"/>
    </row>
    <row r="75" spans="1:32" ht="25.5" customHeight="1">
      <c r="A75" s="399">
        <v>6</v>
      </c>
      <c r="B75" s="400"/>
      <c r="C75" s="98"/>
      <c r="D75" s="235"/>
      <c r="E75" s="232"/>
      <c r="F75" s="405"/>
      <c r="G75" s="406"/>
      <c r="H75" s="406"/>
      <c r="I75" s="406"/>
      <c r="J75" s="407"/>
      <c r="K75" s="391"/>
      <c r="L75" s="391"/>
      <c r="M75" s="51"/>
      <c r="N75" s="402"/>
      <c r="O75" s="402"/>
      <c r="P75" s="403"/>
      <c r="Q75" s="403"/>
      <c r="R75" s="404"/>
      <c r="S75" s="404"/>
      <c r="T75" s="404"/>
      <c r="U75" s="404"/>
      <c r="V75" s="404"/>
      <c r="W75" s="404"/>
      <c r="X75" s="404"/>
      <c r="Y75" s="404"/>
      <c r="Z75" s="404"/>
      <c r="AA75" s="404"/>
      <c r="AB75" s="391"/>
      <c r="AC75" s="391"/>
      <c r="AD75" s="392"/>
      <c r="AF75" s="50"/>
    </row>
    <row r="76" spans="1:32" ht="25.5" customHeight="1">
      <c r="A76" s="399">
        <v>7</v>
      </c>
      <c r="B76" s="400"/>
      <c r="C76" s="98"/>
      <c r="D76" s="235"/>
      <c r="E76" s="232"/>
      <c r="F76" s="405"/>
      <c r="G76" s="406"/>
      <c r="H76" s="406"/>
      <c r="I76" s="406"/>
      <c r="J76" s="407"/>
      <c r="K76" s="391"/>
      <c r="L76" s="391"/>
      <c r="M76" s="51"/>
      <c r="N76" s="402"/>
      <c r="O76" s="402"/>
      <c r="P76" s="403"/>
      <c r="Q76" s="403"/>
      <c r="R76" s="404"/>
      <c r="S76" s="404"/>
      <c r="T76" s="404"/>
      <c r="U76" s="404"/>
      <c r="V76" s="404"/>
      <c r="W76" s="404"/>
      <c r="X76" s="404"/>
      <c r="Y76" s="404"/>
      <c r="Z76" s="404"/>
      <c r="AA76" s="404"/>
      <c r="AB76" s="391"/>
      <c r="AC76" s="391"/>
      <c r="AD76" s="392"/>
      <c r="AF76" s="50"/>
    </row>
    <row r="77" spans="1:32" ht="25.5" customHeight="1">
      <c r="A77" s="399">
        <v>8</v>
      </c>
      <c r="B77" s="400"/>
      <c r="C77" s="98"/>
      <c r="D77" s="235"/>
      <c r="E77" s="232"/>
      <c r="F77" s="401"/>
      <c r="G77" s="391"/>
      <c r="H77" s="391"/>
      <c r="I77" s="391"/>
      <c r="J77" s="391"/>
      <c r="K77" s="391"/>
      <c r="L77" s="391"/>
      <c r="M77" s="51"/>
      <c r="N77" s="402"/>
      <c r="O77" s="402"/>
      <c r="P77" s="403"/>
      <c r="Q77" s="403"/>
      <c r="R77" s="404"/>
      <c r="S77" s="404"/>
      <c r="T77" s="404"/>
      <c r="U77" s="404"/>
      <c r="V77" s="404"/>
      <c r="W77" s="404"/>
      <c r="X77" s="404"/>
      <c r="Y77" s="404"/>
      <c r="Z77" s="404"/>
      <c r="AA77" s="404"/>
      <c r="AB77" s="391"/>
      <c r="AC77" s="391"/>
      <c r="AD77" s="392"/>
      <c r="AF77" s="50"/>
    </row>
    <row r="78" spans="1:32" ht="25.5" customHeight="1">
      <c r="A78" s="399">
        <v>9</v>
      </c>
      <c r="B78" s="400"/>
      <c r="C78" s="98"/>
      <c r="D78" s="235"/>
      <c r="E78" s="232"/>
      <c r="F78" s="401"/>
      <c r="G78" s="391"/>
      <c r="H78" s="391"/>
      <c r="I78" s="391"/>
      <c r="J78" s="391"/>
      <c r="K78" s="391"/>
      <c r="L78" s="391"/>
      <c r="M78" s="51"/>
      <c r="N78" s="402"/>
      <c r="O78" s="402"/>
      <c r="P78" s="403"/>
      <c r="Q78" s="403"/>
      <c r="R78" s="404"/>
      <c r="S78" s="404"/>
      <c r="T78" s="404"/>
      <c r="U78" s="404"/>
      <c r="V78" s="404"/>
      <c r="W78" s="404"/>
      <c r="X78" s="404"/>
      <c r="Y78" s="404"/>
      <c r="Z78" s="404"/>
      <c r="AA78" s="404"/>
      <c r="AB78" s="391"/>
      <c r="AC78" s="391"/>
      <c r="AD78" s="392"/>
      <c r="AF78" s="50"/>
    </row>
    <row r="79" spans="1:32" ht="25.5" customHeight="1">
      <c r="A79" s="399">
        <v>10</v>
      </c>
      <c r="B79" s="400"/>
      <c r="C79" s="98"/>
      <c r="D79" s="235"/>
      <c r="E79" s="232"/>
      <c r="F79" s="401"/>
      <c r="G79" s="391"/>
      <c r="H79" s="391"/>
      <c r="I79" s="391"/>
      <c r="J79" s="391"/>
      <c r="K79" s="391"/>
      <c r="L79" s="391"/>
      <c r="M79" s="51"/>
      <c r="N79" s="402"/>
      <c r="O79" s="402"/>
      <c r="P79" s="403"/>
      <c r="Q79" s="403"/>
      <c r="R79" s="404"/>
      <c r="S79" s="404"/>
      <c r="T79" s="404"/>
      <c r="U79" s="404"/>
      <c r="V79" s="404"/>
      <c r="W79" s="404"/>
      <c r="X79" s="404"/>
      <c r="Y79" s="404"/>
      <c r="Z79" s="404"/>
      <c r="AA79" s="404"/>
      <c r="AB79" s="391"/>
      <c r="AC79" s="391"/>
      <c r="AD79" s="392"/>
      <c r="AF79" s="50"/>
    </row>
    <row r="80" spans="1:32" ht="26.25" customHeight="1" thickBot="1">
      <c r="A80" s="371" t="s">
        <v>569</v>
      </c>
      <c r="B80" s="371"/>
      <c r="C80" s="371"/>
      <c r="D80" s="371"/>
      <c r="E80" s="371"/>
      <c r="F80" s="37"/>
      <c r="G80" s="37"/>
      <c r="H80" s="38"/>
      <c r="I80" s="38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F80" s="50"/>
    </row>
    <row r="81" spans="1:32" ht="23.25" thickBot="1">
      <c r="A81" s="393" t="s">
        <v>111</v>
      </c>
      <c r="B81" s="394"/>
      <c r="C81" s="234" t="s">
        <v>2</v>
      </c>
      <c r="D81" s="234" t="s">
        <v>37</v>
      </c>
      <c r="E81" s="234" t="s">
        <v>120</v>
      </c>
      <c r="F81" s="373" t="s">
        <v>38</v>
      </c>
      <c r="G81" s="373"/>
      <c r="H81" s="373"/>
      <c r="I81" s="373"/>
      <c r="J81" s="373"/>
      <c r="K81" s="395" t="s">
        <v>58</v>
      </c>
      <c r="L81" s="396"/>
      <c r="M81" s="396"/>
      <c r="N81" s="396"/>
      <c r="O81" s="396"/>
      <c r="P81" s="396"/>
      <c r="Q81" s="396"/>
      <c r="R81" s="396"/>
      <c r="S81" s="397"/>
      <c r="T81" s="373" t="s">
        <v>49</v>
      </c>
      <c r="U81" s="373"/>
      <c r="V81" s="395" t="s">
        <v>50</v>
      </c>
      <c r="W81" s="397"/>
      <c r="X81" s="396" t="s">
        <v>51</v>
      </c>
      <c r="Y81" s="396"/>
      <c r="Z81" s="396"/>
      <c r="AA81" s="396"/>
      <c r="AB81" s="396"/>
      <c r="AC81" s="396"/>
      <c r="AD81" s="398"/>
      <c r="AF81" s="50"/>
    </row>
    <row r="82" spans="1:32" ht="33.75" customHeight="1">
      <c r="A82" s="365">
        <v>1</v>
      </c>
      <c r="B82" s="366"/>
      <c r="C82" s="236"/>
      <c r="D82" s="236"/>
      <c r="E82" s="65"/>
      <c r="F82" s="380"/>
      <c r="G82" s="381"/>
      <c r="H82" s="381"/>
      <c r="I82" s="381"/>
      <c r="J82" s="382"/>
      <c r="K82" s="383"/>
      <c r="L82" s="384"/>
      <c r="M82" s="384"/>
      <c r="N82" s="384"/>
      <c r="O82" s="384"/>
      <c r="P82" s="384"/>
      <c r="Q82" s="384"/>
      <c r="R82" s="384"/>
      <c r="S82" s="385"/>
      <c r="T82" s="386"/>
      <c r="U82" s="387"/>
      <c r="V82" s="388"/>
      <c r="W82" s="388"/>
      <c r="X82" s="389"/>
      <c r="Y82" s="389"/>
      <c r="Z82" s="389"/>
      <c r="AA82" s="389"/>
      <c r="AB82" s="389"/>
      <c r="AC82" s="389"/>
      <c r="AD82" s="390"/>
      <c r="AF82" s="50"/>
    </row>
    <row r="83" spans="1:32" ht="30" customHeight="1">
      <c r="A83" s="358">
        <f>A82+1</f>
        <v>2</v>
      </c>
      <c r="B83" s="359"/>
      <c r="C83" s="235"/>
      <c r="D83" s="235"/>
      <c r="E83" s="32"/>
      <c r="F83" s="359"/>
      <c r="G83" s="359"/>
      <c r="H83" s="359"/>
      <c r="I83" s="359"/>
      <c r="J83" s="359"/>
      <c r="K83" s="374"/>
      <c r="L83" s="375"/>
      <c r="M83" s="375"/>
      <c r="N83" s="375"/>
      <c r="O83" s="375"/>
      <c r="P83" s="375"/>
      <c r="Q83" s="375"/>
      <c r="R83" s="375"/>
      <c r="S83" s="376"/>
      <c r="T83" s="377"/>
      <c r="U83" s="377"/>
      <c r="V83" s="377"/>
      <c r="W83" s="377"/>
      <c r="X83" s="378"/>
      <c r="Y83" s="378"/>
      <c r="Z83" s="378"/>
      <c r="AA83" s="378"/>
      <c r="AB83" s="378"/>
      <c r="AC83" s="378"/>
      <c r="AD83" s="379"/>
      <c r="AF83" s="50"/>
    </row>
    <row r="84" spans="1:32" ht="30" customHeight="1">
      <c r="A84" s="358">
        <f t="shared" ref="A84:A88" si="12">A83+1</f>
        <v>3</v>
      </c>
      <c r="B84" s="359"/>
      <c r="C84" s="235"/>
      <c r="D84" s="235"/>
      <c r="E84" s="32"/>
      <c r="F84" s="359"/>
      <c r="G84" s="359"/>
      <c r="H84" s="359"/>
      <c r="I84" s="359"/>
      <c r="J84" s="359"/>
      <c r="K84" s="374"/>
      <c r="L84" s="375"/>
      <c r="M84" s="375"/>
      <c r="N84" s="375"/>
      <c r="O84" s="375"/>
      <c r="P84" s="375"/>
      <c r="Q84" s="375"/>
      <c r="R84" s="375"/>
      <c r="S84" s="376"/>
      <c r="T84" s="377"/>
      <c r="U84" s="377"/>
      <c r="V84" s="377"/>
      <c r="W84" s="377"/>
      <c r="X84" s="378"/>
      <c r="Y84" s="378"/>
      <c r="Z84" s="378"/>
      <c r="AA84" s="378"/>
      <c r="AB84" s="378"/>
      <c r="AC84" s="378"/>
      <c r="AD84" s="379"/>
      <c r="AF84" s="50"/>
    </row>
    <row r="85" spans="1:32" ht="30" customHeight="1">
      <c r="A85" s="358">
        <f t="shared" si="12"/>
        <v>4</v>
      </c>
      <c r="B85" s="359"/>
      <c r="C85" s="235"/>
      <c r="D85" s="235"/>
      <c r="E85" s="32"/>
      <c r="F85" s="359"/>
      <c r="G85" s="359"/>
      <c r="H85" s="359"/>
      <c r="I85" s="359"/>
      <c r="J85" s="359"/>
      <c r="K85" s="374"/>
      <c r="L85" s="375"/>
      <c r="M85" s="375"/>
      <c r="N85" s="375"/>
      <c r="O85" s="375"/>
      <c r="P85" s="375"/>
      <c r="Q85" s="375"/>
      <c r="R85" s="375"/>
      <c r="S85" s="376"/>
      <c r="T85" s="377"/>
      <c r="U85" s="377"/>
      <c r="V85" s="377"/>
      <c r="W85" s="377"/>
      <c r="X85" s="378"/>
      <c r="Y85" s="378"/>
      <c r="Z85" s="378"/>
      <c r="AA85" s="378"/>
      <c r="AB85" s="378"/>
      <c r="AC85" s="378"/>
      <c r="AD85" s="379"/>
      <c r="AF85" s="50"/>
    </row>
    <row r="86" spans="1:32" ht="30" customHeight="1">
      <c r="A86" s="358">
        <f t="shared" si="12"/>
        <v>5</v>
      </c>
      <c r="B86" s="359"/>
      <c r="C86" s="235"/>
      <c r="D86" s="235"/>
      <c r="E86" s="32"/>
      <c r="F86" s="359"/>
      <c r="G86" s="359"/>
      <c r="H86" s="359"/>
      <c r="I86" s="359"/>
      <c r="J86" s="359"/>
      <c r="K86" s="374"/>
      <c r="L86" s="375"/>
      <c r="M86" s="375"/>
      <c r="N86" s="375"/>
      <c r="O86" s="375"/>
      <c r="P86" s="375"/>
      <c r="Q86" s="375"/>
      <c r="R86" s="375"/>
      <c r="S86" s="376"/>
      <c r="T86" s="377"/>
      <c r="U86" s="377"/>
      <c r="V86" s="377"/>
      <c r="W86" s="377"/>
      <c r="X86" s="378"/>
      <c r="Y86" s="378"/>
      <c r="Z86" s="378"/>
      <c r="AA86" s="378"/>
      <c r="AB86" s="378"/>
      <c r="AC86" s="378"/>
      <c r="AD86" s="379"/>
      <c r="AF86" s="50"/>
    </row>
    <row r="87" spans="1:32" ht="30" customHeight="1">
      <c r="A87" s="358">
        <f t="shared" si="12"/>
        <v>6</v>
      </c>
      <c r="B87" s="359"/>
      <c r="C87" s="235"/>
      <c r="D87" s="235"/>
      <c r="E87" s="32"/>
      <c r="F87" s="359"/>
      <c r="G87" s="359"/>
      <c r="H87" s="359"/>
      <c r="I87" s="359"/>
      <c r="J87" s="359"/>
      <c r="K87" s="374"/>
      <c r="L87" s="375"/>
      <c r="M87" s="375"/>
      <c r="N87" s="375"/>
      <c r="O87" s="375"/>
      <c r="P87" s="375"/>
      <c r="Q87" s="375"/>
      <c r="R87" s="375"/>
      <c r="S87" s="376"/>
      <c r="T87" s="377"/>
      <c r="U87" s="377"/>
      <c r="V87" s="377"/>
      <c r="W87" s="377"/>
      <c r="X87" s="378"/>
      <c r="Y87" s="378"/>
      <c r="Z87" s="378"/>
      <c r="AA87" s="378"/>
      <c r="AB87" s="378"/>
      <c r="AC87" s="378"/>
      <c r="AD87" s="379"/>
      <c r="AF87" s="50"/>
    </row>
    <row r="88" spans="1:32" ht="30" customHeight="1">
      <c r="A88" s="358">
        <f t="shared" si="12"/>
        <v>7</v>
      </c>
      <c r="B88" s="359"/>
      <c r="C88" s="235"/>
      <c r="D88" s="235"/>
      <c r="E88" s="32"/>
      <c r="F88" s="359"/>
      <c r="G88" s="359"/>
      <c r="H88" s="359"/>
      <c r="I88" s="359"/>
      <c r="J88" s="359"/>
      <c r="K88" s="374"/>
      <c r="L88" s="375"/>
      <c r="M88" s="375"/>
      <c r="N88" s="375"/>
      <c r="O88" s="375"/>
      <c r="P88" s="375"/>
      <c r="Q88" s="375"/>
      <c r="R88" s="375"/>
      <c r="S88" s="376"/>
      <c r="T88" s="377"/>
      <c r="U88" s="377"/>
      <c r="V88" s="377"/>
      <c r="W88" s="377"/>
      <c r="X88" s="378"/>
      <c r="Y88" s="378"/>
      <c r="Z88" s="378"/>
      <c r="AA88" s="378"/>
      <c r="AB88" s="378"/>
      <c r="AC88" s="378"/>
      <c r="AD88" s="379"/>
      <c r="AF88" s="50"/>
    </row>
    <row r="89" spans="1:32" ht="36" thickBot="1">
      <c r="A89" s="371" t="s">
        <v>570</v>
      </c>
      <c r="B89" s="371"/>
      <c r="C89" s="371"/>
      <c r="D89" s="371"/>
      <c r="E89" s="371"/>
      <c r="F89" s="37"/>
      <c r="G89" s="37"/>
      <c r="H89" s="38"/>
      <c r="I89" s="38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F89" s="50"/>
    </row>
    <row r="90" spans="1:32" ht="30.75" customHeight="1" thickBot="1">
      <c r="A90" s="372" t="s">
        <v>111</v>
      </c>
      <c r="B90" s="373"/>
      <c r="C90" s="363" t="s">
        <v>52</v>
      </c>
      <c r="D90" s="363"/>
      <c r="E90" s="363" t="s">
        <v>53</v>
      </c>
      <c r="F90" s="363"/>
      <c r="G90" s="363"/>
      <c r="H90" s="363"/>
      <c r="I90" s="363"/>
      <c r="J90" s="363"/>
      <c r="K90" s="363" t="s">
        <v>54</v>
      </c>
      <c r="L90" s="363"/>
      <c r="M90" s="363"/>
      <c r="N90" s="363"/>
      <c r="O90" s="363"/>
      <c r="P90" s="363"/>
      <c r="Q90" s="363"/>
      <c r="R90" s="363"/>
      <c r="S90" s="363"/>
      <c r="T90" s="363" t="s">
        <v>55</v>
      </c>
      <c r="U90" s="363"/>
      <c r="V90" s="363" t="s">
        <v>56</v>
      </c>
      <c r="W90" s="363"/>
      <c r="X90" s="363"/>
      <c r="Y90" s="363" t="s">
        <v>51</v>
      </c>
      <c r="Z90" s="363"/>
      <c r="AA90" s="363"/>
      <c r="AB90" s="363"/>
      <c r="AC90" s="363"/>
      <c r="AD90" s="364"/>
      <c r="AF90" s="50"/>
    </row>
    <row r="91" spans="1:32" ht="30.75" customHeight="1">
      <c r="A91" s="365">
        <v>1</v>
      </c>
      <c r="B91" s="366"/>
      <c r="C91" s="367"/>
      <c r="D91" s="367"/>
      <c r="E91" s="367"/>
      <c r="F91" s="367"/>
      <c r="G91" s="367"/>
      <c r="H91" s="367"/>
      <c r="I91" s="367"/>
      <c r="J91" s="367"/>
      <c r="K91" s="367"/>
      <c r="L91" s="367"/>
      <c r="M91" s="367"/>
      <c r="N91" s="367"/>
      <c r="O91" s="367"/>
      <c r="P91" s="367"/>
      <c r="Q91" s="367"/>
      <c r="R91" s="367"/>
      <c r="S91" s="367"/>
      <c r="T91" s="367"/>
      <c r="U91" s="367"/>
      <c r="V91" s="368"/>
      <c r="W91" s="368"/>
      <c r="X91" s="368"/>
      <c r="Y91" s="369"/>
      <c r="Z91" s="369"/>
      <c r="AA91" s="369"/>
      <c r="AB91" s="369"/>
      <c r="AC91" s="369"/>
      <c r="AD91" s="370"/>
      <c r="AF91" s="50"/>
    </row>
    <row r="92" spans="1:32" ht="30.75" customHeight="1">
      <c r="A92" s="358">
        <v>2</v>
      </c>
      <c r="B92" s="359"/>
      <c r="C92" s="360"/>
      <c r="D92" s="360"/>
      <c r="E92" s="360"/>
      <c r="F92" s="360"/>
      <c r="G92" s="360"/>
      <c r="H92" s="360"/>
      <c r="I92" s="360"/>
      <c r="J92" s="360"/>
      <c r="K92" s="360"/>
      <c r="L92" s="360"/>
      <c r="M92" s="360"/>
      <c r="N92" s="360"/>
      <c r="O92" s="360"/>
      <c r="P92" s="360"/>
      <c r="Q92" s="360"/>
      <c r="R92" s="360"/>
      <c r="S92" s="360"/>
      <c r="T92" s="361"/>
      <c r="U92" s="361"/>
      <c r="V92" s="362"/>
      <c r="W92" s="362"/>
      <c r="X92" s="362"/>
      <c r="Y92" s="350"/>
      <c r="Z92" s="350"/>
      <c r="AA92" s="350"/>
      <c r="AB92" s="350"/>
      <c r="AC92" s="350"/>
      <c r="AD92" s="351"/>
      <c r="AF92" s="50"/>
    </row>
    <row r="93" spans="1:32" ht="30.75" customHeight="1" thickBot="1">
      <c r="A93" s="352">
        <v>3</v>
      </c>
      <c r="B93" s="353"/>
      <c r="C93" s="354"/>
      <c r="D93" s="354"/>
      <c r="E93" s="354"/>
      <c r="F93" s="354"/>
      <c r="G93" s="354"/>
      <c r="H93" s="354"/>
      <c r="I93" s="354"/>
      <c r="J93" s="354"/>
      <c r="K93" s="354"/>
      <c r="L93" s="354"/>
      <c r="M93" s="354"/>
      <c r="N93" s="354"/>
      <c r="O93" s="354"/>
      <c r="P93" s="354"/>
      <c r="Q93" s="354"/>
      <c r="R93" s="354"/>
      <c r="S93" s="354"/>
      <c r="T93" s="354"/>
      <c r="U93" s="354"/>
      <c r="V93" s="355"/>
      <c r="W93" s="355"/>
      <c r="X93" s="355"/>
      <c r="Y93" s="356"/>
      <c r="Z93" s="356"/>
      <c r="AA93" s="356"/>
      <c r="AB93" s="356"/>
      <c r="AC93" s="356"/>
      <c r="AD93" s="357"/>
      <c r="AF93" s="50"/>
    </row>
  </sheetData>
  <mergeCells count="232">
    <mergeCell ref="Y92:AD92"/>
    <mergeCell ref="A93:B93"/>
    <mergeCell ref="C93:D93"/>
    <mergeCell ref="E93:J93"/>
    <mergeCell ref="K93:S93"/>
    <mergeCell ref="T93:U93"/>
    <mergeCell ref="V93:X93"/>
    <mergeCell ref="Y93:AD93"/>
    <mergeCell ref="A92:B92"/>
    <mergeCell ref="C92:D92"/>
    <mergeCell ref="E92:J92"/>
    <mergeCell ref="K92:S92"/>
    <mergeCell ref="T92:U92"/>
    <mergeCell ref="V92:X92"/>
    <mergeCell ref="V90:X90"/>
    <mergeCell ref="Y90:AD90"/>
    <mergeCell ref="A91:B91"/>
    <mergeCell ref="C91:D91"/>
    <mergeCell ref="E91:J91"/>
    <mergeCell ref="K91:S91"/>
    <mergeCell ref="T91:U91"/>
    <mergeCell ref="V91:X91"/>
    <mergeCell ref="Y91:AD91"/>
    <mergeCell ref="A89:E89"/>
    <mergeCell ref="A90:B90"/>
    <mergeCell ref="C90:D90"/>
    <mergeCell ref="E90:J90"/>
    <mergeCell ref="K90:S90"/>
    <mergeCell ref="T90:U90"/>
    <mergeCell ref="A88:B88"/>
    <mergeCell ref="F88:J88"/>
    <mergeCell ref="K88:S88"/>
    <mergeCell ref="T88:U88"/>
    <mergeCell ref="V88:W88"/>
    <mergeCell ref="X88:AD88"/>
    <mergeCell ref="A87:B87"/>
    <mergeCell ref="F87:J87"/>
    <mergeCell ref="K87:S87"/>
    <mergeCell ref="T87:U87"/>
    <mergeCell ref="V87:W87"/>
    <mergeCell ref="X87:AD87"/>
    <mergeCell ref="A86:B86"/>
    <mergeCell ref="F86:J86"/>
    <mergeCell ref="K86:S86"/>
    <mergeCell ref="T86:U86"/>
    <mergeCell ref="V86:W86"/>
    <mergeCell ref="X86:AD86"/>
    <mergeCell ref="A85:B85"/>
    <mergeCell ref="F85:J85"/>
    <mergeCell ref="K85:S85"/>
    <mergeCell ref="T85:U85"/>
    <mergeCell ref="V85:W85"/>
    <mergeCell ref="X85:AD85"/>
    <mergeCell ref="A84:B84"/>
    <mergeCell ref="F84:J84"/>
    <mergeCell ref="K84:S84"/>
    <mergeCell ref="T84:U84"/>
    <mergeCell ref="V84:W84"/>
    <mergeCell ref="X84:AD84"/>
    <mergeCell ref="A83:B83"/>
    <mergeCell ref="F83:J83"/>
    <mergeCell ref="K83:S83"/>
    <mergeCell ref="T83:U83"/>
    <mergeCell ref="V83:W83"/>
    <mergeCell ref="X83:AD83"/>
    <mergeCell ref="A82:B82"/>
    <mergeCell ref="F82:J82"/>
    <mergeCell ref="K82:S82"/>
    <mergeCell ref="T82:U82"/>
    <mergeCell ref="V82:W82"/>
    <mergeCell ref="X82:AD82"/>
    <mergeCell ref="AB79:AD79"/>
    <mergeCell ref="A80:E80"/>
    <mergeCell ref="A81:B81"/>
    <mergeCell ref="F81:J81"/>
    <mergeCell ref="K81:S81"/>
    <mergeCell ref="T81:U81"/>
    <mergeCell ref="V81:W81"/>
    <mergeCell ref="X81:AD81"/>
    <mergeCell ref="A79:B79"/>
    <mergeCell ref="F79:J79"/>
    <mergeCell ref="K79:L79"/>
    <mergeCell ref="N79:O79"/>
    <mergeCell ref="P79:Q79"/>
    <mergeCell ref="R79:AA79"/>
    <mergeCell ref="AB77:AD77"/>
    <mergeCell ref="A78:B78"/>
    <mergeCell ref="F78:J78"/>
    <mergeCell ref="K78:L78"/>
    <mergeCell ref="N78:O78"/>
    <mergeCell ref="P78:Q78"/>
    <mergeCell ref="R78:AA78"/>
    <mergeCell ref="AB78:AD78"/>
    <mergeCell ref="A77:B77"/>
    <mergeCell ref="F77:J77"/>
    <mergeCell ref="K77:L77"/>
    <mergeCell ref="N77:O77"/>
    <mergeCell ref="P77:Q77"/>
    <mergeCell ref="R77:AA77"/>
    <mergeCell ref="AB75:AD75"/>
    <mergeCell ref="A76:B76"/>
    <mergeCell ref="F76:J76"/>
    <mergeCell ref="K76:L76"/>
    <mergeCell ref="N76:O76"/>
    <mergeCell ref="P76:Q76"/>
    <mergeCell ref="R76:AA76"/>
    <mergeCell ref="AB76:AD76"/>
    <mergeCell ref="A75:B75"/>
    <mergeCell ref="F75:J75"/>
    <mergeCell ref="K75:L75"/>
    <mergeCell ref="N75:O75"/>
    <mergeCell ref="P75:Q75"/>
    <mergeCell ref="R75:AA75"/>
    <mergeCell ref="AB73:AD73"/>
    <mergeCell ref="A74:B74"/>
    <mergeCell ref="F74:J74"/>
    <mergeCell ref="K74:L74"/>
    <mergeCell ref="N74:O74"/>
    <mergeCell ref="P74:Q74"/>
    <mergeCell ref="R74:AA74"/>
    <mergeCell ref="AB74:AD74"/>
    <mergeCell ref="A73:B73"/>
    <mergeCell ref="F73:J73"/>
    <mergeCell ref="K73:L73"/>
    <mergeCell ref="N73:O73"/>
    <mergeCell ref="P73:Q73"/>
    <mergeCell ref="R73:AA73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R69:AA69"/>
    <mergeCell ref="AB69:AD69"/>
    <mergeCell ref="A70:B70"/>
    <mergeCell ref="F70:J70"/>
    <mergeCell ref="K70:L70"/>
    <mergeCell ref="N70:O70"/>
    <mergeCell ref="P70:Q70"/>
    <mergeCell ref="R70:AA70"/>
    <mergeCell ref="AB70:AD70"/>
    <mergeCell ref="A68:E68"/>
    <mergeCell ref="A69:B69"/>
    <mergeCell ref="F69:J69"/>
    <mergeCell ref="K69:L69"/>
    <mergeCell ref="N69:O69"/>
    <mergeCell ref="P69:Q69"/>
    <mergeCell ref="A66:B66"/>
    <mergeCell ref="F66:M66"/>
    <mergeCell ref="P66:Q66"/>
    <mergeCell ref="R66:U66"/>
    <mergeCell ref="V66:AD66"/>
    <mergeCell ref="A67:B67"/>
    <mergeCell ref="F67:M67"/>
    <mergeCell ref="P67:Q67"/>
    <mergeCell ref="R67:U67"/>
    <mergeCell ref="V67:AD67"/>
    <mergeCell ref="A64:B64"/>
    <mergeCell ref="F64:M64"/>
    <mergeCell ref="P64:Q64"/>
    <mergeCell ref="R64:U64"/>
    <mergeCell ref="V64:AD64"/>
    <mergeCell ref="A65:B65"/>
    <mergeCell ref="F65:M65"/>
    <mergeCell ref="P65:Q65"/>
    <mergeCell ref="R65:U65"/>
    <mergeCell ref="V65:AD65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D4:AD5"/>
    <mergeCell ref="A28:H28"/>
    <mergeCell ref="A55:E55"/>
    <mergeCell ref="A56:M56"/>
    <mergeCell ref="N56:AD56"/>
    <mergeCell ref="A57:B57"/>
    <mergeCell ref="F57:M57"/>
    <mergeCell ref="P57:Q57"/>
    <mergeCell ref="R57:U57"/>
    <mergeCell ref="V57:AD57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r:id="rId1"/>
  <rowBreaks count="1" manualBreakCount="1">
    <brk id="53" max="29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D4B43-7B8E-42AF-809A-6F0FC7DFD69A}">
  <sheetPr codeName="Sheet12">
    <pageSetUpPr fitToPage="1"/>
  </sheetPr>
  <dimension ref="A1:AF98"/>
  <sheetViews>
    <sheetView view="pageBreakPreview" zoomScale="70" zoomScaleNormal="72" zoomScaleSheetLayoutView="70" workbookViewId="0">
      <selection activeCell="K26" sqref="K26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1" bestFit="1" customWidth="1"/>
    <col min="33" max="33" width="17.625" style="50" customWidth="1"/>
    <col min="34" max="16384" width="9" style="50"/>
  </cols>
  <sheetData>
    <row r="1" spans="1:32" ht="44.25" customHeight="1">
      <c r="A1" s="461" t="s">
        <v>571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61"/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62"/>
      <c r="B3" s="462"/>
      <c r="C3" s="462"/>
      <c r="D3" s="462"/>
      <c r="E3" s="462"/>
      <c r="F3" s="462"/>
      <c r="G3" s="462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63" t="s">
        <v>0</v>
      </c>
      <c r="B4" s="465" t="s">
        <v>1</v>
      </c>
      <c r="C4" s="465" t="s">
        <v>2</v>
      </c>
      <c r="D4" s="468" t="s">
        <v>3</v>
      </c>
      <c r="E4" s="470" t="s">
        <v>4</v>
      </c>
      <c r="F4" s="468" t="s">
        <v>5</v>
      </c>
      <c r="G4" s="465" t="s">
        <v>6</v>
      </c>
      <c r="H4" s="471" t="s">
        <v>7</v>
      </c>
      <c r="I4" s="451" t="s">
        <v>8</v>
      </c>
      <c r="J4" s="452"/>
      <c r="K4" s="452"/>
      <c r="L4" s="452"/>
      <c r="M4" s="452"/>
      <c r="N4" s="452"/>
      <c r="O4" s="453"/>
      <c r="P4" s="454" t="s">
        <v>9</v>
      </c>
      <c r="Q4" s="455"/>
      <c r="R4" s="456" t="s">
        <v>10</v>
      </c>
      <c r="S4" s="457"/>
      <c r="T4" s="457"/>
      <c r="U4" s="457"/>
      <c r="V4" s="458"/>
      <c r="W4" s="457" t="s">
        <v>11</v>
      </c>
      <c r="X4" s="457"/>
      <c r="Y4" s="457"/>
      <c r="Z4" s="457"/>
      <c r="AA4" s="458"/>
      <c r="AB4" s="459" t="s">
        <v>12</v>
      </c>
      <c r="AC4" s="433" t="s">
        <v>13</v>
      </c>
      <c r="AD4" s="433" t="s">
        <v>14</v>
      </c>
      <c r="AE4" s="54"/>
    </row>
    <row r="5" spans="1:32" ht="51" customHeight="1" thickBot="1">
      <c r="A5" s="464"/>
      <c r="B5" s="466"/>
      <c r="C5" s="467"/>
      <c r="D5" s="469"/>
      <c r="E5" s="469"/>
      <c r="F5" s="469"/>
      <c r="G5" s="466"/>
      <c r="H5" s="472"/>
      <c r="I5" s="55" t="s">
        <v>15</v>
      </c>
      <c r="J5" s="56" t="s">
        <v>16</v>
      </c>
      <c r="K5" s="249" t="s">
        <v>17</v>
      </c>
      <c r="L5" s="249" t="s">
        <v>18</v>
      </c>
      <c r="M5" s="249" t="s">
        <v>19</v>
      </c>
      <c r="N5" s="249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60"/>
      <c r="AC5" s="434"/>
      <c r="AD5" s="434"/>
      <c r="AE5" s="54"/>
    </row>
    <row r="6" spans="1:32" ht="27" customHeight="1">
      <c r="A6" s="106">
        <v>1</v>
      </c>
      <c r="B6" s="11" t="s">
        <v>57</v>
      </c>
      <c r="C6" s="34" t="s">
        <v>387</v>
      </c>
      <c r="D6" s="52" t="s">
        <v>140</v>
      </c>
      <c r="E6" s="53" t="s">
        <v>415</v>
      </c>
      <c r="F6" s="30" t="s">
        <v>139</v>
      </c>
      <c r="G6" s="12">
        <v>1</v>
      </c>
      <c r="H6" s="13">
        <v>24</v>
      </c>
      <c r="I6" s="31">
        <v>11500</v>
      </c>
      <c r="J6" s="14">
        <v>655</v>
      </c>
      <c r="K6" s="15">
        <f>L6+4993+6081+655</f>
        <v>11729</v>
      </c>
      <c r="L6" s="15"/>
      <c r="M6" s="15">
        <f t="shared" ref="M6:M32" si="0">L6-N6</f>
        <v>0</v>
      </c>
      <c r="N6" s="15">
        <v>0</v>
      </c>
      <c r="O6" s="58" t="str">
        <f t="shared" ref="O6:O33" si="1">IF(L6=0,"0",N6/L6)</f>
        <v>0</v>
      </c>
      <c r="P6" s="39" t="str">
        <f t="shared" ref="P6:P32" si="2">IF(L6=0,"0",(24-Q6))</f>
        <v>0</v>
      </c>
      <c r="Q6" s="40">
        <f t="shared" ref="Q6:Q32" si="3">SUM(R6:AA6)</f>
        <v>24</v>
      </c>
      <c r="R6" s="7"/>
      <c r="S6" s="6"/>
      <c r="T6" s="16"/>
      <c r="U6" s="16"/>
      <c r="V6" s="17"/>
      <c r="W6" s="5"/>
      <c r="X6" s="16"/>
      <c r="Y6" s="16"/>
      <c r="Z6" s="16"/>
      <c r="AA6" s="18">
        <v>24</v>
      </c>
      <c r="AB6" s="8">
        <f t="shared" ref="AB6:AB32" si="4">IF(J6=0,"0",(L6/J6))</f>
        <v>0</v>
      </c>
      <c r="AC6" s="9">
        <f t="shared" ref="AC6:AC32" si="5">IF(P6=0,"0",(P6/24))</f>
        <v>0</v>
      </c>
      <c r="AD6" s="10">
        <f>AC6*AB6*(1-O6)</f>
        <v>0</v>
      </c>
      <c r="AE6" s="36">
        <f t="shared" ref="AE6:AE32" si="6">$AD$33</f>
        <v>0.42129629629629628</v>
      </c>
      <c r="AF6" s="81">
        <f t="shared" ref="AF6:AF32" si="7">A6</f>
        <v>1</v>
      </c>
    </row>
    <row r="7" spans="1:32" ht="27" customHeight="1">
      <c r="A7" s="106">
        <v>2</v>
      </c>
      <c r="B7" s="11" t="s">
        <v>57</v>
      </c>
      <c r="C7" s="34" t="s">
        <v>461</v>
      </c>
      <c r="D7" s="52" t="s">
        <v>482</v>
      </c>
      <c r="E7" s="53" t="s">
        <v>483</v>
      </c>
      <c r="F7" s="30" t="s">
        <v>484</v>
      </c>
      <c r="G7" s="12">
        <v>3</v>
      </c>
      <c r="H7" s="13">
        <v>24</v>
      </c>
      <c r="I7" s="31">
        <v>40000</v>
      </c>
      <c r="J7" s="14">
        <v>21264</v>
      </c>
      <c r="K7" s="15">
        <f>L7+13566+19896</f>
        <v>54726</v>
      </c>
      <c r="L7" s="15">
        <f>3570*3+3518*3</f>
        <v>21264</v>
      </c>
      <c r="M7" s="15">
        <f t="shared" si="0"/>
        <v>21264</v>
      </c>
      <c r="N7" s="15">
        <v>0</v>
      </c>
      <c r="O7" s="58">
        <f t="shared" si="1"/>
        <v>0</v>
      </c>
      <c r="P7" s="39">
        <f t="shared" si="2"/>
        <v>24</v>
      </c>
      <c r="Q7" s="40">
        <f t="shared" si="3"/>
        <v>0</v>
      </c>
      <c r="R7" s="7"/>
      <c r="S7" s="6"/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1</v>
      </c>
      <c r="AD7" s="10">
        <f t="shared" ref="AD7:AD32" si="8">AC7*AB7*(1-O7)</f>
        <v>1</v>
      </c>
      <c r="AE7" s="36">
        <f t="shared" si="6"/>
        <v>0.42129629629629628</v>
      </c>
      <c r="AF7" s="81">
        <f t="shared" si="7"/>
        <v>2</v>
      </c>
    </row>
    <row r="8" spans="1:32" ht="27" customHeight="1">
      <c r="A8" s="92">
        <v>3</v>
      </c>
      <c r="B8" s="11" t="s">
        <v>57</v>
      </c>
      <c r="C8" s="34" t="s">
        <v>112</v>
      </c>
      <c r="D8" s="52" t="s">
        <v>115</v>
      </c>
      <c r="E8" s="53" t="s">
        <v>503</v>
      </c>
      <c r="F8" s="30" t="s">
        <v>565</v>
      </c>
      <c r="G8" s="12">
        <v>1</v>
      </c>
      <c r="H8" s="13">
        <v>22</v>
      </c>
      <c r="I8" s="31">
        <v>300</v>
      </c>
      <c r="J8" s="5">
        <v>217</v>
      </c>
      <c r="K8" s="15">
        <f>L8</f>
        <v>217</v>
      </c>
      <c r="L8" s="15">
        <v>217</v>
      </c>
      <c r="M8" s="15">
        <f t="shared" si="0"/>
        <v>217</v>
      </c>
      <c r="N8" s="15">
        <v>0</v>
      </c>
      <c r="O8" s="58">
        <f t="shared" si="1"/>
        <v>0</v>
      </c>
      <c r="P8" s="39">
        <f t="shared" si="2"/>
        <v>4</v>
      </c>
      <c r="Q8" s="40">
        <f t="shared" si="3"/>
        <v>20</v>
      </c>
      <c r="R8" s="7"/>
      <c r="S8" s="6">
        <v>20</v>
      </c>
      <c r="T8" s="16"/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0.16666666666666666</v>
      </c>
      <c r="AD8" s="10">
        <f t="shared" si="8"/>
        <v>0.16666666666666666</v>
      </c>
      <c r="AE8" s="36">
        <f t="shared" si="6"/>
        <v>0.42129629629629628</v>
      </c>
      <c r="AF8" s="81">
        <f t="shared" si="7"/>
        <v>3</v>
      </c>
    </row>
    <row r="9" spans="1:32" ht="27" customHeight="1">
      <c r="A9" s="92">
        <v>3</v>
      </c>
      <c r="B9" s="11" t="s">
        <v>57</v>
      </c>
      <c r="C9" s="34" t="s">
        <v>112</v>
      </c>
      <c r="D9" s="52" t="s">
        <v>115</v>
      </c>
      <c r="E9" s="53" t="s">
        <v>530</v>
      </c>
      <c r="F9" s="30" t="s">
        <v>565</v>
      </c>
      <c r="G9" s="12">
        <v>1</v>
      </c>
      <c r="H9" s="13">
        <v>22</v>
      </c>
      <c r="I9" s="31">
        <v>300</v>
      </c>
      <c r="J9" s="5">
        <v>527</v>
      </c>
      <c r="K9" s="15">
        <f>L9</f>
        <v>527</v>
      </c>
      <c r="L9" s="15">
        <v>527</v>
      </c>
      <c r="M9" s="15">
        <f t="shared" ref="M9" si="9">L9-N9</f>
        <v>527</v>
      </c>
      <c r="N9" s="15">
        <v>0</v>
      </c>
      <c r="O9" s="58">
        <f t="shared" ref="O9" si="10">IF(L9=0,"0",N9/L9)</f>
        <v>0</v>
      </c>
      <c r="P9" s="39">
        <f t="shared" ref="P9" si="11">IF(L9=0,"0",(24-Q9))</f>
        <v>7</v>
      </c>
      <c r="Q9" s="40">
        <f t="shared" ref="Q9" si="12">SUM(R9:AA9)</f>
        <v>17</v>
      </c>
      <c r="R9" s="7"/>
      <c r="S9" s="6">
        <v>17</v>
      </c>
      <c r="T9" s="16"/>
      <c r="U9" s="16"/>
      <c r="V9" s="17"/>
      <c r="W9" s="5"/>
      <c r="X9" s="16"/>
      <c r="Y9" s="16"/>
      <c r="Z9" s="16"/>
      <c r="AA9" s="18"/>
      <c r="AB9" s="8">
        <f t="shared" ref="AB9" si="13">IF(J9=0,"0",(L9/J9))</f>
        <v>1</v>
      </c>
      <c r="AC9" s="9">
        <f t="shared" ref="AC9" si="14">IF(P9=0,"0",(P9/24))</f>
        <v>0.29166666666666669</v>
      </c>
      <c r="AD9" s="10">
        <f t="shared" ref="AD9" si="15">AC9*AB9*(1-O9)</f>
        <v>0.29166666666666669</v>
      </c>
      <c r="AE9" s="36">
        <f t="shared" si="6"/>
        <v>0.42129629629629628</v>
      </c>
      <c r="AF9" s="81">
        <f t="shared" ref="AF9" si="16">A9</f>
        <v>3</v>
      </c>
    </row>
    <row r="10" spans="1:32" ht="27" customHeight="1">
      <c r="A10" s="92">
        <v>4</v>
      </c>
      <c r="B10" s="11" t="s">
        <v>57</v>
      </c>
      <c r="C10" s="34" t="s">
        <v>116</v>
      </c>
      <c r="D10" s="52" t="s">
        <v>284</v>
      </c>
      <c r="E10" s="53" t="s">
        <v>312</v>
      </c>
      <c r="F10" s="30" t="s">
        <v>323</v>
      </c>
      <c r="G10" s="12">
        <v>1</v>
      </c>
      <c r="H10" s="13">
        <v>24</v>
      </c>
      <c r="I10" s="7">
        <v>60000</v>
      </c>
      <c r="J10" s="14">
        <v>4751</v>
      </c>
      <c r="K10" s="15">
        <f>L10+3954+360+4890+6432+4873+5904</f>
        <v>31164</v>
      </c>
      <c r="L10" s="15">
        <f>1615+3136</f>
        <v>4751</v>
      </c>
      <c r="M10" s="15">
        <f t="shared" si="0"/>
        <v>4751</v>
      </c>
      <c r="N10" s="15">
        <v>0</v>
      </c>
      <c r="O10" s="58">
        <f t="shared" si="1"/>
        <v>0</v>
      </c>
      <c r="P10" s="39">
        <f t="shared" si="2"/>
        <v>20</v>
      </c>
      <c r="Q10" s="40">
        <f t="shared" si="3"/>
        <v>4</v>
      </c>
      <c r="R10" s="7"/>
      <c r="S10" s="6">
        <v>4</v>
      </c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0.83333333333333337</v>
      </c>
      <c r="AD10" s="10">
        <f t="shared" si="8"/>
        <v>0.83333333333333337</v>
      </c>
      <c r="AE10" s="36">
        <f t="shared" si="6"/>
        <v>0.42129629629629628</v>
      </c>
      <c r="AF10" s="81">
        <f t="shared" si="7"/>
        <v>4</v>
      </c>
    </row>
    <row r="11" spans="1:32" ht="27" customHeight="1">
      <c r="A11" s="92">
        <v>5</v>
      </c>
      <c r="B11" s="11" t="s">
        <v>57</v>
      </c>
      <c r="C11" s="11" t="s">
        <v>112</v>
      </c>
      <c r="D11" s="52" t="s">
        <v>121</v>
      </c>
      <c r="E11" s="53" t="s">
        <v>188</v>
      </c>
      <c r="F11" s="30" t="s">
        <v>124</v>
      </c>
      <c r="G11" s="33">
        <v>1</v>
      </c>
      <c r="H11" s="35">
        <v>24</v>
      </c>
      <c r="I11" s="7">
        <v>115000</v>
      </c>
      <c r="J11" s="14">
        <v>4715</v>
      </c>
      <c r="K11" s="15">
        <f>L11+5338+5669+5744+4980+3619+1932+309+2790+5660</f>
        <v>40756</v>
      </c>
      <c r="L11" s="15">
        <f>2410+2120+185</f>
        <v>4715</v>
      </c>
      <c r="M11" s="15">
        <f t="shared" si="0"/>
        <v>4715</v>
      </c>
      <c r="N11" s="15">
        <v>0</v>
      </c>
      <c r="O11" s="58">
        <f t="shared" si="1"/>
        <v>0</v>
      </c>
      <c r="P11" s="39">
        <f t="shared" si="2"/>
        <v>24</v>
      </c>
      <c r="Q11" s="40">
        <f t="shared" si="3"/>
        <v>0</v>
      </c>
      <c r="R11" s="7"/>
      <c r="S11" s="6"/>
      <c r="T11" s="16"/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1</v>
      </c>
      <c r="AD11" s="10">
        <f t="shared" si="8"/>
        <v>1</v>
      </c>
      <c r="AE11" s="36">
        <f t="shared" si="6"/>
        <v>0.42129629629629628</v>
      </c>
      <c r="AF11" s="81">
        <f t="shared" si="7"/>
        <v>5</v>
      </c>
    </row>
    <row r="12" spans="1:32" ht="27" customHeight="1">
      <c r="A12" s="92">
        <v>6</v>
      </c>
      <c r="B12" s="11" t="s">
        <v>57</v>
      </c>
      <c r="C12" s="11" t="s">
        <v>116</v>
      </c>
      <c r="D12" s="52" t="s">
        <v>147</v>
      </c>
      <c r="E12" s="53" t="s">
        <v>373</v>
      </c>
      <c r="F12" s="30" t="s">
        <v>286</v>
      </c>
      <c r="G12" s="33">
        <v>1</v>
      </c>
      <c r="H12" s="35">
        <v>24</v>
      </c>
      <c r="I12" s="7">
        <v>800</v>
      </c>
      <c r="J12" s="14">
        <v>800</v>
      </c>
      <c r="K12" s="15">
        <f>L12</f>
        <v>800</v>
      </c>
      <c r="L12" s="15">
        <v>800</v>
      </c>
      <c r="M12" s="15">
        <f t="shared" si="0"/>
        <v>800</v>
      </c>
      <c r="N12" s="15">
        <v>0</v>
      </c>
      <c r="O12" s="58">
        <f t="shared" si="1"/>
        <v>0</v>
      </c>
      <c r="P12" s="39">
        <f t="shared" si="2"/>
        <v>5</v>
      </c>
      <c r="Q12" s="40">
        <f t="shared" si="3"/>
        <v>19</v>
      </c>
      <c r="R12" s="7"/>
      <c r="S12" s="6"/>
      <c r="T12" s="16"/>
      <c r="U12" s="16"/>
      <c r="V12" s="17"/>
      <c r="W12" s="5">
        <v>19</v>
      </c>
      <c r="X12" s="16"/>
      <c r="Y12" s="16"/>
      <c r="Z12" s="16"/>
      <c r="AA12" s="18"/>
      <c r="AB12" s="8">
        <f t="shared" si="4"/>
        <v>1</v>
      </c>
      <c r="AC12" s="9">
        <f t="shared" si="5"/>
        <v>0.20833333333333334</v>
      </c>
      <c r="AD12" s="10">
        <f t="shared" si="8"/>
        <v>0.20833333333333334</v>
      </c>
      <c r="AE12" s="36">
        <f t="shared" si="6"/>
        <v>0.42129629629629628</v>
      </c>
      <c r="AF12" s="81">
        <f t="shared" si="7"/>
        <v>6</v>
      </c>
    </row>
    <row r="13" spans="1:32" ht="27" customHeight="1">
      <c r="A13" s="92">
        <v>6</v>
      </c>
      <c r="B13" s="11" t="s">
        <v>57</v>
      </c>
      <c r="C13" s="11" t="s">
        <v>127</v>
      </c>
      <c r="D13" s="52" t="s">
        <v>572</v>
      </c>
      <c r="E13" s="53" t="s">
        <v>573</v>
      </c>
      <c r="F13" s="30" t="s">
        <v>124</v>
      </c>
      <c r="G13" s="33">
        <v>4</v>
      </c>
      <c r="H13" s="35">
        <v>24</v>
      </c>
      <c r="I13" s="7">
        <v>100000</v>
      </c>
      <c r="J13" s="14">
        <v>11704</v>
      </c>
      <c r="K13" s="15">
        <f>L13</f>
        <v>11704</v>
      </c>
      <c r="L13" s="15">
        <f>2926*4</f>
        <v>11704</v>
      </c>
      <c r="M13" s="15">
        <f t="shared" ref="M13" si="17">L13-N13</f>
        <v>11704</v>
      </c>
      <c r="N13" s="15">
        <v>0</v>
      </c>
      <c r="O13" s="58">
        <f t="shared" ref="O13" si="18">IF(L13=0,"0",N13/L13)</f>
        <v>0</v>
      </c>
      <c r="P13" s="39">
        <f t="shared" ref="P13" si="19">IF(L13=0,"0",(24-Q13))</f>
        <v>13</v>
      </c>
      <c r="Q13" s="40">
        <f t="shared" ref="Q13" si="20">SUM(R13:AA13)</f>
        <v>11</v>
      </c>
      <c r="R13" s="7"/>
      <c r="S13" s="6"/>
      <c r="T13" s="16">
        <v>11</v>
      </c>
      <c r="U13" s="16"/>
      <c r="V13" s="17"/>
      <c r="W13" s="5"/>
      <c r="X13" s="16"/>
      <c r="Y13" s="16"/>
      <c r="Z13" s="16"/>
      <c r="AA13" s="18"/>
      <c r="AB13" s="8">
        <f t="shared" ref="AB13" si="21">IF(J13=0,"0",(L13/J13))</f>
        <v>1</v>
      </c>
      <c r="AC13" s="9">
        <f t="shared" ref="AC13" si="22">IF(P13=0,"0",(P13/24))</f>
        <v>0.54166666666666663</v>
      </c>
      <c r="AD13" s="10">
        <f t="shared" ref="AD13" si="23">AC13*AB13*(1-O13)</f>
        <v>0.54166666666666663</v>
      </c>
      <c r="AE13" s="36">
        <f t="shared" si="6"/>
        <v>0.42129629629629628</v>
      </c>
      <c r="AF13" s="81">
        <f t="shared" ref="AF13" si="24">A13</f>
        <v>6</v>
      </c>
    </row>
    <row r="14" spans="1:32" ht="27" customHeight="1">
      <c r="A14" s="92">
        <v>7</v>
      </c>
      <c r="B14" s="11" t="s">
        <v>57</v>
      </c>
      <c r="C14" s="34" t="s">
        <v>112</v>
      </c>
      <c r="D14" s="52" t="s">
        <v>147</v>
      </c>
      <c r="E14" s="53" t="s">
        <v>547</v>
      </c>
      <c r="F14" s="30" t="s">
        <v>286</v>
      </c>
      <c r="G14" s="12">
        <v>1</v>
      </c>
      <c r="H14" s="13">
        <v>22</v>
      </c>
      <c r="I14" s="31">
        <v>40000</v>
      </c>
      <c r="J14" s="5">
        <v>4452</v>
      </c>
      <c r="K14" s="15">
        <f>L14</f>
        <v>4452</v>
      </c>
      <c r="L14" s="15">
        <f>2217+2235</f>
        <v>4452</v>
      </c>
      <c r="M14" s="15">
        <f t="shared" si="0"/>
        <v>4452</v>
      </c>
      <c r="N14" s="15">
        <v>0</v>
      </c>
      <c r="O14" s="58">
        <f t="shared" si="1"/>
        <v>0</v>
      </c>
      <c r="P14" s="39">
        <f t="shared" si="2"/>
        <v>23</v>
      </c>
      <c r="Q14" s="40">
        <f t="shared" si="3"/>
        <v>1</v>
      </c>
      <c r="R14" s="7"/>
      <c r="S14" s="6"/>
      <c r="T14" s="16">
        <v>1</v>
      </c>
      <c r="U14" s="16"/>
      <c r="V14" s="17"/>
      <c r="W14" s="5"/>
      <c r="X14" s="16"/>
      <c r="Y14" s="16"/>
      <c r="Z14" s="16"/>
      <c r="AA14" s="18"/>
      <c r="AB14" s="8">
        <f t="shared" si="4"/>
        <v>1</v>
      </c>
      <c r="AC14" s="9">
        <f t="shared" si="5"/>
        <v>0.95833333333333337</v>
      </c>
      <c r="AD14" s="10">
        <f t="shared" si="8"/>
        <v>0.95833333333333337</v>
      </c>
      <c r="AE14" s="36">
        <f t="shared" si="6"/>
        <v>0.42129629629629628</v>
      </c>
      <c r="AF14" s="81">
        <f t="shared" si="7"/>
        <v>7</v>
      </c>
    </row>
    <row r="15" spans="1:32" ht="27" customHeight="1">
      <c r="A15" s="92">
        <v>8</v>
      </c>
      <c r="B15" s="11" t="s">
        <v>57</v>
      </c>
      <c r="C15" s="11" t="s">
        <v>127</v>
      </c>
      <c r="D15" s="52" t="s">
        <v>209</v>
      </c>
      <c r="E15" s="53" t="s">
        <v>180</v>
      </c>
      <c r="F15" s="30" t="s">
        <v>123</v>
      </c>
      <c r="G15" s="33">
        <v>1</v>
      </c>
      <c r="H15" s="35">
        <v>22</v>
      </c>
      <c r="I15" s="7">
        <v>17400</v>
      </c>
      <c r="J15" s="14">
        <v>1379</v>
      </c>
      <c r="K15" s="15">
        <f>L15+2074+4459+1913</f>
        <v>9825</v>
      </c>
      <c r="L15" s="15">
        <f>1270+109</f>
        <v>1379</v>
      </c>
      <c r="M15" s="15">
        <f t="shared" si="0"/>
        <v>1379</v>
      </c>
      <c r="N15" s="15">
        <v>0</v>
      </c>
      <c r="O15" s="58">
        <f t="shared" si="1"/>
        <v>0</v>
      </c>
      <c r="P15" s="39">
        <f t="shared" si="2"/>
        <v>9</v>
      </c>
      <c r="Q15" s="40">
        <f t="shared" si="3"/>
        <v>15</v>
      </c>
      <c r="R15" s="7"/>
      <c r="S15" s="6">
        <v>15</v>
      </c>
      <c r="T15" s="16"/>
      <c r="U15" s="16"/>
      <c r="V15" s="17"/>
      <c r="W15" s="5"/>
      <c r="X15" s="16"/>
      <c r="Y15" s="16"/>
      <c r="Z15" s="16"/>
      <c r="AA15" s="18"/>
      <c r="AB15" s="8">
        <f t="shared" si="4"/>
        <v>1</v>
      </c>
      <c r="AC15" s="9">
        <f t="shared" si="5"/>
        <v>0.375</v>
      </c>
      <c r="AD15" s="10">
        <f t="shared" si="8"/>
        <v>0.375</v>
      </c>
      <c r="AE15" s="36">
        <f t="shared" si="6"/>
        <v>0.42129629629629628</v>
      </c>
      <c r="AF15" s="81">
        <f t="shared" si="7"/>
        <v>8</v>
      </c>
    </row>
    <row r="16" spans="1:32" ht="27" customHeight="1">
      <c r="A16" s="99">
        <v>9</v>
      </c>
      <c r="B16" s="11" t="s">
        <v>57</v>
      </c>
      <c r="C16" s="34" t="s">
        <v>112</v>
      </c>
      <c r="D16" s="52" t="s">
        <v>115</v>
      </c>
      <c r="E16" s="53" t="s">
        <v>165</v>
      </c>
      <c r="F16" s="30" t="s">
        <v>167</v>
      </c>
      <c r="G16" s="33">
        <v>1</v>
      </c>
      <c r="H16" s="35">
        <v>50</v>
      </c>
      <c r="I16" s="7">
        <v>300</v>
      </c>
      <c r="J16" s="5">
        <v>391</v>
      </c>
      <c r="K16" s="15">
        <f>L16+300</f>
        <v>300</v>
      </c>
      <c r="L16" s="15"/>
      <c r="M16" s="15">
        <f t="shared" si="0"/>
        <v>0</v>
      </c>
      <c r="N16" s="15">
        <v>0</v>
      </c>
      <c r="O16" s="58" t="str">
        <f t="shared" si="1"/>
        <v>0</v>
      </c>
      <c r="P16" s="39" t="str">
        <f t="shared" si="2"/>
        <v>0</v>
      </c>
      <c r="Q16" s="40">
        <f t="shared" si="3"/>
        <v>24</v>
      </c>
      <c r="R16" s="7"/>
      <c r="S16" s="6"/>
      <c r="T16" s="16"/>
      <c r="U16" s="16"/>
      <c r="V16" s="17"/>
      <c r="W16" s="5"/>
      <c r="X16" s="16"/>
      <c r="Y16" s="16"/>
      <c r="Z16" s="16"/>
      <c r="AA16" s="18">
        <v>24</v>
      </c>
      <c r="AB16" s="8">
        <f t="shared" si="4"/>
        <v>0</v>
      </c>
      <c r="AC16" s="9">
        <f t="shared" si="5"/>
        <v>0</v>
      </c>
      <c r="AD16" s="10">
        <f t="shared" si="8"/>
        <v>0</v>
      </c>
      <c r="AE16" s="36">
        <f t="shared" si="6"/>
        <v>0.42129629629629628</v>
      </c>
      <c r="AF16" s="81">
        <f t="shared" si="7"/>
        <v>9</v>
      </c>
    </row>
    <row r="17" spans="1:32" ht="27" customHeight="1">
      <c r="A17" s="106">
        <v>10</v>
      </c>
      <c r="B17" s="11" t="s">
        <v>57</v>
      </c>
      <c r="C17" s="34" t="s">
        <v>127</v>
      </c>
      <c r="D17" s="52" t="s">
        <v>313</v>
      </c>
      <c r="E17" s="53" t="s">
        <v>324</v>
      </c>
      <c r="F17" s="30" t="s">
        <v>325</v>
      </c>
      <c r="G17" s="12">
        <v>4</v>
      </c>
      <c r="H17" s="13">
        <v>24</v>
      </c>
      <c r="I17" s="31">
        <v>200000</v>
      </c>
      <c r="J17" s="14">
        <v>40504</v>
      </c>
      <c r="K17" s="15">
        <f>L17+34980+32440+20828+34276+40080+40504</f>
        <v>203108</v>
      </c>
      <c r="L17" s="15"/>
      <c r="M17" s="15">
        <f t="shared" si="0"/>
        <v>0</v>
      </c>
      <c r="N17" s="15">
        <v>0</v>
      </c>
      <c r="O17" s="58" t="str">
        <f t="shared" si="1"/>
        <v>0</v>
      </c>
      <c r="P17" s="39" t="str">
        <f t="shared" si="2"/>
        <v>0</v>
      </c>
      <c r="Q17" s="40">
        <f t="shared" si="3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4"/>
        <v>0</v>
      </c>
      <c r="AC17" s="9">
        <f t="shared" si="5"/>
        <v>0</v>
      </c>
      <c r="AD17" s="10">
        <f t="shared" si="8"/>
        <v>0</v>
      </c>
      <c r="AE17" s="36">
        <f t="shared" si="6"/>
        <v>0.42129629629629628</v>
      </c>
      <c r="AF17" s="81">
        <f t="shared" si="7"/>
        <v>10</v>
      </c>
    </row>
    <row r="18" spans="1:32" ht="27" customHeight="1">
      <c r="A18" s="106">
        <v>11</v>
      </c>
      <c r="B18" s="11" t="s">
        <v>57</v>
      </c>
      <c r="C18" s="34" t="s">
        <v>112</v>
      </c>
      <c r="D18" s="52" t="s">
        <v>115</v>
      </c>
      <c r="E18" s="53" t="s">
        <v>486</v>
      </c>
      <c r="F18" s="30" t="s">
        <v>286</v>
      </c>
      <c r="G18" s="12">
        <v>1</v>
      </c>
      <c r="H18" s="13">
        <v>24</v>
      </c>
      <c r="I18" s="7">
        <v>5000</v>
      </c>
      <c r="J18" s="14">
        <v>2445</v>
      </c>
      <c r="K18" s="15">
        <f>L18+1828+4969</f>
        <v>9242</v>
      </c>
      <c r="L18" s="15">
        <v>2445</v>
      </c>
      <c r="M18" s="15">
        <f t="shared" si="0"/>
        <v>2445</v>
      </c>
      <c r="N18" s="15">
        <v>0</v>
      </c>
      <c r="O18" s="58">
        <f t="shared" si="1"/>
        <v>0</v>
      </c>
      <c r="P18" s="39">
        <f t="shared" si="2"/>
        <v>11</v>
      </c>
      <c r="Q18" s="40">
        <f t="shared" si="3"/>
        <v>13</v>
      </c>
      <c r="R18" s="7"/>
      <c r="S18" s="6">
        <v>13</v>
      </c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0.45833333333333331</v>
      </c>
      <c r="AD18" s="10">
        <f t="shared" si="8"/>
        <v>0.45833333333333331</v>
      </c>
      <c r="AE18" s="36">
        <f t="shared" si="6"/>
        <v>0.42129629629629628</v>
      </c>
      <c r="AF18" s="81">
        <f t="shared" si="7"/>
        <v>11</v>
      </c>
    </row>
    <row r="19" spans="1:32" ht="27" customHeight="1">
      <c r="A19" s="106">
        <v>11</v>
      </c>
      <c r="B19" s="11" t="s">
        <v>57</v>
      </c>
      <c r="C19" s="34" t="s">
        <v>116</v>
      </c>
      <c r="D19" s="52">
        <v>790</v>
      </c>
      <c r="E19" s="53" t="s">
        <v>574</v>
      </c>
      <c r="F19" s="30" t="s">
        <v>124</v>
      </c>
      <c r="G19" s="12">
        <v>2</v>
      </c>
      <c r="H19" s="13">
        <v>24</v>
      </c>
      <c r="I19" s="7">
        <v>6000</v>
      </c>
      <c r="J19" s="14">
        <v>5688</v>
      </c>
      <c r="K19" s="15">
        <f>L19</f>
        <v>5688</v>
      </c>
      <c r="L19" s="15">
        <f>2844*2</f>
        <v>5688</v>
      </c>
      <c r="M19" s="15">
        <f t="shared" ref="M19" si="25">L19-N19</f>
        <v>5688</v>
      </c>
      <c r="N19" s="15">
        <v>0</v>
      </c>
      <c r="O19" s="58">
        <f t="shared" ref="O19" si="26">IF(L19=0,"0",N19/L19)</f>
        <v>0</v>
      </c>
      <c r="P19" s="39">
        <f t="shared" ref="P19" si="27">IF(L19=0,"0",(24-Q19))</f>
        <v>10</v>
      </c>
      <c r="Q19" s="40">
        <f t="shared" ref="Q19" si="28">SUM(R19:AA19)</f>
        <v>14</v>
      </c>
      <c r="R19" s="7"/>
      <c r="S19" s="6"/>
      <c r="T19" s="16">
        <v>14</v>
      </c>
      <c r="U19" s="16"/>
      <c r="V19" s="17"/>
      <c r="W19" s="5"/>
      <c r="X19" s="16"/>
      <c r="Y19" s="16"/>
      <c r="Z19" s="16"/>
      <c r="AA19" s="18"/>
      <c r="AB19" s="8">
        <f t="shared" ref="AB19" si="29">IF(J19=0,"0",(L19/J19))</f>
        <v>1</v>
      </c>
      <c r="AC19" s="9">
        <f t="shared" ref="AC19" si="30">IF(P19=0,"0",(P19/24))</f>
        <v>0.41666666666666669</v>
      </c>
      <c r="AD19" s="10">
        <f t="shared" ref="AD19" si="31">AC19*AB19*(1-O19)</f>
        <v>0.41666666666666669</v>
      </c>
      <c r="AE19" s="36">
        <f t="shared" si="6"/>
        <v>0.42129629629629628</v>
      </c>
      <c r="AF19" s="81">
        <f t="shared" ref="AF19" si="32">A19</f>
        <v>11</v>
      </c>
    </row>
    <row r="20" spans="1:32" ht="27" customHeight="1">
      <c r="A20" s="106">
        <v>12</v>
      </c>
      <c r="B20" s="11" t="s">
        <v>57</v>
      </c>
      <c r="C20" s="34" t="s">
        <v>127</v>
      </c>
      <c r="D20" s="52" t="s">
        <v>129</v>
      </c>
      <c r="E20" s="53" t="s">
        <v>225</v>
      </c>
      <c r="F20" s="30" t="s">
        <v>228</v>
      </c>
      <c r="G20" s="12">
        <v>2</v>
      </c>
      <c r="H20" s="13">
        <v>24</v>
      </c>
      <c r="I20" s="7">
        <v>13000</v>
      </c>
      <c r="J20" s="14">
        <v>10178</v>
      </c>
      <c r="K20" s="15">
        <f>L20+6526+10178</f>
        <v>16704</v>
      </c>
      <c r="L20" s="15"/>
      <c r="M20" s="15">
        <f t="shared" si="0"/>
        <v>0</v>
      </c>
      <c r="N20" s="15">
        <v>0</v>
      </c>
      <c r="O20" s="58" t="str">
        <f t="shared" si="1"/>
        <v>0</v>
      </c>
      <c r="P20" s="39" t="str">
        <f t="shared" si="2"/>
        <v>0</v>
      </c>
      <c r="Q20" s="40">
        <f t="shared" si="3"/>
        <v>24</v>
      </c>
      <c r="R20" s="7"/>
      <c r="S20" s="6"/>
      <c r="T20" s="16"/>
      <c r="U20" s="16"/>
      <c r="V20" s="17"/>
      <c r="W20" s="5">
        <v>24</v>
      </c>
      <c r="X20" s="16"/>
      <c r="Y20" s="16"/>
      <c r="Z20" s="16"/>
      <c r="AA20" s="18"/>
      <c r="AB20" s="8">
        <f t="shared" si="4"/>
        <v>0</v>
      </c>
      <c r="AC20" s="9">
        <f t="shared" si="5"/>
        <v>0</v>
      </c>
      <c r="AD20" s="10">
        <f t="shared" si="8"/>
        <v>0</v>
      </c>
      <c r="AE20" s="36">
        <f t="shared" si="6"/>
        <v>0.42129629629629628</v>
      </c>
      <c r="AF20" s="81">
        <f t="shared" si="7"/>
        <v>12</v>
      </c>
    </row>
    <row r="21" spans="1:32" ht="27" customHeight="1">
      <c r="A21" s="92">
        <v>13</v>
      </c>
      <c r="B21" s="11" t="s">
        <v>57</v>
      </c>
      <c r="C21" s="34" t="s">
        <v>113</v>
      </c>
      <c r="D21" s="52"/>
      <c r="E21" s="53" t="s">
        <v>575</v>
      </c>
      <c r="F21" s="30" t="s">
        <v>114</v>
      </c>
      <c r="G21" s="12">
        <v>4</v>
      </c>
      <c r="H21" s="13">
        <v>22</v>
      </c>
      <c r="I21" s="31">
        <v>9000</v>
      </c>
      <c r="J21" s="5">
        <v>9340</v>
      </c>
      <c r="K21" s="15">
        <f>L21</f>
        <v>9340</v>
      </c>
      <c r="L21" s="15">
        <f>2335*4</f>
        <v>9340</v>
      </c>
      <c r="M21" s="15">
        <f t="shared" si="0"/>
        <v>9340</v>
      </c>
      <c r="N21" s="15">
        <v>0</v>
      </c>
      <c r="O21" s="58">
        <f t="shared" si="1"/>
        <v>0</v>
      </c>
      <c r="P21" s="39">
        <f t="shared" si="2"/>
        <v>10</v>
      </c>
      <c r="Q21" s="40">
        <f t="shared" si="3"/>
        <v>14</v>
      </c>
      <c r="R21" s="7"/>
      <c r="S21" s="6"/>
      <c r="T21" s="16"/>
      <c r="U21" s="16"/>
      <c r="V21" s="17"/>
      <c r="W21" s="5">
        <v>14</v>
      </c>
      <c r="X21" s="16"/>
      <c r="Y21" s="16"/>
      <c r="Z21" s="16"/>
      <c r="AA21" s="18"/>
      <c r="AB21" s="8">
        <f t="shared" si="4"/>
        <v>1</v>
      </c>
      <c r="AC21" s="9">
        <f t="shared" si="5"/>
        <v>0.41666666666666669</v>
      </c>
      <c r="AD21" s="10">
        <f t="shared" si="8"/>
        <v>0.41666666666666669</v>
      </c>
      <c r="AE21" s="36">
        <f t="shared" si="6"/>
        <v>0.42129629629629628</v>
      </c>
      <c r="AF21" s="81">
        <f t="shared" si="7"/>
        <v>13</v>
      </c>
    </row>
    <row r="22" spans="1:32" ht="27" customHeight="1">
      <c r="A22" s="92">
        <v>13</v>
      </c>
      <c r="B22" s="11" t="s">
        <v>57</v>
      </c>
      <c r="C22" s="34" t="s">
        <v>116</v>
      </c>
      <c r="D22" s="52" t="s">
        <v>121</v>
      </c>
      <c r="E22" s="53" t="s">
        <v>576</v>
      </c>
      <c r="F22" s="30" t="s">
        <v>128</v>
      </c>
      <c r="G22" s="12">
        <v>1</v>
      </c>
      <c r="H22" s="13">
        <v>22</v>
      </c>
      <c r="I22" s="31">
        <v>800</v>
      </c>
      <c r="J22" s="5">
        <v>800</v>
      </c>
      <c r="K22" s="15">
        <f>L22</f>
        <v>800</v>
      </c>
      <c r="L22" s="15">
        <v>800</v>
      </c>
      <c r="M22" s="15">
        <f t="shared" ref="M22" si="33">L22-N22</f>
        <v>800</v>
      </c>
      <c r="N22" s="15">
        <v>0</v>
      </c>
      <c r="O22" s="58">
        <f t="shared" ref="O22" si="34">IF(L22=0,"0",N22/L22)</f>
        <v>0</v>
      </c>
      <c r="P22" s="39">
        <f t="shared" ref="P22" si="35">IF(L22=0,"0",(24-Q22))</f>
        <v>5</v>
      </c>
      <c r="Q22" s="40">
        <f t="shared" ref="Q22" si="36">SUM(R22:AA22)</f>
        <v>19</v>
      </c>
      <c r="R22" s="7"/>
      <c r="S22" s="6"/>
      <c r="T22" s="16"/>
      <c r="U22" s="16"/>
      <c r="V22" s="17"/>
      <c r="W22" s="5">
        <v>19</v>
      </c>
      <c r="X22" s="16"/>
      <c r="Y22" s="16"/>
      <c r="Z22" s="16"/>
      <c r="AA22" s="18"/>
      <c r="AB22" s="8">
        <f t="shared" ref="AB22" si="37">IF(J22=0,"0",(L22/J22))</f>
        <v>1</v>
      </c>
      <c r="AC22" s="9">
        <f t="shared" ref="AC22" si="38">IF(P22=0,"0",(P22/24))</f>
        <v>0.20833333333333334</v>
      </c>
      <c r="AD22" s="10">
        <f t="shared" ref="AD22" si="39">AC22*AB22*(1-O22)</f>
        <v>0.20833333333333334</v>
      </c>
      <c r="AE22" s="36">
        <f t="shared" si="6"/>
        <v>0.42129629629629628</v>
      </c>
      <c r="AF22" s="81">
        <f t="shared" ref="AF22" si="40">A22</f>
        <v>13</v>
      </c>
    </row>
    <row r="23" spans="1:32" ht="27" customHeight="1">
      <c r="A23" s="92">
        <v>14</v>
      </c>
      <c r="B23" s="11" t="s">
        <v>57</v>
      </c>
      <c r="C23" s="11" t="s">
        <v>161</v>
      </c>
      <c r="D23" s="52"/>
      <c r="E23" s="53" t="s">
        <v>467</v>
      </c>
      <c r="F23" s="30" t="s">
        <v>145</v>
      </c>
      <c r="G23" s="33">
        <v>2</v>
      </c>
      <c r="H23" s="35">
        <v>24</v>
      </c>
      <c r="I23" s="7">
        <v>13000</v>
      </c>
      <c r="J23" s="14">
        <v>1229</v>
      </c>
      <c r="K23" s="15">
        <f>L23+7480+6232</f>
        <v>14941</v>
      </c>
      <c r="L23" s="15">
        <v>1229</v>
      </c>
      <c r="M23" s="15">
        <f t="shared" si="0"/>
        <v>1229</v>
      </c>
      <c r="N23" s="15">
        <v>0</v>
      </c>
      <c r="O23" s="58">
        <f t="shared" si="1"/>
        <v>0</v>
      </c>
      <c r="P23" s="39">
        <f t="shared" si="2"/>
        <v>7</v>
      </c>
      <c r="Q23" s="40">
        <f t="shared" si="3"/>
        <v>17</v>
      </c>
      <c r="R23" s="7"/>
      <c r="S23" s="6"/>
      <c r="T23" s="16"/>
      <c r="U23" s="16"/>
      <c r="V23" s="17"/>
      <c r="W23" s="5">
        <v>17</v>
      </c>
      <c r="X23" s="16"/>
      <c r="Y23" s="16"/>
      <c r="Z23" s="16"/>
      <c r="AA23" s="18"/>
      <c r="AB23" s="8">
        <f t="shared" si="4"/>
        <v>1</v>
      </c>
      <c r="AC23" s="9">
        <f t="shared" si="5"/>
        <v>0.29166666666666669</v>
      </c>
      <c r="AD23" s="10">
        <f t="shared" si="8"/>
        <v>0.29166666666666669</v>
      </c>
      <c r="AE23" s="36">
        <f t="shared" si="6"/>
        <v>0.42129629629629628</v>
      </c>
      <c r="AF23" s="81">
        <f t="shared" si="7"/>
        <v>14</v>
      </c>
    </row>
    <row r="24" spans="1:32" ht="27" customHeight="1">
      <c r="A24" s="92">
        <v>14</v>
      </c>
      <c r="B24" s="11" t="s">
        <v>57</v>
      </c>
      <c r="C24" s="11" t="s">
        <v>461</v>
      </c>
      <c r="D24" s="52" t="s">
        <v>577</v>
      </c>
      <c r="E24" s="53" t="s">
        <v>578</v>
      </c>
      <c r="F24" s="30" t="s">
        <v>579</v>
      </c>
      <c r="G24" s="33">
        <v>3</v>
      </c>
      <c r="H24" s="35">
        <v>24</v>
      </c>
      <c r="I24" s="7">
        <v>20000</v>
      </c>
      <c r="J24" s="14">
        <v>12762</v>
      </c>
      <c r="K24" s="15">
        <f>L24</f>
        <v>12762</v>
      </c>
      <c r="L24" s="15">
        <f>999*3+3255*3</f>
        <v>12762</v>
      </c>
      <c r="M24" s="15">
        <f t="shared" ref="M24" si="41">L24-N24</f>
        <v>12762</v>
      </c>
      <c r="N24" s="15">
        <v>0</v>
      </c>
      <c r="O24" s="58">
        <f t="shared" ref="O24" si="42">IF(L24=0,"0",N24/L24)</f>
        <v>0</v>
      </c>
      <c r="P24" s="39">
        <f t="shared" ref="P24" si="43">IF(L24=0,"0",(24-Q24))</f>
        <v>15</v>
      </c>
      <c r="Q24" s="40">
        <f t="shared" ref="Q24" si="44">SUM(R24:AA24)</f>
        <v>9</v>
      </c>
      <c r="R24" s="7"/>
      <c r="S24" s="6"/>
      <c r="T24" s="16">
        <v>9</v>
      </c>
      <c r="U24" s="16"/>
      <c r="V24" s="17"/>
      <c r="W24" s="5"/>
      <c r="X24" s="16"/>
      <c r="Y24" s="16"/>
      <c r="Z24" s="16"/>
      <c r="AA24" s="18"/>
      <c r="AB24" s="8">
        <f t="shared" ref="AB24" si="45">IF(J24=0,"0",(L24/J24))</f>
        <v>1</v>
      </c>
      <c r="AC24" s="9">
        <f t="shared" ref="AC24" si="46">IF(P24=0,"0",(P24/24))</f>
        <v>0.625</v>
      </c>
      <c r="AD24" s="10">
        <f t="shared" ref="AD24" si="47">AC24*AB24*(1-O24)</f>
        <v>0.625</v>
      </c>
      <c r="AE24" s="36">
        <f t="shared" si="6"/>
        <v>0.42129629629629628</v>
      </c>
      <c r="AF24" s="81">
        <f t="shared" ref="AF24" si="48">A24</f>
        <v>14</v>
      </c>
    </row>
    <row r="25" spans="1:32" ht="27" customHeight="1">
      <c r="A25" s="106">
        <v>15</v>
      </c>
      <c r="B25" s="11" t="s">
        <v>57</v>
      </c>
      <c r="C25" s="11" t="s">
        <v>112</v>
      </c>
      <c r="D25" s="52" t="s">
        <v>115</v>
      </c>
      <c r="E25" s="53" t="s">
        <v>148</v>
      </c>
      <c r="F25" s="30" t="s">
        <v>138</v>
      </c>
      <c r="G25" s="33">
        <v>2</v>
      </c>
      <c r="H25" s="35">
        <v>24</v>
      </c>
      <c r="I25" s="7">
        <v>190000</v>
      </c>
      <c r="J25" s="14">
        <v>6276</v>
      </c>
      <c r="K25" s="15">
        <f>L25+2429+7472+8688+7444+11036+10988+11010+10896+8170+1188+8544+8600+10428+2136</f>
        <v>115305</v>
      </c>
      <c r="L25" s="15">
        <f>2703*2+435*2</f>
        <v>6276</v>
      </c>
      <c r="M25" s="15">
        <f t="shared" si="0"/>
        <v>6276</v>
      </c>
      <c r="N25" s="15">
        <v>0</v>
      </c>
      <c r="O25" s="58">
        <f t="shared" si="1"/>
        <v>0</v>
      </c>
      <c r="P25" s="39">
        <f t="shared" si="2"/>
        <v>14</v>
      </c>
      <c r="Q25" s="40">
        <f t="shared" si="3"/>
        <v>10</v>
      </c>
      <c r="R25" s="7"/>
      <c r="S25" s="6">
        <v>10</v>
      </c>
      <c r="T25" s="16"/>
      <c r="U25" s="16"/>
      <c r="V25" s="17"/>
      <c r="W25" s="5"/>
      <c r="X25" s="16"/>
      <c r="Y25" s="16"/>
      <c r="Z25" s="16"/>
      <c r="AA25" s="18"/>
      <c r="AB25" s="8">
        <f t="shared" si="4"/>
        <v>1</v>
      </c>
      <c r="AC25" s="9">
        <f t="shared" si="5"/>
        <v>0.58333333333333337</v>
      </c>
      <c r="AD25" s="10">
        <f t="shared" si="8"/>
        <v>0.58333333333333337</v>
      </c>
      <c r="AE25" s="36">
        <f t="shared" si="6"/>
        <v>0.42129629629629628</v>
      </c>
      <c r="AF25" s="81">
        <f t="shared" si="7"/>
        <v>15</v>
      </c>
    </row>
    <row r="26" spans="1:32" ht="26.25" customHeight="1">
      <c r="A26" s="92">
        <v>16</v>
      </c>
      <c r="B26" s="11" t="s">
        <v>57</v>
      </c>
      <c r="C26" s="11" t="s">
        <v>113</v>
      </c>
      <c r="D26" s="52"/>
      <c r="E26" s="53" t="s">
        <v>160</v>
      </c>
      <c r="F26" s="12" t="s">
        <v>114</v>
      </c>
      <c r="G26" s="12">
        <v>4</v>
      </c>
      <c r="H26" s="35">
        <v>20</v>
      </c>
      <c r="I26" s="7">
        <v>2000000</v>
      </c>
      <c r="J26" s="14">
        <v>62760</v>
      </c>
      <c r="K26" s="15">
        <f>L26+29876+62940+54476+54396+57856+63452+64136+60836+58660</f>
        <v>569388</v>
      </c>
      <c r="L26" s="15">
        <f>7886*4+7804*4</f>
        <v>62760</v>
      </c>
      <c r="M26" s="15">
        <f t="shared" si="0"/>
        <v>62760</v>
      </c>
      <c r="N26" s="15">
        <v>0</v>
      </c>
      <c r="O26" s="58">
        <f t="shared" si="1"/>
        <v>0</v>
      </c>
      <c r="P26" s="39">
        <f t="shared" si="2"/>
        <v>24</v>
      </c>
      <c r="Q26" s="40">
        <f t="shared" si="3"/>
        <v>0</v>
      </c>
      <c r="R26" s="7"/>
      <c r="S26" s="6"/>
      <c r="T26" s="16"/>
      <c r="U26" s="16"/>
      <c r="V26" s="17"/>
      <c r="W26" s="5"/>
      <c r="X26" s="16"/>
      <c r="Y26" s="16"/>
      <c r="Z26" s="16"/>
      <c r="AA26" s="18"/>
      <c r="AB26" s="8">
        <f t="shared" si="4"/>
        <v>1</v>
      </c>
      <c r="AC26" s="9">
        <f t="shared" si="5"/>
        <v>1</v>
      </c>
      <c r="AD26" s="10">
        <f t="shared" si="8"/>
        <v>1</v>
      </c>
      <c r="AE26" s="36">
        <f t="shared" si="6"/>
        <v>0.42129629629629628</v>
      </c>
      <c r="AF26" s="81">
        <f t="shared" si="7"/>
        <v>16</v>
      </c>
    </row>
    <row r="27" spans="1:32" ht="21.75" customHeight="1">
      <c r="A27" s="92">
        <v>31</v>
      </c>
      <c r="B27" s="11" t="s">
        <v>57</v>
      </c>
      <c r="C27" s="11" t="s">
        <v>191</v>
      </c>
      <c r="D27" s="52"/>
      <c r="E27" s="53" t="s">
        <v>522</v>
      </c>
      <c r="F27" s="12" t="s">
        <v>193</v>
      </c>
      <c r="G27" s="12">
        <v>28</v>
      </c>
      <c r="H27" s="35">
        <v>20</v>
      </c>
      <c r="I27" s="7">
        <v>1000000</v>
      </c>
      <c r="J27" s="14">
        <v>461412</v>
      </c>
      <c r="K27" s="15">
        <f>L27+402220</f>
        <v>863632</v>
      </c>
      <c r="L27" s="15">
        <f>9316*28+7163*28</f>
        <v>461412</v>
      </c>
      <c r="M27" s="15">
        <f t="shared" si="0"/>
        <v>461412</v>
      </c>
      <c r="N27" s="15">
        <v>0</v>
      </c>
      <c r="O27" s="58">
        <f t="shared" si="1"/>
        <v>0</v>
      </c>
      <c r="P27" s="39">
        <f t="shared" si="2"/>
        <v>24</v>
      </c>
      <c r="Q27" s="40">
        <f t="shared" si="3"/>
        <v>0</v>
      </c>
      <c r="R27" s="7"/>
      <c r="S27" s="6"/>
      <c r="T27" s="16"/>
      <c r="U27" s="16"/>
      <c r="V27" s="17"/>
      <c r="W27" s="5"/>
      <c r="X27" s="16"/>
      <c r="Y27" s="16"/>
      <c r="Z27" s="16"/>
      <c r="AA27" s="18"/>
      <c r="AB27" s="8">
        <f t="shared" si="4"/>
        <v>1</v>
      </c>
      <c r="AC27" s="9">
        <f t="shared" si="5"/>
        <v>1</v>
      </c>
      <c r="AD27" s="10">
        <f t="shared" si="8"/>
        <v>1</v>
      </c>
      <c r="AE27" s="36">
        <f t="shared" si="6"/>
        <v>0.42129629629629628</v>
      </c>
      <c r="AF27" s="81">
        <f t="shared" si="7"/>
        <v>31</v>
      </c>
    </row>
    <row r="28" spans="1:32" ht="21.75" customHeight="1">
      <c r="A28" s="92">
        <v>32</v>
      </c>
      <c r="B28" s="11" t="s">
        <v>57</v>
      </c>
      <c r="C28" s="11"/>
      <c r="D28" s="52"/>
      <c r="E28" s="53"/>
      <c r="F28" s="12"/>
      <c r="G28" s="12"/>
      <c r="H28" s="35">
        <v>20</v>
      </c>
      <c r="I28" s="7"/>
      <c r="J28" s="14">
        <v>0</v>
      </c>
      <c r="K28" s="15">
        <f t="shared" ref="K28" si="49">L28</f>
        <v>0</v>
      </c>
      <c r="L28" s="15"/>
      <c r="M28" s="15">
        <f t="shared" si="0"/>
        <v>0</v>
      </c>
      <c r="N28" s="15">
        <v>0</v>
      </c>
      <c r="O28" s="58" t="str">
        <f t="shared" si="1"/>
        <v>0</v>
      </c>
      <c r="P28" s="39" t="str">
        <f t="shared" si="2"/>
        <v>0</v>
      </c>
      <c r="Q28" s="40">
        <f t="shared" si="3"/>
        <v>24</v>
      </c>
      <c r="R28" s="7"/>
      <c r="S28" s="6"/>
      <c r="T28" s="16"/>
      <c r="U28" s="16"/>
      <c r="V28" s="17"/>
      <c r="W28" s="5">
        <v>24</v>
      </c>
      <c r="X28" s="16"/>
      <c r="Y28" s="16"/>
      <c r="Z28" s="16"/>
      <c r="AA28" s="18"/>
      <c r="AB28" s="8" t="str">
        <f t="shared" si="4"/>
        <v>0</v>
      </c>
      <c r="AC28" s="9">
        <f t="shared" si="5"/>
        <v>0</v>
      </c>
      <c r="AD28" s="10">
        <f t="shared" si="8"/>
        <v>0</v>
      </c>
      <c r="AE28" s="36">
        <f t="shared" si="6"/>
        <v>0.42129629629629628</v>
      </c>
      <c r="AF28" s="81">
        <f t="shared" si="7"/>
        <v>32</v>
      </c>
    </row>
    <row r="29" spans="1:32" ht="21.75" customHeight="1">
      <c r="A29" s="92">
        <v>33</v>
      </c>
      <c r="B29" s="11" t="s">
        <v>57</v>
      </c>
      <c r="C29" s="11" t="s">
        <v>116</v>
      </c>
      <c r="D29" s="52" t="s">
        <v>147</v>
      </c>
      <c r="E29" s="53" t="s">
        <v>183</v>
      </c>
      <c r="F29" s="12" t="s">
        <v>124</v>
      </c>
      <c r="G29" s="12">
        <v>4</v>
      </c>
      <c r="H29" s="35">
        <v>20</v>
      </c>
      <c r="I29" s="7">
        <v>36000</v>
      </c>
      <c r="J29" s="14">
        <v>31996</v>
      </c>
      <c r="K29" s="15">
        <f>L29+20368+29324+31996</f>
        <v>81688</v>
      </c>
      <c r="L29" s="15"/>
      <c r="M29" s="15">
        <f t="shared" si="0"/>
        <v>0</v>
      </c>
      <c r="N29" s="15">
        <v>0</v>
      </c>
      <c r="O29" s="58" t="str">
        <f t="shared" si="1"/>
        <v>0</v>
      </c>
      <c r="P29" s="39" t="str">
        <f t="shared" si="2"/>
        <v>0</v>
      </c>
      <c r="Q29" s="40">
        <f t="shared" si="3"/>
        <v>24</v>
      </c>
      <c r="R29" s="7"/>
      <c r="S29" s="6"/>
      <c r="T29" s="16"/>
      <c r="U29" s="16"/>
      <c r="V29" s="114"/>
      <c r="W29" s="5">
        <v>24</v>
      </c>
      <c r="X29" s="16"/>
      <c r="Y29" s="16"/>
      <c r="Z29" s="16"/>
      <c r="AA29" s="18"/>
      <c r="AB29" s="8">
        <f t="shared" si="4"/>
        <v>0</v>
      </c>
      <c r="AC29" s="9">
        <f t="shared" si="5"/>
        <v>0</v>
      </c>
      <c r="AD29" s="10">
        <f t="shared" si="8"/>
        <v>0</v>
      </c>
      <c r="AE29" s="36">
        <f t="shared" si="6"/>
        <v>0.42129629629629628</v>
      </c>
      <c r="AF29" s="81">
        <f t="shared" si="7"/>
        <v>33</v>
      </c>
    </row>
    <row r="30" spans="1:32" ht="21.75" customHeight="1">
      <c r="A30" s="92">
        <v>34</v>
      </c>
      <c r="B30" s="11" t="s">
        <v>57</v>
      </c>
      <c r="C30" s="11" t="s">
        <v>116</v>
      </c>
      <c r="D30" s="52" t="s">
        <v>129</v>
      </c>
      <c r="E30" s="53" t="s">
        <v>172</v>
      </c>
      <c r="F30" s="12" t="s">
        <v>125</v>
      </c>
      <c r="G30" s="12">
        <v>4</v>
      </c>
      <c r="H30" s="35">
        <v>20</v>
      </c>
      <c r="I30" s="7">
        <v>36000</v>
      </c>
      <c r="J30" s="14">
        <v>28802</v>
      </c>
      <c r="K30" s="15">
        <f>L30+13760+25860+25496+28600+28802</f>
        <v>122518</v>
      </c>
      <c r="L30" s="15"/>
      <c r="M30" s="15">
        <f t="shared" si="0"/>
        <v>0</v>
      </c>
      <c r="N30" s="15">
        <v>0</v>
      </c>
      <c r="O30" s="58" t="str">
        <f t="shared" si="1"/>
        <v>0</v>
      </c>
      <c r="P30" s="39" t="str">
        <f t="shared" si="2"/>
        <v>0</v>
      </c>
      <c r="Q30" s="40">
        <f t="shared" si="3"/>
        <v>24</v>
      </c>
      <c r="R30" s="7"/>
      <c r="S30" s="6"/>
      <c r="T30" s="16"/>
      <c r="U30" s="16"/>
      <c r="V30" s="114"/>
      <c r="W30" s="5">
        <v>24</v>
      </c>
      <c r="X30" s="16"/>
      <c r="Y30" s="16"/>
      <c r="Z30" s="16"/>
      <c r="AA30" s="18"/>
      <c r="AB30" s="8">
        <f t="shared" si="4"/>
        <v>0</v>
      </c>
      <c r="AC30" s="9">
        <f t="shared" si="5"/>
        <v>0</v>
      </c>
      <c r="AD30" s="10">
        <f t="shared" si="8"/>
        <v>0</v>
      </c>
      <c r="AE30" s="36">
        <f t="shared" si="6"/>
        <v>0.42129629629629628</v>
      </c>
      <c r="AF30" s="81">
        <f t="shared" si="7"/>
        <v>34</v>
      </c>
    </row>
    <row r="31" spans="1:32" ht="21.75" customHeight="1">
      <c r="A31" s="92">
        <v>35</v>
      </c>
      <c r="B31" s="11" t="s">
        <v>57</v>
      </c>
      <c r="C31" s="11" t="s">
        <v>116</v>
      </c>
      <c r="D31" s="52" t="s">
        <v>121</v>
      </c>
      <c r="E31" s="53" t="s">
        <v>126</v>
      </c>
      <c r="F31" s="12" t="s">
        <v>125</v>
      </c>
      <c r="G31" s="12">
        <v>4</v>
      </c>
      <c r="H31" s="35">
        <v>20</v>
      </c>
      <c r="I31" s="7">
        <v>36000</v>
      </c>
      <c r="J31" s="14">
        <v>26944</v>
      </c>
      <c r="K31" s="15">
        <f>L31+24592+26944+21716</f>
        <v>73252</v>
      </c>
      <c r="L31" s="15"/>
      <c r="M31" s="15">
        <f t="shared" si="0"/>
        <v>0</v>
      </c>
      <c r="N31" s="15">
        <v>0</v>
      </c>
      <c r="O31" s="58" t="str">
        <f t="shared" si="1"/>
        <v>0</v>
      </c>
      <c r="P31" s="39" t="str">
        <f t="shared" si="2"/>
        <v>0</v>
      </c>
      <c r="Q31" s="40">
        <f t="shared" si="3"/>
        <v>24</v>
      </c>
      <c r="R31" s="7"/>
      <c r="S31" s="6"/>
      <c r="T31" s="16"/>
      <c r="U31" s="16"/>
      <c r="V31" s="114"/>
      <c r="W31" s="5">
        <v>24</v>
      </c>
      <c r="X31" s="16"/>
      <c r="Y31" s="16"/>
      <c r="Z31" s="16"/>
      <c r="AA31" s="18"/>
      <c r="AB31" s="8">
        <f t="shared" si="4"/>
        <v>0</v>
      </c>
      <c r="AC31" s="9">
        <f t="shared" si="5"/>
        <v>0</v>
      </c>
      <c r="AD31" s="10">
        <f t="shared" si="8"/>
        <v>0</v>
      </c>
      <c r="AE31" s="36">
        <f t="shared" si="6"/>
        <v>0.42129629629629628</v>
      </c>
      <c r="AF31" s="81">
        <f t="shared" si="7"/>
        <v>35</v>
      </c>
    </row>
    <row r="32" spans="1:32" ht="21.75" customHeight="1" thickBot="1">
      <c r="A32" s="92">
        <v>36</v>
      </c>
      <c r="B32" s="11" t="s">
        <v>57</v>
      </c>
      <c r="C32" s="11" t="s">
        <v>113</v>
      </c>
      <c r="D32" s="52"/>
      <c r="E32" s="53" t="s">
        <v>182</v>
      </c>
      <c r="F32" s="12" t="s">
        <v>114</v>
      </c>
      <c r="G32" s="12">
        <v>4</v>
      </c>
      <c r="H32" s="35">
        <v>20</v>
      </c>
      <c r="I32" s="7">
        <v>1000000</v>
      </c>
      <c r="J32" s="14">
        <v>81764</v>
      </c>
      <c r="K32" s="15">
        <f>L32+28388+70816+76368</f>
        <v>257336</v>
      </c>
      <c r="L32" s="15">
        <f>11559*4+8882*4</f>
        <v>81764</v>
      </c>
      <c r="M32" s="15">
        <f t="shared" si="0"/>
        <v>81764</v>
      </c>
      <c r="N32" s="15">
        <v>0</v>
      </c>
      <c r="O32" s="58">
        <f t="shared" si="1"/>
        <v>0</v>
      </c>
      <c r="P32" s="39">
        <f t="shared" si="2"/>
        <v>24</v>
      </c>
      <c r="Q32" s="40">
        <f t="shared" si="3"/>
        <v>0</v>
      </c>
      <c r="R32" s="7"/>
      <c r="S32" s="6"/>
      <c r="T32" s="16"/>
      <c r="U32" s="16"/>
      <c r="V32" s="114"/>
      <c r="W32" s="5"/>
      <c r="X32" s="16"/>
      <c r="Y32" s="16"/>
      <c r="Z32" s="16"/>
      <c r="AA32" s="18"/>
      <c r="AB32" s="8">
        <f t="shared" si="4"/>
        <v>1</v>
      </c>
      <c r="AC32" s="9">
        <f t="shared" si="5"/>
        <v>1</v>
      </c>
      <c r="AD32" s="10">
        <f t="shared" si="8"/>
        <v>1</v>
      </c>
      <c r="AE32" s="36">
        <f t="shared" si="6"/>
        <v>0.42129629629629628</v>
      </c>
      <c r="AF32" s="81">
        <f t="shared" si="7"/>
        <v>36</v>
      </c>
    </row>
    <row r="33" spans="1:32" ht="19.5" thickBot="1">
      <c r="A33" s="435" t="s">
        <v>34</v>
      </c>
      <c r="B33" s="436"/>
      <c r="C33" s="436"/>
      <c r="D33" s="436"/>
      <c r="E33" s="436"/>
      <c r="F33" s="436"/>
      <c r="G33" s="436"/>
      <c r="H33" s="437"/>
      <c r="I33" s="22">
        <f t="shared" ref="I33:N33" si="50">SUM(I6:I32)</f>
        <v>4950400</v>
      </c>
      <c r="J33" s="19">
        <f t="shared" si="50"/>
        <v>833755</v>
      </c>
      <c r="K33" s="20">
        <f t="shared" si="50"/>
        <v>2521904</v>
      </c>
      <c r="L33" s="21">
        <f t="shared" si="50"/>
        <v>694285</v>
      </c>
      <c r="M33" s="20">
        <f t="shared" si="50"/>
        <v>694285</v>
      </c>
      <c r="N33" s="21">
        <f t="shared" si="50"/>
        <v>0</v>
      </c>
      <c r="O33" s="41">
        <f t="shared" si="1"/>
        <v>0</v>
      </c>
      <c r="P33" s="42">
        <f t="shared" ref="P33:AA33" si="51">SUM(P6:P32)</f>
        <v>273</v>
      </c>
      <c r="Q33" s="43">
        <f t="shared" si="51"/>
        <v>375</v>
      </c>
      <c r="R33" s="23">
        <f t="shared" si="51"/>
        <v>0</v>
      </c>
      <c r="S33" s="24">
        <f t="shared" si="51"/>
        <v>79</v>
      </c>
      <c r="T33" s="24">
        <f t="shared" si="51"/>
        <v>35</v>
      </c>
      <c r="U33" s="24">
        <f t="shared" si="51"/>
        <v>0</v>
      </c>
      <c r="V33" s="25">
        <f t="shared" si="51"/>
        <v>0</v>
      </c>
      <c r="W33" s="26">
        <f t="shared" si="51"/>
        <v>213</v>
      </c>
      <c r="X33" s="27">
        <f t="shared" si="51"/>
        <v>0</v>
      </c>
      <c r="Y33" s="27">
        <f t="shared" si="51"/>
        <v>0</v>
      </c>
      <c r="Z33" s="27">
        <f t="shared" si="51"/>
        <v>0</v>
      </c>
      <c r="AA33" s="27">
        <f t="shared" si="51"/>
        <v>48</v>
      </c>
      <c r="AB33" s="28">
        <f>AVERAGE(AB6:AB32)</f>
        <v>0.73076923076923073</v>
      </c>
      <c r="AC33" s="4">
        <f>AVERAGE(AC6:AC32)</f>
        <v>0.42129629629629628</v>
      </c>
      <c r="AD33" s="4">
        <f>AVERAGE(AD6:AD32)</f>
        <v>0.42129629629629628</v>
      </c>
      <c r="AE33" s="29"/>
    </row>
    <row r="34" spans="1:32">
      <c r="T34" s="50" t="s">
        <v>130</v>
      </c>
    </row>
    <row r="35" spans="1:32" ht="18.75">
      <c r="A35" s="2"/>
      <c r="B35" s="2" t="s">
        <v>35</v>
      </c>
      <c r="C35" s="2"/>
      <c r="D35" s="2"/>
      <c r="E35" s="2"/>
      <c r="F35" s="2"/>
      <c r="G35" s="2"/>
      <c r="H35" s="3"/>
      <c r="I35" s="3"/>
      <c r="J35" s="2"/>
      <c r="K35" s="2"/>
      <c r="L35" s="2"/>
      <c r="M35" s="2"/>
      <c r="N35" s="2" t="s">
        <v>36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1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</row>
    <row r="41" spans="1:32">
      <c r="A41" s="49"/>
      <c r="B41" s="49" t="s">
        <v>131</v>
      </c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</row>
    <row r="42" spans="1:3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</row>
    <row r="43" spans="1:32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</row>
    <row r="44" spans="1:32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82"/>
    </row>
    <row r="45" spans="1:32" ht="14.2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F45" s="50"/>
    </row>
    <row r="46" spans="1:32" ht="14.2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14.2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7">
      <c r="A50" s="59"/>
      <c r="B50" s="59"/>
      <c r="C50" s="59"/>
      <c r="D50" s="59"/>
      <c r="E50" s="59"/>
      <c r="F50" s="37"/>
      <c r="G50" s="37"/>
      <c r="H50" s="38"/>
      <c r="I50" s="38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F50" s="50"/>
    </row>
    <row r="51" spans="1:32" ht="29.25" customHeight="1">
      <c r="A51" s="60"/>
      <c r="B51" s="60"/>
      <c r="C51" s="61"/>
      <c r="D51" s="61"/>
      <c r="E51" s="61"/>
      <c r="F51" s="60"/>
      <c r="G51" s="60"/>
      <c r="H51" s="60"/>
      <c r="I51" s="60"/>
      <c r="J51" s="60"/>
      <c r="K51" s="60"/>
      <c r="L51" s="60"/>
      <c r="M51" s="61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29.25" customHeight="1">
      <c r="A54" s="60"/>
      <c r="B54" s="60"/>
      <c r="C54" s="62"/>
      <c r="D54" s="61"/>
      <c r="E54" s="61"/>
      <c r="F54" s="60"/>
      <c r="G54" s="60"/>
      <c r="H54" s="60"/>
      <c r="I54" s="60"/>
      <c r="J54" s="60"/>
      <c r="K54" s="60"/>
      <c r="L54" s="60"/>
      <c r="M54" s="62"/>
      <c r="N54" s="60"/>
      <c r="O54" s="60"/>
      <c r="P54" s="63"/>
      <c r="Q54" s="63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0"/>
      <c r="AC54" s="60"/>
      <c r="AD54" s="60"/>
      <c r="AF54" s="50"/>
    </row>
    <row r="55" spans="1:32" ht="29.25" customHeight="1">
      <c r="A55" s="60"/>
      <c r="B55" s="60"/>
      <c r="C55" s="62"/>
      <c r="D55" s="61"/>
      <c r="E55" s="61"/>
      <c r="F55" s="60"/>
      <c r="G55" s="60"/>
      <c r="H55" s="60"/>
      <c r="I55" s="60"/>
      <c r="J55" s="60"/>
      <c r="K55" s="60"/>
      <c r="L55" s="60"/>
      <c r="M55" s="62"/>
      <c r="N55" s="60"/>
      <c r="O55" s="60"/>
      <c r="P55" s="63"/>
      <c r="Q55" s="63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0"/>
      <c r="AC55" s="60"/>
      <c r="AD55" s="60"/>
      <c r="AF55" s="50"/>
    </row>
    <row r="56" spans="1:32" ht="29.25" customHeight="1">
      <c r="A56" s="60"/>
      <c r="B56" s="60"/>
      <c r="C56" s="62"/>
      <c r="D56" s="61"/>
      <c r="E56" s="61"/>
      <c r="F56" s="60"/>
      <c r="G56" s="60"/>
      <c r="H56" s="60"/>
      <c r="I56" s="60"/>
      <c r="J56" s="60"/>
      <c r="K56" s="60"/>
      <c r="L56" s="60"/>
      <c r="M56" s="62"/>
      <c r="N56" s="60"/>
      <c r="O56" s="60"/>
      <c r="P56" s="63"/>
      <c r="Q56" s="63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0"/>
      <c r="AC56" s="60"/>
      <c r="AD56" s="60"/>
      <c r="AF56" s="50"/>
    </row>
    <row r="57" spans="1:32" ht="29.25" customHeight="1">
      <c r="A57" s="60"/>
      <c r="B57" s="60"/>
      <c r="C57" s="62"/>
      <c r="D57" s="61"/>
      <c r="E57" s="61"/>
      <c r="F57" s="60"/>
      <c r="G57" s="60"/>
      <c r="H57" s="60"/>
      <c r="I57" s="60"/>
      <c r="J57" s="60"/>
      <c r="K57" s="60"/>
      <c r="L57" s="60"/>
      <c r="M57" s="62"/>
      <c r="N57" s="60"/>
      <c r="O57" s="60"/>
      <c r="P57" s="63"/>
      <c r="Q57" s="63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0"/>
      <c r="AC57" s="60"/>
      <c r="AD57" s="60"/>
      <c r="AF57" s="50"/>
    </row>
    <row r="58" spans="1:32" ht="29.25" customHeight="1">
      <c r="A58" s="60"/>
      <c r="B58" s="60"/>
      <c r="C58" s="62"/>
      <c r="D58" s="61"/>
      <c r="E58" s="61"/>
      <c r="F58" s="60"/>
      <c r="G58" s="60"/>
      <c r="H58" s="60"/>
      <c r="I58" s="60"/>
      <c r="J58" s="60"/>
      <c r="K58" s="60"/>
      <c r="L58" s="60"/>
      <c r="M58" s="62"/>
      <c r="N58" s="60"/>
      <c r="O58" s="60"/>
      <c r="P58" s="63"/>
      <c r="Q58" s="63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0"/>
      <c r="AC58" s="60"/>
      <c r="AD58" s="60"/>
      <c r="AF58" s="50"/>
    </row>
    <row r="59" spans="1:32" ht="14.25" customHeight="1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F59" s="50"/>
    </row>
    <row r="60" spans="1:32" ht="36" thickBot="1">
      <c r="A60" s="438" t="s">
        <v>45</v>
      </c>
      <c r="B60" s="438"/>
      <c r="C60" s="438"/>
      <c r="D60" s="438"/>
      <c r="E60" s="438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F60" s="50"/>
    </row>
    <row r="61" spans="1:32" ht="26.25" thickBot="1">
      <c r="A61" s="439" t="s">
        <v>580</v>
      </c>
      <c r="B61" s="440"/>
      <c r="C61" s="440"/>
      <c r="D61" s="440"/>
      <c r="E61" s="440"/>
      <c r="F61" s="440"/>
      <c r="G61" s="440"/>
      <c r="H61" s="440"/>
      <c r="I61" s="440"/>
      <c r="J61" s="440"/>
      <c r="K61" s="440"/>
      <c r="L61" s="440"/>
      <c r="M61" s="441"/>
      <c r="N61" s="442" t="s">
        <v>591</v>
      </c>
      <c r="O61" s="443"/>
      <c r="P61" s="443"/>
      <c r="Q61" s="443"/>
      <c r="R61" s="443"/>
      <c r="S61" s="443"/>
      <c r="T61" s="443"/>
      <c r="U61" s="443"/>
      <c r="V61" s="443"/>
      <c r="W61" s="443"/>
      <c r="X61" s="443"/>
      <c r="Y61" s="443"/>
      <c r="Z61" s="443"/>
      <c r="AA61" s="443"/>
      <c r="AB61" s="443"/>
      <c r="AC61" s="443"/>
      <c r="AD61" s="444"/>
    </row>
    <row r="62" spans="1:32" ht="27" customHeight="1">
      <c r="A62" s="445" t="s">
        <v>2</v>
      </c>
      <c r="B62" s="446"/>
      <c r="C62" s="248" t="s">
        <v>46</v>
      </c>
      <c r="D62" s="248" t="s">
        <v>47</v>
      </c>
      <c r="E62" s="248" t="s">
        <v>107</v>
      </c>
      <c r="F62" s="447" t="s">
        <v>106</v>
      </c>
      <c r="G62" s="448"/>
      <c r="H62" s="448"/>
      <c r="I62" s="448"/>
      <c r="J62" s="448"/>
      <c r="K62" s="448"/>
      <c r="L62" s="448"/>
      <c r="M62" s="449"/>
      <c r="N62" s="67" t="s">
        <v>110</v>
      </c>
      <c r="O62" s="248" t="s">
        <v>46</v>
      </c>
      <c r="P62" s="447" t="s">
        <v>47</v>
      </c>
      <c r="Q62" s="450"/>
      <c r="R62" s="447" t="s">
        <v>38</v>
      </c>
      <c r="S62" s="448"/>
      <c r="T62" s="448"/>
      <c r="U62" s="450"/>
      <c r="V62" s="447" t="s">
        <v>48</v>
      </c>
      <c r="W62" s="448"/>
      <c r="X62" s="448"/>
      <c r="Y62" s="448"/>
      <c r="Z62" s="448"/>
      <c r="AA62" s="448"/>
      <c r="AB62" s="448"/>
      <c r="AC62" s="448"/>
      <c r="AD62" s="449"/>
    </row>
    <row r="63" spans="1:32" ht="27" customHeight="1">
      <c r="A63" s="429" t="s">
        <v>461</v>
      </c>
      <c r="B63" s="420"/>
      <c r="C63" s="244" t="s">
        <v>212</v>
      </c>
      <c r="D63" s="244" t="s">
        <v>121</v>
      </c>
      <c r="E63" s="244" t="s">
        <v>581</v>
      </c>
      <c r="F63" s="473" t="s">
        <v>122</v>
      </c>
      <c r="G63" s="474"/>
      <c r="H63" s="474"/>
      <c r="I63" s="474"/>
      <c r="J63" s="474"/>
      <c r="K63" s="474"/>
      <c r="L63" s="474"/>
      <c r="M63" s="475"/>
      <c r="N63" s="247" t="s">
        <v>112</v>
      </c>
      <c r="O63" s="241" t="s">
        <v>240</v>
      </c>
      <c r="P63" s="430" t="s">
        <v>115</v>
      </c>
      <c r="Q63" s="431"/>
      <c r="R63" s="430" t="s">
        <v>543</v>
      </c>
      <c r="S63" s="432"/>
      <c r="T63" s="432"/>
      <c r="U63" s="431"/>
      <c r="V63" s="417" t="s">
        <v>153</v>
      </c>
      <c r="W63" s="418"/>
      <c r="X63" s="418"/>
      <c r="Y63" s="418"/>
      <c r="Z63" s="418"/>
      <c r="AA63" s="418"/>
      <c r="AB63" s="418"/>
      <c r="AC63" s="418"/>
      <c r="AD63" s="419"/>
    </row>
    <row r="64" spans="1:32" ht="27" customHeight="1">
      <c r="A64" s="429" t="s">
        <v>526</v>
      </c>
      <c r="B64" s="420"/>
      <c r="C64" s="244" t="s">
        <v>527</v>
      </c>
      <c r="D64" s="244" t="s">
        <v>528</v>
      </c>
      <c r="E64" s="244" t="s">
        <v>529</v>
      </c>
      <c r="F64" s="473" t="s">
        <v>582</v>
      </c>
      <c r="G64" s="474"/>
      <c r="H64" s="474"/>
      <c r="I64" s="474"/>
      <c r="J64" s="474"/>
      <c r="K64" s="474"/>
      <c r="L64" s="474"/>
      <c r="M64" s="475"/>
      <c r="N64" s="247" t="s">
        <v>592</v>
      </c>
      <c r="O64" s="241" t="s">
        <v>598</v>
      </c>
      <c r="P64" s="430"/>
      <c r="Q64" s="431"/>
      <c r="R64" s="430" t="s">
        <v>596</v>
      </c>
      <c r="S64" s="432"/>
      <c r="T64" s="432"/>
      <c r="U64" s="431"/>
      <c r="V64" s="417" t="s">
        <v>597</v>
      </c>
      <c r="W64" s="418"/>
      <c r="X64" s="418"/>
      <c r="Y64" s="418"/>
      <c r="Z64" s="418"/>
      <c r="AA64" s="418"/>
      <c r="AB64" s="418"/>
      <c r="AC64" s="418"/>
      <c r="AD64" s="419"/>
    </row>
    <row r="65" spans="1:32" ht="27" customHeight="1">
      <c r="A65" s="429" t="s">
        <v>526</v>
      </c>
      <c r="B65" s="420"/>
      <c r="C65" s="244" t="s">
        <v>527</v>
      </c>
      <c r="D65" s="244" t="s">
        <v>528</v>
      </c>
      <c r="E65" s="244" t="s">
        <v>530</v>
      </c>
      <c r="F65" s="473" t="s">
        <v>582</v>
      </c>
      <c r="G65" s="474"/>
      <c r="H65" s="474"/>
      <c r="I65" s="474"/>
      <c r="J65" s="474"/>
      <c r="K65" s="474"/>
      <c r="L65" s="474"/>
      <c r="M65" s="475"/>
      <c r="N65" s="247" t="s">
        <v>592</v>
      </c>
      <c r="O65" s="241" t="s">
        <v>600</v>
      </c>
      <c r="P65" s="430" t="s">
        <v>601</v>
      </c>
      <c r="Q65" s="431"/>
      <c r="R65" s="430" t="s">
        <v>599</v>
      </c>
      <c r="S65" s="432"/>
      <c r="T65" s="432"/>
      <c r="U65" s="431"/>
      <c r="V65" s="417" t="s">
        <v>597</v>
      </c>
      <c r="W65" s="418"/>
      <c r="X65" s="418"/>
      <c r="Y65" s="418"/>
      <c r="Z65" s="418"/>
      <c r="AA65" s="418"/>
      <c r="AB65" s="418"/>
      <c r="AC65" s="418"/>
      <c r="AD65" s="419"/>
    </row>
    <row r="66" spans="1:32" ht="27" customHeight="1">
      <c r="A66" s="429" t="s">
        <v>112</v>
      </c>
      <c r="B66" s="420"/>
      <c r="C66" s="244" t="s">
        <v>150</v>
      </c>
      <c r="D66" s="244" t="s">
        <v>535</v>
      </c>
      <c r="E66" s="244" t="s">
        <v>188</v>
      </c>
      <c r="F66" s="473" t="s">
        <v>583</v>
      </c>
      <c r="G66" s="474"/>
      <c r="H66" s="474"/>
      <c r="I66" s="474"/>
      <c r="J66" s="474"/>
      <c r="K66" s="474"/>
      <c r="L66" s="474"/>
      <c r="M66" s="475"/>
      <c r="N66" s="247"/>
      <c r="O66" s="241"/>
      <c r="P66" s="430"/>
      <c r="Q66" s="431"/>
      <c r="R66" s="430"/>
      <c r="S66" s="432"/>
      <c r="T66" s="432"/>
      <c r="U66" s="431"/>
      <c r="V66" s="417"/>
      <c r="W66" s="418"/>
      <c r="X66" s="418"/>
      <c r="Y66" s="418"/>
      <c r="Z66" s="418"/>
      <c r="AA66" s="418"/>
      <c r="AB66" s="418"/>
      <c r="AC66" s="418"/>
      <c r="AD66" s="419"/>
    </row>
    <row r="67" spans="1:32" ht="27" customHeight="1">
      <c r="A67" s="429" t="s">
        <v>112</v>
      </c>
      <c r="B67" s="420"/>
      <c r="C67" s="250" t="s">
        <v>316</v>
      </c>
      <c r="D67" s="250" t="s">
        <v>115</v>
      </c>
      <c r="E67" s="250" t="s">
        <v>541</v>
      </c>
      <c r="F67" s="417" t="s">
        <v>153</v>
      </c>
      <c r="G67" s="418"/>
      <c r="H67" s="418"/>
      <c r="I67" s="418"/>
      <c r="J67" s="418"/>
      <c r="K67" s="418"/>
      <c r="L67" s="418"/>
      <c r="M67" s="419"/>
      <c r="N67" s="247"/>
      <c r="O67" s="241"/>
      <c r="P67" s="430"/>
      <c r="Q67" s="431"/>
      <c r="R67" s="430"/>
      <c r="S67" s="432"/>
      <c r="T67" s="432"/>
      <c r="U67" s="431"/>
      <c r="V67" s="417"/>
      <c r="W67" s="418"/>
      <c r="X67" s="418"/>
      <c r="Y67" s="418"/>
      <c r="Z67" s="418"/>
      <c r="AA67" s="418"/>
      <c r="AB67" s="418"/>
      <c r="AC67" s="418"/>
      <c r="AD67" s="419"/>
    </row>
    <row r="68" spans="1:32" ht="27" customHeight="1">
      <c r="A68" s="429" t="s">
        <v>585</v>
      </c>
      <c r="B68" s="420"/>
      <c r="C68" s="244" t="s">
        <v>586</v>
      </c>
      <c r="D68" s="244" t="s">
        <v>121</v>
      </c>
      <c r="E68" s="244" t="s">
        <v>584</v>
      </c>
      <c r="F68" s="417" t="s">
        <v>587</v>
      </c>
      <c r="G68" s="418"/>
      <c r="H68" s="418"/>
      <c r="I68" s="418"/>
      <c r="J68" s="418"/>
      <c r="K68" s="418"/>
      <c r="L68" s="418"/>
      <c r="M68" s="419"/>
      <c r="N68" s="247"/>
      <c r="O68" s="241"/>
      <c r="P68" s="430"/>
      <c r="Q68" s="431"/>
      <c r="R68" s="430"/>
      <c r="S68" s="432"/>
      <c r="T68" s="432"/>
      <c r="U68" s="431"/>
      <c r="V68" s="417"/>
      <c r="W68" s="418"/>
      <c r="X68" s="418"/>
      <c r="Y68" s="418"/>
      <c r="Z68" s="418"/>
      <c r="AA68" s="418"/>
      <c r="AB68" s="418"/>
      <c r="AC68" s="418"/>
      <c r="AD68" s="419"/>
    </row>
    <row r="69" spans="1:32" ht="27" customHeight="1">
      <c r="A69" s="415" t="s">
        <v>585</v>
      </c>
      <c r="B69" s="416"/>
      <c r="C69" s="243" t="s">
        <v>588</v>
      </c>
      <c r="D69" s="243" t="s">
        <v>589</v>
      </c>
      <c r="E69" s="250" t="s">
        <v>590</v>
      </c>
      <c r="F69" s="417" t="s">
        <v>587</v>
      </c>
      <c r="G69" s="418"/>
      <c r="H69" s="418"/>
      <c r="I69" s="418"/>
      <c r="J69" s="418"/>
      <c r="K69" s="418"/>
      <c r="L69" s="418"/>
      <c r="M69" s="419"/>
      <c r="N69" s="247"/>
      <c r="O69" s="241"/>
      <c r="P69" s="430"/>
      <c r="Q69" s="431"/>
      <c r="R69" s="430"/>
      <c r="S69" s="432"/>
      <c r="T69" s="432"/>
      <c r="U69" s="431"/>
      <c r="V69" s="417"/>
      <c r="W69" s="418"/>
      <c r="X69" s="418"/>
      <c r="Y69" s="418"/>
      <c r="Z69" s="418"/>
      <c r="AA69" s="418"/>
      <c r="AB69" s="418"/>
      <c r="AC69" s="418"/>
      <c r="AD69" s="419"/>
    </row>
    <row r="70" spans="1:32" ht="27" customHeight="1">
      <c r="A70" s="415" t="s">
        <v>592</v>
      </c>
      <c r="B70" s="416"/>
      <c r="C70" s="243" t="s">
        <v>588</v>
      </c>
      <c r="D70" s="243" t="s">
        <v>593</v>
      </c>
      <c r="E70" s="243" t="s">
        <v>573</v>
      </c>
      <c r="F70" s="473" t="s">
        <v>122</v>
      </c>
      <c r="G70" s="474"/>
      <c r="H70" s="474"/>
      <c r="I70" s="474"/>
      <c r="J70" s="474"/>
      <c r="K70" s="474"/>
      <c r="L70" s="474"/>
      <c r="M70" s="475"/>
      <c r="N70" s="247"/>
      <c r="O70" s="241"/>
      <c r="P70" s="430"/>
      <c r="Q70" s="431"/>
      <c r="R70" s="430"/>
      <c r="S70" s="432"/>
      <c r="T70" s="432"/>
      <c r="U70" s="431"/>
      <c r="V70" s="417"/>
      <c r="W70" s="418"/>
      <c r="X70" s="418"/>
      <c r="Y70" s="418"/>
      <c r="Z70" s="418"/>
      <c r="AA70" s="418"/>
      <c r="AB70" s="418"/>
      <c r="AC70" s="418"/>
      <c r="AD70" s="419"/>
    </row>
    <row r="71" spans="1:32" ht="27" customHeight="1">
      <c r="A71" s="415" t="s">
        <v>112</v>
      </c>
      <c r="B71" s="416"/>
      <c r="C71" s="243" t="s">
        <v>595</v>
      </c>
      <c r="D71" s="243" t="s">
        <v>589</v>
      </c>
      <c r="E71" s="244" t="s">
        <v>594</v>
      </c>
      <c r="F71" s="473" t="s">
        <v>122</v>
      </c>
      <c r="G71" s="474"/>
      <c r="H71" s="474"/>
      <c r="I71" s="474"/>
      <c r="J71" s="474"/>
      <c r="K71" s="474"/>
      <c r="L71" s="474"/>
      <c r="M71" s="475"/>
      <c r="N71" s="247"/>
      <c r="O71" s="241"/>
      <c r="P71" s="420"/>
      <c r="Q71" s="420"/>
      <c r="R71" s="420"/>
      <c r="S71" s="420"/>
      <c r="T71" s="420"/>
      <c r="U71" s="420"/>
      <c r="V71" s="417"/>
      <c r="W71" s="418"/>
      <c r="X71" s="418"/>
      <c r="Y71" s="418"/>
      <c r="Z71" s="418"/>
      <c r="AA71" s="418"/>
      <c r="AB71" s="418"/>
      <c r="AC71" s="418"/>
      <c r="AD71" s="419"/>
      <c r="AF71" s="81">
        <f>8*3000</f>
        <v>24000</v>
      </c>
    </row>
    <row r="72" spans="1:32" ht="27" customHeight="1" thickBot="1">
      <c r="A72" s="421"/>
      <c r="B72" s="422"/>
      <c r="C72" s="245"/>
      <c r="D72" s="246"/>
      <c r="E72" s="245"/>
      <c r="F72" s="423"/>
      <c r="G72" s="424"/>
      <c r="H72" s="424"/>
      <c r="I72" s="424"/>
      <c r="J72" s="424"/>
      <c r="K72" s="424"/>
      <c r="L72" s="424"/>
      <c r="M72" s="425"/>
      <c r="N72" s="105"/>
      <c r="O72" s="97"/>
      <c r="P72" s="426"/>
      <c r="Q72" s="426"/>
      <c r="R72" s="426"/>
      <c r="S72" s="426"/>
      <c r="T72" s="426"/>
      <c r="U72" s="426"/>
      <c r="V72" s="427"/>
      <c r="W72" s="427"/>
      <c r="X72" s="427"/>
      <c r="Y72" s="427"/>
      <c r="Z72" s="427"/>
      <c r="AA72" s="427"/>
      <c r="AB72" s="427"/>
      <c r="AC72" s="427"/>
      <c r="AD72" s="428"/>
      <c r="AF72" s="81">
        <f>16*3000</f>
        <v>48000</v>
      </c>
    </row>
    <row r="73" spans="1:32" ht="27.75" thickBot="1">
      <c r="A73" s="413" t="s">
        <v>602</v>
      </c>
      <c r="B73" s="413"/>
      <c r="C73" s="413"/>
      <c r="D73" s="413"/>
      <c r="E73" s="413"/>
      <c r="F73" s="37"/>
      <c r="G73" s="37"/>
      <c r="H73" s="38"/>
      <c r="I73" s="38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F73" s="81">
        <v>24000</v>
      </c>
    </row>
    <row r="74" spans="1:32" ht="29.25" customHeight="1" thickBot="1">
      <c r="A74" s="414" t="s">
        <v>111</v>
      </c>
      <c r="B74" s="411"/>
      <c r="C74" s="242" t="s">
        <v>2</v>
      </c>
      <c r="D74" s="242" t="s">
        <v>37</v>
      </c>
      <c r="E74" s="242" t="s">
        <v>3</v>
      </c>
      <c r="F74" s="411" t="s">
        <v>109</v>
      </c>
      <c r="G74" s="411"/>
      <c r="H74" s="411"/>
      <c r="I74" s="411"/>
      <c r="J74" s="411"/>
      <c r="K74" s="411" t="s">
        <v>39</v>
      </c>
      <c r="L74" s="411"/>
      <c r="M74" s="242" t="s">
        <v>40</v>
      </c>
      <c r="N74" s="411" t="s">
        <v>41</v>
      </c>
      <c r="O74" s="411"/>
      <c r="P74" s="408" t="s">
        <v>42</v>
      </c>
      <c r="Q74" s="410"/>
      <c r="R74" s="408" t="s">
        <v>43</v>
      </c>
      <c r="S74" s="409"/>
      <c r="T74" s="409"/>
      <c r="U74" s="409"/>
      <c r="V74" s="409"/>
      <c r="W74" s="409"/>
      <c r="X74" s="409"/>
      <c r="Y74" s="409"/>
      <c r="Z74" s="409"/>
      <c r="AA74" s="410"/>
      <c r="AB74" s="411" t="s">
        <v>44</v>
      </c>
      <c r="AC74" s="411"/>
      <c r="AD74" s="412"/>
      <c r="AF74" s="81">
        <f>SUM(AF71:AF73)</f>
        <v>96000</v>
      </c>
    </row>
    <row r="75" spans="1:32" ht="25.5" customHeight="1">
      <c r="A75" s="399">
        <v>1</v>
      </c>
      <c r="B75" s="400"/>
      <c r="C75" s="98" t="s">
        <v>608</v>
      </c>
      <c r="D75" s="237"/>
      <c r="E75" s="240" t="s">
        <v>609</v>
      </c>
      <c r="F75" s="401" t="s">
        <v>603</v>
      </c>
      <c r="G75" s="391"/>
      <c r="H75" s="391"/>
      <c r="I75" s="391"/>
      <c r="J75" s="391"/>
      <c r="K75" s="391" t="s">
        <v>610</v>
      </c>
      <c r="L75" s="391"/>
      <c r="M75" s="51" t="s">
        <v>613</v>
      </c>
      <c r="N75" s="402" t="s">
        <v>614</v>
      </c>
      <c r="O75" s="402"/>
      <c r="P75" s="403">
        <v>30</v>
      </c>
      <c r="Q75" s="403"/>
      <c r="R75" s="404"/>
      <c r="S75" s="404"/>
      <c r="T75" s="404"/>
      <c r="U75" s="404"/>
      <c r="V75" s="404"/>
      <c r="W75" s="404"/>
      <c r="X75" s="404"/>
      <c r="Y75" s="404"/>
      <c r="Z75" s="404"/>
      <c r="AA75" s="404"/>
      <c r="AB75" s="391"/>
      <c r="AC75" s="391"/>
      <c r="AD75" s="392"/>
      <c r="AF75" s="50"/>
    </row>
    <row r="76" spans="1:32" ht="25.5" customHeight="1">
      <c r="A76" s="399">
        <v>2</v>
      </c>
      <c r="B76" s="400"/>
      <c r="C76" s="98" t="s">
        <v>585</v>
      </c>
      <c r="D76" s="237"/>
      <c r="E76" s="240" t="s">
        <v>611</v>
      </c>
      <c r="F76" s="401" t="s">
        <v>604</v>
      </c>
      <c r="G76" s="391"/>
      <c r="H76" s="391"/>
      <c r="I76" s="391"/>
      <c r="J76" s="391"/>
      <c r="K76" s="391" t="s">
        <v>612</v>
      </c>
      <c r="L76" s="391"/>
      <c r="M76" s="51" t="s">
        <v>613</v>
      </c>
      <c r="N76" s="402" t="s">
        <v>614</v>
      </c>
      <c r="O76" s="402"/>
      <c r="P76" s="403">
        <v>50</v>
      </c>
      <c r="Q76" s="403"/>
      <c r="R76" s="404"/>
      <c r="S76" s="404"/>
      <c r="T76" s="404"/>
      <c r="U76" s="404"/>
      <c r="V76" s="404"/>
      <c r="W76" s="404"/>
      <c r="X76" s="404"/>
      <c r="Y76" s="404"/>
      <c r="Z76" s="404"/>
      <c r="AA76" s="404"/>
      <c r="AB76" s="391"/>
      <c r="AC76" s="391"/>
      <c r="AD76" s="392"/>
      <c r="AF76" s="50"/>
    </row>
    <row r="77" spans="1:32" ht="25.5" customHeight="1">
      <c r="A77" s="399">
        <v>3</v>
      </c>
      <c r="B77" s="400"/>
      <c r="C77" s="98" t="s">
        <v>608</v>
      </c>
      <c r="D77" s="237"/>
      <c r="E77" s="240" t="s">
        <v>615</v>
      </c>
      <c r="F77" s="401" t="s">
        <v>605</v>
      </c>
      <c r="G77" s="391"/>
      <c r="H77" s="391"/>
      <c r="I77" s="391"/>
      <c r="J77" s="391"/>
      <c r="K77" s="391" t="s">
        <v>616</v>
      </c>
      <c r="L77" s="391"/>
      <c r="M77" s="51" t="s">
        <v>617</v>
      </c>
      <c r="N77" s="402" t="s">
        <v>588</v>
      </c>
      <c r="O77" s="402"/>
      <c r="P77" s="403" t="s">
        <v>618</v>
      </c>
      <c r="Q77" s="403"/>
      <c r="R77" s="404"/>
      <c r="S77" s="404"/>
      <c r="T77" s="404"/>
      <c r="U77" s="404"/>
      <c r="V77" s="404"/>
      <c r="W77" s="404"/>
      <c r="X77" s="404"/>
      <c r="Y77" s="404"/>
      <c r="Z77" s="404"/>
      <c r="AA77" s="404"/>
      <c r="AB77" s="391"/>
      <c r="AC77" s="391"/>
      <c r="AD77" s="392"/>
      <c r="AF77" s="50"/>
    </row>
    <row r="78" spans="1:32" ht="25.5" customHeight="1">
      <c r="A78" s="399">
        <v>4</v>
      </c>
      <c r="B78" s="400"/>
      <c r="C78" s="98" t="s">
        <v>585</v>
      </c>
      <c r="D78" s="237"/>
      <c r="E78" s="240" t="s">
        <v>589</v>
      </c>
      <c r="F78" s="405" t="s">
        <v>590</v>
      </c>
      <c r="G78" s="406"/>
      <c r="H78" s="406"/>
      <c r="I78" s="406"/>
      <c r="J78" s="407"/>
      <c r="K78" s="391">
        <v>7301</v>
      </c>
      <c r="L78" s="391"/>
      <c r="M78" s="51" t="s">
        <v>613</v>
      </c>
      <c r="N78" s="402" t="s">
        <v>588</v>
      </c>
      <c r="O78" s="402"/>
      <c r="P78" s="403">
        <v>50</v>
      </c>
      <c r="Q78" s="403"/>
      <c r="R78" s="404"/>
      <c r="S78" s="404"/>
      <c r="T78" s="404"/>
      <c r="U78" s="404"/>
      <c r="V78" s="404"/>
      <c r="W78" s="404"/>
      <c r="X78" s="404"/>
      <c r="Y78" s="404"/>
      <c r="Z78" s="404"/>
      <c r="AA78" s="404"/>
      <c r="AB78" s="391"/>
      <c r="AC78" s="391"/>
      <c r="AD78" s="392"/>
      <c r="AF78" s="50"/>
    </row>
    <row r="79" spans="1:32" ht="25.5" customHeight="1">
      <c r="A79" s="399">
        <v>5</v>
      </c>
      <c r="B79" s="400"/>
      <c r="C79" s="98" t="s">
        <v>592</v>
      </c>
      <c r="D79" s="237"/>
      <c r="E79" s="240" t="s">
        <v>601</v>
      </c>
      <c r="F79" s="405" t="s">
        <v>606</v>
      </c>
      <c r="G79" s="406"/>
      <c r="H79" s="406"/>
      <c r="I79" s="406"/>
      <c r="J79" s="407"/>
      <c r="K79" s="391" t="s">
        <v>619</v>
      </c>
      <c r="L79" s="391"/>
      <c r="M79" s="51" t="s">
        <v>613</v>
      </c>
      <c r="N79" s="402" t="s">
        <v>600</v>
      </c>
      <c r="O79" s="402"/>
      <c r="P79" s="403">
        <v>100</v>
      </c>
      <c r="Q79" s="403"/>
      <c r="R79" s="404"/>
      <c r="S79" s="404"/>
      <c r="T79" s="404"/>
      <c r="U79" s="404"/>
      <c r="V79" s="404"/>
      <c r="W79" s="404"/>
      <c r="X79" s="404"/>
      <c r="Y79" s="404"/>
      <c r="Z79" s="404"/>
      <c r="AA79" s="404"/>
      <c r="AB79" s="391"/>
      <c r="AC79" s="391"/>
      <c r="AD79" s="392"/>
      <c r="AF79" s="50"/>
    </row>
    <row r="80" spans="1:32" ht="25.5" customHeight="1">
      <c r="A80" s="399">
        <v>6</v>
      </c>
      <c r="B80" s="400"/>
      <c r="C80" s="98" t="s">
        <v>592</v>
      </c>
      <c r="D80" s="252"/>
      <c r="E80" s="251" t="s">
        <v>601</v>
      </c>
      <c r="F80" s="405" t="s">
        <v>607</v>
      </c>
      <c r="G80" s="406"/>
      <c r="H80" s="406"/>
      <c r="I80" s="406"/>
      <c r="J80" s="407"/>
      <c r="K80" s="391" t="s">
        <v>619</v>
      </c>
      <c r="L80" s="391"/>
      <c r="M80" s="51" t="s">
        <v>613</v>
      </c>
      <c r="N80" s="402" t="s">
        <v>600</v>
      </c>
      <c r="O80" s="402"/>
      <c r="P80" s="403">
        <v>100</v>
      </c>
      <c r="Q80" s="403"/>
      <c r="R80" s="404"/>
      <c r="S80" s="404"/>
      <c r="T80" s="404"/>
      <c r="U80" s="404"/>
      <c r="V80" s="404"/>
      <c r="W80" s="404"/>
      <c r="X80" s="404"/>
      <c r="Y80" s="404"/>
      <c r="Z80" s="404"/>
      <c r="AA80" s="404"/>
      <c r="AB80" s="391"/>
      <c r="AC80" s="391"/>
      <c r="AD80" s="392"/>
      <c r="AF80" s="50"/>
    </row>
    <row r="81" spans="1:32" ht="25.5" customHeight="1">
      <c r="A81" s="399">
        <v>7</v>
      </c>
      <c r="B81" s="400"/>
      <c r="C81" s="98" t="s">
        <v>585</v>
      </c>
      <c r="D81" s="237"/>
      <c r="E81" s="240" t="s">
        <v>620</v>
      </c>
      <c r="F81" s="405" t="s">
        <v>584</v>
      </c>
      <c r="G81" s="406"/>
      <c r="H81" s="406"/>
      <c r="I81" s="406"/>
      <c r="J81" s="407"/>
      <c r="K81" s="391" t="s">
        <v>621</v>
      </c>
      <c r="L81" s="391"/>
      <c r="M81" s="51" t="s">
        <v>613</v>
      </c>
      <c r="N81" s="402" t="s">
        <v>586</v>
      </c>
      <c r="O81" s="402"/>
      <c r="P81" s="403">
        <v>50</v>
      </c>
      <c r="Q81" s="403"/>
      <c r="R81" s="404"/>
      <c r="S81" s="404"/>
      <c r="T81" s="404"/>
      <c r="U81" s="404"/>
      <c r="V81" s="404"/>
      <c r="W81" s="404"/>
      <c r="X81" s="404"/>
      <c r="Y81" s="404"/>
      <c r="Z81" s="404"/>
      <c r="AA81" s="404"/>
      <c r="AB81" s="391"/>
      <c r="AC81" s="391"/>
      <c r="AD81" s="392"/>
      <c r="AF81" s="50"/>
    </row>
    <row r="82" spans="1:32" ht="25.5" customHeight="1">
      <c r="A82" s="399">
        <v>8</v>
      </c>
      <c r="B82" s="400"/>
      <c r="C82" s="98"/>
      <c r="D82" s="237"/>
      <c r="E82" s="240"/>
      <c r="F82" s="401"/>
      <c r="G82" s="391"/>
      <c r="H82" s="391"/>
      <c r="I82" s="391"/>
      <c r="J82" s="391"/>
      <c r="K82" s="391"/>
      <c r="L82" s="391"/>
      <c r="M82" s="51"/>
      <c r="N82" s="402"/>
      <c r="O82" s="402"/>
      <c r="P82" s="403"/>
      <c r="Q82" s="403"/>
      <c r="R82" s="404"/>
      <c r="S82" s="404"/>
      <c r="T82" s="404"/>
      <c r="U82" s="404"/>
      <c r="V82" s="404"/>
      <c r="W82" s="404"/>
      <c r="X82" s="404"/>
      <c r="Y82" s="404"/>
      <c r="Z82" s="404"/>
      <c r="AA82" s="404"/>
      <c r="AB82" s="391"/>
      <c r="AC82" s="391"/>
      <c r="AD82" s="392"/>
      <c r="AF82" s="50"/>
    </row>
    <row r="83" spans="1:32" ht="25.5" customHeight="1">
      <c r="A83" s="399">
        <v>9</v>
      </c>
      <c r="B83" s="400"/>
      <c r="C83" s="98"/>
      <c r="D83" s="237"/>
      <c r="E83" s="240"/>
      <c r="F83" s="401"/>
      <c r="G83" s="391"/>
      <c r="H83" s="391"/>
      <c r="I83" s="391"/>
      <c r="J83" s="391"/>
      <c r="K83" s="391"/>
      <c r="L83" s="391"/>
      <c r="M83" s="51"/>
      <c r="N83" s="402"/>
      <c r="O83" s="402"/>
      <c r="P83" s="403"/>
      <c r="Q83" s="403"/>
      <c r="R83" s="404"/>
      <c r="S83" s="404"/>
      <c r="T83" s="404"/>
      <c r="U83" s="404"/>
      <c r="V83" s="404"/>
      <c r="W83" s="404"/>
      <c r="X83" s="404"/>
      <c r="Y83" s="404"/>
      <c r="Z83" s="404"/>
      <c r="AA83" s="404"/>
      <c r="AB83" s="391"/>
      <c r="AC83" s="391"/>
      <c r="AD83" s="392"/>
      <c r="AF83" s="50"/>
    </row>
    <row r="84" spans="1:32" ht="25.5" customHeight="1">
      <c r="A84" s="399">
        <v>10</v>
      </c>
      <c r="B84" s="400"/>
      <c r="C84" s="98"/>
      <c r="D84" s="237"/>
      <c r="E84" s="240"/>
      <c r="F84" s="401"/>
      <c r="G84" s="391"/>
      <c r="H84" s="391"/>
      <c r="I84" s="391"/>
      <c r="J84" s="391"/>
      <c r="K84" s="391"/>
      <c r="L84" s="391"/>
      <c r="M84" s="51"/>
      <c r="N84" s="402"/>
      <c r="O84" s="402"/>
      <c r="P84" s="403"/>
      <c r="Q84" s="403"/>
      <c r="R84" s="404"/>
      <c r="S84" s="404"/>
      <c r="T84" s="404"/>
      <c r="U84" s="404"/>
      <c r="V84" s="404"/>
      <c r="W84" s="404"/>
      <c r="X84" s="404"/>
      <c r="Y84" s="404"/>
      <c r="Z84" s="404"/>
      <c r="AA84" s="404"/>
      <c r="AB84" s="391"/>
      <c r="AC84" s="391"/>
      <c r="AD84" s="392"/>
      <c r="AF84" s="50"/>
    </row>
    <row r="85" spans="1:32" ht="26.25" customHeight="1" thickBot="1">
      <c r="A85" s="371" t="s">
        <v>622</v>
      </c>
      <c r="B85" s="371"/>
      <c r="C85" s="371"/>
      <c r="D85" s="371"/>
      <c r="E85" s="371"/>
      <c r="F85" s="37"/>
      <c r="G85" s="37"/>
      <c r="H85" s="38"/>
      <c r="I85" s="38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F85" s="50"/>
    </row>
    <row r="86" spans="1:32" ht="23.25" thickBot="1">
      <c r="A86" s="393" t="s">
        <v>111</v>
      </c>
      <c r="B86" s="394"/>
      <c r="C86" s="239" t="s">
        <v>2</v>
      </c>
      <c r="D86" s="239" t="s">
        <v>37</v>
      </c>
      <c r="E86" s="239" t="s">
        <v>120</v>
      </c>
      <c r="F86" s="373" t="s">
        <v>38</v>
      </c>
      <c r="G86" s="373"/>
      <c r="H86" s="373"/>
      <c r="I86" s="373"/>
      <c r="J86" s="373"/>
      <c r="K86" s="395" t="s">
        <v>58</v>
      </c>
      <c r="L86" s="396"/>
      <c r="M86" s="396"/>
      <c r="N86" s="396"/>
      <c r="O86" s="396"/>
      <c r="P86" s="396"/>
      <c r="Q86" s="396"/>
      <c r="R86" s="396"/>
      <c r="S86" s="397"/>
      <c r="T86" s="373" t="s">
        <v>49</v>
      </c>
      <c r="U86" s="373"/>
      <c r="V86" s="395" t="s">
        <v>50</v>
      </c>
      <c r="W86" s="397"/>
      <c r="X86" s="396" t="s">
        <v>51</v>
      </c>
      <c r="Y86" s="396"/>
      <c r="Z86" s="396"/>
      <c r="AA86" s="396"/>
      <c r="AB86" s="396"/>
      <c r="AC86" s="396"/>
      <c r="AD86" s="398"/>
      <c r="AF86" s="50"/>
    </row>
    <row r="87" spans="1:32" ht="33.75" customHeight="1">
      <c r="A87" s="365">
        <v>1</v>
      </c>
      <c r="B87" s="366"/>
      <c r="C87" s="238"/>
      <c r="D87" s="238"/>
      <c r="E87" s="65"/>
      <c r="F87" s="380"/>
      <c r="G87" s="381"/>
      <c r="H87" s="381"/>
      <c r="I87" s="381"/>
      <c r="J87" s="382"/>
      <c r="K87" s="383"/>
      <c r="L87" s="384"/>
      <c r="M87" s="384"/>
      <c r="N87" s="384"/>
      <c r="O87" s="384"/>
      <c r="P87" s="384"/>
      <c r="Q87" s="384"/>
      <c r="R87" s="384"/>
      <c r="S87" s="385"/>
      <c r="T87" s="386"/>
      <c r="U87" s="387"/>
      <c r="V87" s="388"/>
      <c r="W87" s="388"/>
      <c r="X87" s="389"/>
      <c r="Y87" s="389"/>
      <c r="Z87" s="389"/>
      <c r="AA87" s="389"/>
      <c r="AB87" s="389"/>
      <c r="AC87" s="389"/>
      <c r="AD87" s="390"/>
      <c r="AF87" s="50"/>
    </row>
    <row r="88" spans="1:32" ht="30" customHeight="1">
      <c r="A88" s="358">
        <f>A87+1</f>
        <v>2</v>
      </c>
      <c r="B88" s="359"/>
      <c r="C88" s="237"/>
      <c r="D88" s="237"/>
      <c r="E88" s="32"/>
      <c r="F88" s="359"/>
      <c r="G88" s="359"/>
      <c r="H88" s="359"/>
      <c r="I88" s="359"/>
      <c r="J88" s="359"/>
      <c r="K88" s="374"/>
      <c r="L88" s="375"/>
      <c r="M88" s="375"/>
      <c r="N88" s="375"/>
      <c r="O88" s="375"/>
      <c r="P88" s="375"/>
      <c r="Q88" s="375"/>
      <c r="R88" s="375"/>
      <c r="S88" s="376"/>
      <c r="T88" s="377"/>
      <c r="U88" s="377"/>
      <c r="V88" s="377"/>
      <c r="W88" s="377"/>
      <c r="X88" s="378"/>
      <c r="Y88" s="378"/>
      <c r="Z88" s="378"/>
      <c r="AA88" s="378"/>
      <c r="AB88" s="378"/>
      <c r="AC88" s="378"/>
      <c r="AD88" s="379"/>
      <c r="AF88" s="50"/>
    </row>
    <row r="89" spans="1:32" ht="30" customHeight="1">
      <c r="A89" s="358">
        <f t="shared" ref="A89:A93" si="52">A88+1</f>
        <v>3</v>
      </c>
      <c r="B89" s="359"/>
      <c r="C89" s="237"/>
      <c r="D89" s="237"/>
      <c r="E89" s="32"/>
      <c r="F89" s="359"/>
      <c r="G89" s="359"/>
      <c r="H89" s="359"/>
      <c r="I89" s="359"/>
      <c r="J89" s="359"/>
      <c r="K89" s="374"/>
      <c r="L89" s="375"/>
      <c r="M89" s="375"/>
      <c r="N89" s="375"/>
      <c r="O89" s="375"/>
      <c r="P89" s="375"/>
      <c r="Q89" s="375"/>
      <c r="R89" s="375"/>
      <c r="S89" s="376"/>
      <c r="T89" s="377"/>
      <c r="U89" s="377"/>
      <c r="V89" s="377"/>
      <c r="W89" s="377"/>
      <c r="X89" s="378"/>
      <c r="Y89" s="378"/>
      <c r="Z89" s="378"/>
      <c r="AA89" s="378"/>
      <c r="AB89" s="378"/>
      <c r="AC89" s="378"/>
      <c r="AD89" s="379"/>
      <c r="AF89" s="50"/>
    </row>
    <row r="90" spans="1:32" ht="30" customHeight="1">
      <c r="A90" s="358">
        <f t="shared" si="52"/>
        <v>4</v>
      </c>
      <c r="B90" s="359"/>
      <c r="C90" s="237"/>
      <c r="D90" s="237"/>
      <c r="E90" s="32"/>
      <c r="F90" s="359"/>
      <c r="G90" s="359"/>
      <c r="H90" s="359"/>
      <c r="I90" s="359"/>
      <c r="J90" s="359"/>
      <c r="K90" s="374"/>
      <c r="L90" s="375"/>
      <c r="M90" s="375"/>
      <c r="N90" s="375"/>
      <c r="O90" s="375"/>
      <c r="P90" s="375"/>
      <c r="Q90" s="375"/>
      <c r="R90" s="375"/>
      <c r="S90" s="376"/>
      <c r="T90" s="377"/>
      <c r="U90" s="377"/>
      <c r="V90" s="377"/>
      <c r="W90" s="377"/>
      <c r="X90" s="378"/>
      <c r="Y90" s="378"/>
      <c r="Z90" s="378"/>
      <c r="AA90" s="378"/>
      <c r="AB90" s="378"/>
      <c r="AC90" s="378"/>
      <c r="AD90" s="379"/>
      <c r="AF90" s="50"/>
    </row>
    <row r="91" spans="1:32" ht="30" customHeight="1">
      <c r="A91" s="358">
        <f t="shared" si="52"/>
        <v>5</v>
      </c>
      <c r="B91" s="359"/>
      <c r="C91" s="237"/>
      <c r="D91" s="237"/>
      <c r="E91" s="32"/>
      <c r="F91" s="359"/>
      <c r="G91" s="359"/>
      <c r="H91" s="359"/>
      <c r="I91" s="359"/>
      <c r="J91" s="359"/>
      <c r="K91" s="374"/>
      <c r="L91" s="375"/>
      <c r="M91" s="375"/>
      <c r="N91" s="375"/>
      <c r="O91" s="375"/>
      <c r="P91" s="375"/>
      <c r="Q91" s="375"/>
      <c r="R91" s="375"/>
      <c r="S91" s="376"/>
      <c r="T91" s="377"/>
      <c r="U91" s="377"/>
      <c r="V91" s="377"/>
      <c r="W91" s="377"/>
      <c r="X91" s="378"/>
      <c r="Y91" s="378"/>
      <c r="Z91" s="378"/>
      <c r="AA91" s="378"/>
      <c r="AB91" s="378"/>
      <c r="AC91" s="378"/>
      <c r="AD91" s="379"/>
      <c r="AF91" s="50"/>
    </row>
    <row r="92" spans="1:32" ht="30" customHeight="1">
      <c r="A92" s="358">
        <f t="shared" si="52"/>
        <v>6</v>
      </c>
      <c r="B92" s="359"/>
      <c r="C92" s="237"/>
      <c r="D92" s="237"/>
      <c r="E92" s="32"/>
      <c r="F92" s="359"/>
      <c r="G92" s="359"/>
      <c r="H92" s="359"/>
      <c r="I92" s="359"/>
      <c r="J92" s="359"/>
      <c r="K92" s="374"/>
      <c r="L92" s="375"/>
      <c r="M92" s="375"/>
      <c r="N92" s="375"/>
      <c r="O92" s="375"/>
      <c r="P92" s="375"/>
      <c r="Q92" s="375"/>
      <c r="R92" s="375"/>
      <c r="S92" s="376"/>
      <c r="T92" s="377"/>
      <c r="U92" s="377"/>
      <c r="V92" s="377"/>
      <c r="W92" s="377"/>
      <c r="X92" s="378"/>
      <c r="Y92" s="378"/>
      <c r="Z92" s="378"/>
      <c r="AA92" s="378"/>
      <c r="AB92" s="378"/>
      <c r="AC92" s="378"/>
      <c r="AD92" s="379"/>
      <c r="AF92" s="50"/>
    </row>
    <row r="93" spans="1:32" ht="30" customHeight="1">
      <c r="A93" s="358">
        <f t="shared" si="52"/>
        <v>7</v>
      </c>
      <c r="B93" s="359"/>
      <c r="C93" s="237"/>
      <c r="D93" s="237"/>
      <c r="E93" s="32"/>
      <c r="F93" s="359"/>
      <c r="G93" s="359"/>
      <c r="H93" s="359"/>
      <c r="I93" s="359"/>
      <c r="J93" s="359"/>
      <c r="K93" s="374"/>
      <c r="L93" s="375"/>
      <c r="M93" s="375"/>
      <c r="N93" s="375"/>
      <c r="O93" s="375"/>
      <c r="P93" s="375"/>
      <c r="Q93" s="375"/>
      <c r="R93" s="375"/>
      <c r="S93" s="376"/>
      <c r="T93" s="377"/>
      <c r="U93" s="377"/>
      <c r="V93" s="377"/>
      <c r="W93" s="377"/>
      <c r="X93" s="378"/>
      <c r="Y93" s="378"/>
      <c r="Z93" s="378"/>
      <c r="AA93" s="378"/>
      <c r="AB93" s="378"/>
      <c r="AC93" s="378"/>
      <c r="AD93" s="379"/>
      <c r="AF93" s="50"/>
    </row>
    <row r="94" spans="1:32" ht="36" thickBot="1">
      <c r="A94" s="371" t="s">
        <v>623</v>
      </c>
      <c r="B94" s="371"/>
      <c r="C94" s="371"/>
      <c r="D94" s="371"/>
      <c r="E94" s="371"/>
      <c r="F94" s="37"/>
      <c r="G94" s="37"/>
      <c r="H94" s="38"/>
      <c r="I94" s="38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F94" s="50"/>
    </row>
    <row r="95" spans="1:32" ht="30.75" customHeight="1" thickBot="1">
      <c r="A95" s="372" t="s">
        <v>111</v>
      </c>
      <c r="B95" s="373"/>
      <c r="C95" s="363" t="s">
        <v>52</v>
      </c>
      <c r="D95" s="363"/>
      <c r="E95" s="363" t="s">
        <v>53</v>
      </c>
      <c r="F95" s="363"/>
      <c r="G95" s="363"/>
      <c r="H95" s="363"/>
      <c r="I95" s="363"/>
      <c r="J95" s="363"/>
      <c r="K95" s="363" t="s">
        <v>54</v>
      </c>
      <c r="L95" s="363"/>
      <c r="M95" s="363"/>
      <c r="N95" s="363"/>
      <c r="O95" s="363"/>
      <c r="P95" s="363"/>
      <c r="Q95" s="363"/>
      <c r="R95" s="363"/>
      <c r="S95" s="363"/>
      <c r="T95" s="363" t="s">
        <v>55</v>
      </c>
      <c r="U95" s="363"/>
      <c r="V95" s="363" t="s">
        <v>56</v>
      </c>
      <c r="W95" s="363"/>
      <c r="X95" s="363"/>
      <c r="Y95" s="363" t="s">
        <v>51</v>
      </c>
      <c r="Z95" s="363"/>
      <c r="AA95" s="363"/>
      <c r="AB95" s="363"/>
      <c r="AC95" s="363"/>
      <c r="AD95" s="364"/>
      <c r="AF95" s="50"/>
    </row>
    <row r="96" spans="1:32" ht="30.75" customHeight="1">
      <c r="A96" s="365">
        <v>1</v>
      </c>
      <c r="B96" s="366"/>
      <c r="C96" s="367"/>
      <c r="D96" s="367"/>
      <c r="E96" s="367"/>
      <c r="F96" s="367"/>
      <c r="G96" s="367"/>
      <c r="H96" s="367"/>
      <c r="I96" s="367"/>
      <c r="J96" s="367"/>
      <c r="K96" s="367"/>
      <c r="L96" s="367"/>
      <c r="M96" s="367"/>
      <c r="N96" s="367"/>
      <c r="O96" s="367"/>
      <c r="P96" s="367"/>
      <c r="Q96" s="367"/>
      <c r="R96" s="367"/>
      <c r="S96" s="367"/>
      <c r="T96" s="367"/>
      <c r="U96" s="367"/>
      <c r="V96" s="368"/>
      <c r="W96" s="368"/>
      <c r="X96" s="368"/>
      <c r="Y96" s="369"/>
      <c r="Z96" s="369"/>
      <c r="AA96" s="369"/>
      <c r="AB96" s="369"/>
      <c r="AC96" s="369"/>
      <c r="AD96" s="370"/>
      <c r="AF96" s="50"/>
    </row>
    <row r="97" spans="1:32" ht="30.75" customHeight="1">
      <c r="A97" s="358">
        <v>2</v>
      </c>
      <c r="B97" s="359"/>
      <c r="C97" s="360"/>
      <c r="D97" s="360"/>
      <c r="E97" s="360"/>
      <c r="F97" s="360"/>
      <c r="G97" s="360"/>
      <c r="H97" s="360"/>
      <c r="I97" s="360"/>
      <c r="J97" s="360"/>
      <c r="K97" s="360"/>
      <c r="L97" s="360"/>
      <c r="M97" s="360"/>
      <c r="N97" s="360"/>
      <c r="O97" s="360"/>
      <c r="P97" s="360"/>
      <c r="Q97" s="360"/>
      <c r="R97" s="360"/>
      <c r="S97" s="360"/>
      <c r="T97" s="361"/>
      <c r="U97" s="361"/>
      <c r="V97" s="362"/>
      <c r="W97" s="362"/>
      <c r="X97" s="362"/>
      <c r="Y97" s="350"/>
      <c r="Z97" s="350"/>
      <c r="AA97" s="350"/>
      <c r="AB97" s="350"/>
      <c r="AC97" s="350"/>
      <c r="AD97" s="351"/>
      <c r="AF97" s="50"/>
    </row>
    <row r="98" spans="1:32" ht="30.75" customHeight="1" thickBot="1">
      <c r="A98" s="352">
        <v>3</v>
      </c>
      <c r="B98" s="353"/>
      <c r="C98" s="354"/>
      <c r="D98" s="354"/>
      <c r="E98" s="354"/>
      <c r="F98" s="354"/>
      <c r="G98" s="354"/>
      <c r="H98" s="354"/>
      <c r="I98" s="354"/>
      <c r="J98" s="354"/>
      <c r="K98" s="354"/>
      <c r="L98" s="354"/>
      <c r="M98" s="354"/>
      <c r="N98" s="354"/>
      <c r="O98" s="354"/>
      <c r="P98" s="354"/>
      <c r="Q98" s="354"/>
      <c r="R98" s="354"/>
      <c r="S98" s="354"/>
      <c r="T98" s="354"/>
      <c r="U98" s="354"/>
      <c r="V98" s="355"/>
      <c r="W98" s="355"/>
      <c r="X98" s="355"/>
      <c r="Y98" s="356"/>
      <c r="Z98" s="356"/>
      <c r="AA98" s="356"/>
      <c r="AB98" s="356"/>
      <c r="AC98" s="356"/>
      <c r="AD98" s="357"/>
      <c r="AF98" s="50"/>
    </row>
  </sheetData>
  <mergeCells count="232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33:H33"/>
    <mergeCell ref="A60:E60"/>
    <mergeCell ref="A61:M61"/>
    <mergeCell ref="N61:AD61"/>
    <mergeCell ref="A62:B62"/>
    <mergeCell ref="F62:M62"/>
    <mergeCell ref="P62:Q62"/>
    <mergeCell ref="R62:U62"/>
    <mergeCell ref="V62:AD62"/>
    <mergeCell ref="I4:O4"/>
    <mergeCell ref="P4:Q4"/>
    <mergeCell ref="R4:V4"/>
    <mergeCell ref="W4:AA4"/>
    <mergeCell ref="AB4:AB5"/>
    <mergeCell ref="AC4:AC5"/>
    <mergeCell ref="A63:B63"/>
    <mergeCell ref="F63:M63"/>
    <mergeCell ref="P63:Q63"/>
    <mergeCell ref="R63:U63"/>
    <mergeCell ref="V63:AD63"/>
    <mergeCell ref="A64:B64"/>
    <mergeCell ref="F64:M64"/>
    <mergeCell ref="P64:Q64"/>
    <mergeCell ref="R64:U64"/>
    <mergeCell ref="V64:AD64"/>
    <mergeCell ref="A65:B65"/>
    <mergeCell ref="F65:M65"/>
    <mergeCell ref="P65:Q65"/>
    <mergeCell ref="R65:U65"/>
    <mergeCell ref="V65:AD65"/>
    <mergeCell ref="A66:B66"/>
    <mergeCell ref="F66:M66"/>
    <mergeCell ref="P66:Q66"/>
    <mergeCell ref="R66:U66"/>
    <mergeCell ref="V66:AD66"/>
    <mergeCell ref="A67:B67"/>
    <mergeCell ref="F67:M67"/>
    <mergeCell ref="P67:Q67"/>
    <mergeCell ref="R67:U67"/>
    <mergeCell ref="V67:AD67"/>
    <mergeCell ref="A68:B68"/>
    <mergeCell ref="F68:M68"/>
    <mergeCell ref="P68:Q68"/>
    <mergeCell ref="R68:U68"/>
    <mergeCell ref="V68:AD68"/>
    <mergeCell ref="R71:U71"/>
    <mergeCell ref="V71:AD71"/>
    <mergeCell ref="A72:B72"/>
    <mergeCell ref="F72:M72"/>
    <mergeCell ref="P72:Q72"/>
    <mergeCell ref="R72:U72"/>
    <mergeCell ref="V72:AD72"/>
    <mergeCell ref="A69:B69"/>
    <mergeCell ref="F69:M69"/>
    <mergeCell ref="P69:Q69"/>
    <mergeCell ref="R69:U69"/>
    <mergeCell ref="V69:AD69"/>
    <mergeCell ref="A70:B70"/>
    <mergeCell ref="F70:M70"/>
    <mergeCell ref="P70:Q70"/>
    <mergeCell ref="R70:U70"/>
    <mergeCell ref="V70:AD70"/>
    <mergeCell ref="A73:E73"/>
    <mergeCell ref="A74:B74"/>
    <mergeCell ref="F74:J74"/>
    <mergeCell ref="K74:L74"/>
    <mergeCell ref="N74:O74"/>
    <mergeCell ref="P74:Q74"/>
    <mergeCell ref="A71:B71"/>
    <mergeCell ref="F71:M71"/>
    <mergeCell ref="P71:Q71"/>
    <mergeCell ref="R74:AA74"/>
    <mergeCell ref="AB74:AD74"/>
    <mergeCell ref="A75:B75"/>
    <mergeCell ref="F75:J75"/>
    <mergeCell ref="K75:L75"/>
    <mergeCell ref="N75:O75"/>
    <mergeCell ref="P75:Q75"/>
    <mergeCell ref="R75:AA75"/>
    <mergeCell ref="AB75:AD75"/>
    <mergeCell ref="AB76:AD76"/>
    <mergeCell ref="A77:B77"/>
    <mergeCell ref="F77:J77"/>
    <mergeCell ref="K77:L77"/>
    <mergeCell ref="N77:O77"/>
    <mergeCell ref="P77:Q77"/>
    <mergeCell ref="R77:AA77"/>
    <mergeCell ref="AB77:AD77"/>
    <mergeCell ref="A76:B76"/>
    <mergeCell ref="F76:J76"/>
    <mergeCell ref="K76:L76"/>
    <mergeCell ref="N76:O76"/>
    <mergeCell ref="P76:Q76"/>
    <mergeCell ref="R76:AA76"/>
    <mergeCell ref="AB78:AD78"/>
    <mergeCell ref="A79:B79"/>
    <mergeCell ref="F79:J79"/>
    <mergeCell ref="K79:L79"/>
    <mergeCell ref="N79:O79"/>
    <mergeCell ref="P79:Q79"/>
    <mergeCell ref="R79:AA79"/>
    <mergeCell ref="AB79:AD79"/>
    <mergeCell ref="A78:B78"/>
    <mergeCell ref="F78:J78"/>
    <mergeCell ref="K78:L78"/>
    <mergeCell ref="N78:O78"/>
    <mergeCell ref="P78:Q78"/>
    <mergeCell ref="R78:AA78"/>
    <mergeCell ref="AB80:AD80"/>
    <mergeCell ref="A81:B81"/>
    <mergeCell ref="F81:J81"/>
    <mergeCell ref="K81:L81"/>
    <mergeCell ref="N81:O81"/>
    <mergeCell ref="P81:Q81"/>
    <mergeCell ref="R81:AA81"/>
    <mergeCell ref="AB81:AD81"/>
    <mergeCell ref="A80:B80"/>
    <mergeCell ref="F80:J80"/>
    <mergeCell ref="K80:L80"/>
    <mergeCell ref="N80:O80"/>
    <mergeCell ref="P80:Q80"/>
    <mergeCell ref="R80:AA80"/>
    <mergeCell ref="AB82:AD82"/>
    <mergeCell ref="A83:B83"/>
    <mergeCell ref="F83:J83"/>
    <mergeCell ref="K83:L83"/>
    <mergeCell ref="N83:O83"/>
    <mergeCell ref="P83:Q83"/>
    <mergeCell ref="R83:AA83"/>
    <mergeCell ref="AB83:AD83"/>
    <mergeCell ref="A82:B82"/>
    <mergeCell ref="F82:J82"/>
    <mergeCell ref="K82:L82"/>
    <mergeCell ref="N82:O82"/>
    <mergeCell ref="P82:Q82"/>
    <mergeCell ref="R82:AA82"/>
    <mergeCell ref="AB84:AD84"/>
    <mergeCell ref="A85:E85"/>
    <mergeCell ref="A86:B86"/>
    <mergeCell ref="F86:J86"/>
    <mergeCell ref="K86:S86"/>
    <mergeCell ref="T86:U86"/>
    <mergeCell ref="V86:W86"/>
    <mergeCell ref="X86:AD86"/>
    <mergeCell ref="A84:B84"/>
    <mergeCell ref="F84:J84"/>
    <mergeCell ref="K84:L84"/>
    <mergeCell ref="N84:O84"/>
    <mergeCell ref="P84:Q84"/>
    <mergeCell ref="R84:AA84"/>
    <mergeCell ref="A88:B88"/>
    <mergeCell ref="F88:J88"/>
    <mergeCell ref="K88:S88"/>
    <mergeCell ref="T88:U88"/>
    <mergeCell ref="V88:W88"/>
    <mergeCell ref="X88:AD88"/>
    <mergeCell ref="A87:B87"/>
    <mergeCell ref="F87:J87"/>
    <mergeCell ref="K87:S87"/>
    <mergeCell ref="T87:U87"/>
    <mergeCell ref="V87:W87"/>
    <mergeCell ref="X87:AD87"/>
    <mergeCell ref="A90:B90"/>
    <mergeCell ref="F90:J90"/>
    <mergeCell ref="K90:S90"/>
    <mergeCell ref="T90:U90"/>
    <mergeCell ref="V90:W90"/>
    <mergeCell ref="X90:AD90"/>
    <mergeCell ref="A89:B89"/>
    <mergeCell ref="F89:J89"/>
    <mergeCell ref="K89:S89"/>
    <mergeCell ref="T89:U89"/>
    <mergeCell ref="V89:W89"/>
    <mergeCell ref="X89:AD89"/>
    <mergeCell ref="V93:W93"/>
    <mergeCell ref="X93:AD93"/>
    <mergeCell ref="A92:B92"/>
    <mergeCell ref="F92:J92"/>
    <mergeCell ref="K92:S92"/>
    <mergeCell ref="T92:U92"/>
    <mergeCell ref="V92:W92"/>
    <mergeCell ref="X92:AD92"/>
    <mergeCell ref="A91:B91"/>
    <mergeCell ref="F91:J91"/>
    <mergeCell ref="K91:S91"/>
    <mergeCell ref="T91:U91"/>
    <mergeCell ref="V91:W91"/>
    <mergeCell ref="X91:AD91"/>
    <mergeCell ref="A94:E94"/>
    <mergeCell ref="A95:B95"/>
    <mergeCell ref="C95:D95"/>
    <mergeCell ref="E95:J95"/>
    <mergeCell ref="K95:S95"/>
    <mergeCell ref="T95:U95"/>
    <mergeCell ref="A93:B93"/>
    <mergeCell ref="F93:J93"/>
    <mergeCell ref="K93:S93"/>
    <mergeCell ref="T93:U93"/>
    <mergeCell ref="V95:X95"/>
    <mergeCell ref="Y95:AD95"/>
    <mergeCell ref="A96:B96"/>
    <mergeCell ref="C96:D96"/>
    <mergeCell ref="E96:J96"/>
    <mergeCell ref="K96:S96"/>
    <mergeCell ref="T96:U96"/>
    <mergeCell ref="V96:X96"/>
    <mergeCell ref="Y96:AD96"/>
    <mergeCell ref="Y97:AD97"/>
    <mergeCell ref="A98:B98"/>
    <mergeCell ref="C98:D98"/>
    <mergeCell ref="E98:J98"/>
    <mergeCell ref="K98:S98"/>
    <mergeCell ref="T98:U98"/>
    <mergeCell ref="V98:X98"/>
    <mergeCell ref="Y98:AD98"/>
    <mergeCell ref="A97:B97"/>
    <mergeCell ref="C97:D97"/>
    <mergeCell ref="E97:J97"/>
    <mergeCell ref="K97:S97"/>
    <mergeCell ref="T97:U97"/>
    <mergeCell ref="V97:X97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8" fitToHeight="2" orientation="landscape" r:id="rId1"/>
  <rowBreaks count="1" manualBreakCount="1">
    <brk id="58" max="29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8323C-CC48-4172-8AD2-D5025E781EE8}">
  <sheetPr codeName="Sheet13">
    <pageSetUpPr fitToPage="1"/>
  </sheetPr>
  <dimension ref="A1:AF96"/>
  <sheetViews>
    <sheetView view="pageBreakPreview" zoomScale="70" zoomScaleNormal="72" zoomScaleSheetLayoutView="70" workbookViewId="0">
      <selection activeCell="E9" sqref="E9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1" bestFit="1" customWidth="1"/>
    <col min="33" max="33" width="17.625" style="50" customWidth="1"/>
    <col min="34" max="16384" width="9" style="50"/>
  </cols>
  <sheetData>
    <row r="1" spans="1:32" ht="44.25" customHeight="1">
      <c r="A1" s="461" t="s">
        <v>642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61"/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62"/>
      <c r="B3" s="462"/>
      <c r="C3" s="462"/>
      <c r="D3" s="462"/>
      <c r="E3" s="462"/>
      <c r="F3" s="462"/>
      <c r="G3" s="462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63" t="s">
        <v>0</v>
      </c>
      <c r="B4" s="465" t="s">
        <v>1</v>
      </c>
      <c r="C4" s="465" t="s">
        <v>2</v>
      </c>
      <c r="D4" s="468" t="s">
        <v>3</v>
      </c>
      <c r="E4" s="470" t="s">
        <v>4</v>
      </c>
      <c r="F4" s="468" t="s">
        <v>5</v>
      </c>
      <c r="G4" s="465" t="s">
        <v>6</v>
      </c>
      <c r="H4" s="471" t="s">
        <v>7</v>
      </c>
      <c r="I4" s="451" t="s">
        <v>8</v>
      </c>
      <c r="J4" s="452"/>
      <c r="K4" s="452"/>
      <c r="L4" s="452"/>
      <c r="M4" s="452"/>
      <c r="N4" s="452"/>
      <c r="O4" s="453"/>
      <c r="P4" s="454" t="s">
        <v>9</v>
      </c>
      <c r="Q4" s="455"/>
      <c r="R4" s="456" t="s">
        <v>10</v>
      </c>
      <c r="S4" s="457"/>
      <c r="T4" s="457"/>
      <c r="U4" s="457"/>
      <c r="V4" s="458"/>
      <c r="W4" s="457" t="s">
        <v>11</v>
      </c>
      <c r="X4" s="457"/>
      <c r="Y4" s="457"/>
      <c r="Z4" s="457"/>
      <c r="AA4" s="458"/>
      <c r="AB4" s="459" t="s">
        <v>12</v>
      </c>
      <c r="AC4" s="433" t="s">
        <v>13</v>
      </c>
      <c r="AD4" s="433" t="s">
        <v>14</v>
      </c>
      <c r="AE4" s="54"/>
    </row>
    <row r="5" spans="1:32" ht="51" customHeight="1" thickBot="1">
      <c r="A5" s="464"/>
      <c r="B5" s="466"/>
      <c r="C5" s="467"/>
      <c r="D5" s="469"/>
      <c r="E5" s="469"/>
      <c r="F5" s="469"/>
      <c r="G5" s="466"/>
      <c r="H5" s="472"/>
      <c r="I5" s="55" t="s">
        <v>15</v>
      </c>
      <c r="J5" s="56" t="s">
        <v>16</v>
      </c>
      <c r="K5" s="265" t="s">
        <v>17</v>
      </c>
      <c r="L5" s="265" t="s">
        <v>18</v>
      </c>
      <c r="M5" s="265" t="s">
        <v>19</v>
      </c>
      <c r="N5" s="265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60"/>
      <c r="AC5" s="434"/>
      <c r="AD5" s="434"/>
      <c r="AE5" s="54"/>
    </row>
    <row r="6" spans="1:32" ht="27" customHeight="1">
      <c r="A6" s="106">
        <v>1</v>
      </c>
      <c r="B6" s="11" t="s">
        <v>57</v>
      </c>
      <c r="C6" s="34" t="s">
        <v>116</v>
      </c>
      <c r="D6" s="52" t="s">
        <v>140</v>
      </c>
      <c r="E6" s="53" t="s">
        <v>392</v>
      </c>
      <c r="F6" s="30" t="s">
        <v>155</v>
      </c>
      <c r="G6" s="12">
        <v>2</v>
      </c>
      <c r="H6" s="13">
        <v>24</v>
      </c>
      <c r="I6" s="31">
        <v>5000</v>
      </c>
      <c r="J6" s="14">
        <v>5402</v>
      </c>
      <c r="K6" s="15">
        <f>L6</f>
        <v>5402</v>
      </c>
      <c r="L6" s="15">
        <f>2701*2</f>
        <v>5402</v>
      </c>
      <c r="M6" s="15">
        <f t="shared" ref="M6:M30" si="0">L6-N6</f>
        <v>5402</v>
      </c>
      <c r="N6" s="15">
        <v>0</v>
      </c>
      <c r="O6" s="58">
        <f t="shared" ref="O6:O31" si="1">IF(L6=0,"0",N6/L6)</f>
        <v>0</v>
      </c>
      <c r="P6" s="39">
        <f t="shared" ref="P6:P30" si="2">IF(L6=0,"0",(24-Q6))</f>
        <v>14</v>
      </c>
      <c r="Q6" s="40">
        <f t="shared" ref="Q6:Q30" si="3">SUM(R6:AA6)</f>
        <v>10</v>
      </c>
      <c r="R6" s="7"/>
      <c r="S6" s="6"/>
      <c r="T6" s="16"/>
      <c r="U6" s="16"/>
      <c r="V6" s="17"/>
      <c r="W6" s="5">
        <v>10</v>
      </c>
      <c r="X6" s="16"/>
      <c r="Y6" s="16"/>
      <c r="Z6" s="16"/>
      <c r="AA6" s="18"/>
      <c r="AB6" s="8">
        <f t="shared" ref="AB6:AB30" si="4">IF(J6=0,"0",(L6/J6))</f>
        <v>1</v>
      </c>
      <c r="AC6" s="9">
        <f t="shared" ref="AC6:AC30" si="5">IF(P6=0,"0",(P6/24))</f>
        <v>0.58333333333333337</v>
      </c>
      <c r="AD6" s="10">
        <f>AC6*AB6*(1-O6)</f>
        <v>0.58333333333333337</v>
      </c>
      <c r="AE6" s="36">
        <f t="shared" ref="AE6:AE30" si="6">$AD$31</f>
        <v>0.50666666666666671</v>
      </c>
      <c r="AF6" s="81">
        <f t="shared" ref="AF6:AF30" si="7">A6</f>
        <v>1</v>
      </c>
    </row>
    <row r="7" spans="1:32" ht="27" customHeight="1">
      <c r="A7" s="106">
        <v>2</v>
      </c>
      <c r="B7" s="11" t="s">
        <v>57</v>
      </c>
      <c r="C7" s="34" t="s">
        <v>461</v>
      </c>
      <c r="D7" s="52" t="s">
        <v>482</v>
      </c>
      <c r="E7" s="53" t="s">
        <v>483</v>
      </c>
      <c r="F7" s="30" t="s">
        <v>484</v>
      </c>
      <c r="G7" s="12">
        <v>3</v>
      </c>
      <c r="H7" s="13">
        <v>24</v>
      </c>
      <c r="I7" s="31">
        <v>40000</v>
      </c>
      <c r="J7" s="14">
        <v>21702</v>
      </c>
      <c r="K7" s="15">
        <f>L7+13566+19896+21264</f>
        <v>76428</v>
      </c>
      <c r="L7" s="15">
        <f>3522*3+3712*3</f>
        <v>21702</v>
      </c>
      <c r="M7" s="15">
        <f t="shared" si="0"/>
        <v>21702</v>
      </c>
      <c r="N7" s="15">
        <v>0</v>
      </c>
      <c r="O7" s="58">
        <f t="shared" si="1"/>
        <v>0</v>
      </c>
      <c r="P7" s="39">
        <f t="shared" si="2"/>
        <v>24</v>
      </c>
      <c r="Q7" s="40">
        <f t="shared" si="3"/>
        <v>0</v>
      </c>
      <c r="R7" s="7"/>
      <c r="S7" s="6"/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1</v>
      </c>
      <c r="AD7" s="10">
        <f t="shared" ref="AD7:AD30" si="8">AC7*AB7*(1-O7)</f>
        <v>1</v>
      </c>
      <c r="AE7" s="36">
        <f t="shared" si="6"/>
        <v>0.50666666666666671</v>
      </c>
      <c r="AF7" s="81">
        <f t="shared" si="7"/>
        <v>2</v>
      </c>
    </row>
    <row r="8" spans="1:32" ht="27" customHeight="1">
      <c r="A8" s="92">
        <v>3</v>
      </c>
      <c r="B8" s="11" t="s">
        <v>57</v>
      </c>
      <c r="C8" s="34" t="s">
        <v>112</v>
      </c>
      <c r="D8" s="52" t="s">
        <v>115</v>
      </c>
      <c r="E8" s="53" t="s">
        <v>503</v>
      </c>
      <c r="F8" s="30" t="s">
        <v>565</v>
      </c>
      <c r="G8" s="12">
        <v>1</v>
      </c>
      <c r="H8" s="13">
        <v>22</v>
      </c>
      <c r="I8" s="31">
        <v>300</v>
      </c>
      <c r="J8" s="5">
        <v>719</v>
      </c>
      <c r="K8" s="15">
        <f>L8+217</f>
        <v>936</v>
      </c>
      <c r="L8" s="15">
        <f>719</f>
        <v>719</v>
      </c>
      <c r="M8" s="15">
        <f t="shared" si="0"/>
        <v>719</v>
      </c>
      <c r="N8" s="15">
        <v>0</v>
      </c>
      <c r="O8" s="58">
        <f t="shared" si="1"/>
        <v>0</v>
      </c>
      <c r="P8" s="39">
        <f t="shared" si="2"/>
        <v>10</v>
      </c>
      <c r="Q8" s="40">
        <f t="shared" si="3"/>
        <v>14</v>
      </c>
      <c r="R8" s="7"/>
      <c r="S8" s="6"/>
      <c r="T8" s="16"/>
      <c r="U8" s="16"/>
      <c r="V8" s="17"/>
      <c r="W8" s="5">
        <v>14</v>
      </c>
      <c r="X8" s="16"/>
      <c r="Y8" s="16"/>
      <c r="Z8" s="16"/>
      <c r="AA8" s="18"/>
      <c r="AB8" s="8">
        <f t="shared" si="4"/>
        <v>1</v>
      </c>
      <c r="AC8" s="9">
        <f t="shared" si="5"/>
        <v>0.41666666666666669</v>
      </c>
      <c r="AD8" s="10">
        <f t="shared" si="8"/>
        <v>0.41666666666666669</v>
      </c>
      <c r="AE8" s="36">
        <f t="shared" si="6"/>
        <v>0.50666666666666671</v>
      </c>
      <c r="AF8" s="81">
        <f t="shared" si="7"/>
        <v>3</v>
      </c>
    </row>
    <row r="9" spans="1:32" ht="27" customHeight="1">
      <c r="A9" s="92">
        <v>4</v>
      </c>
      <c r="B9" s="11" t="s">
        <v>57</v>
      </c>
      <c r="C9" s="34" t="s">
        <v>116</v>
      </c>
      <c r="D9" s="52" t="s">
        <v>284</v>
      </c>
      <c r="E9" s="53" t="s">
        <v>312</v>
      </c>
      <c r="F9" s="30" t="s">
        <v>323</v>
      </c>
      <c r="G9" s="12">
        <v>1</v>
      </c>
      <c r="H9" s="13">
        <v>24</v>
      </c>
      <c r="I9" s="7">
        <v>60000</v>
      </c>
      <c r="J9" s="14">
        <v>4306</v>
      </c>
      <c r="K9" s="15">
        <f>L9+3954+360+4890+6432+4873+5904+4751</f>
        <v>35470</v>
      </c>
      <c r="L9" s="15">
        <f>1998+2308</f>
        <v>4306</v>
      </c>
      <c r="M9" s="15">
        <f t="shared" si="0"/>
        <v>4306</v>
      </c>
      <c r="N9" s="15">
        <v>0</v>
      </c>
      <c r="O9" s="58">
        <f t="shared" si="1"/>
        <v>0</v>
      </c>
      <c r="P9" s="39">
        <f t="shared" si="2"/>
        <v>21</v>
      </c>
      <c r="Q9" s="40">
        <f t="shared" si="3"/>
        <v>3</v>
      </c>
      <c r="R9" s="7"/>
      <c r="S9" s="6">
        <v>3</v>
      </c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0.875</v>
      </c>
      <c r="AD9" s="10">
        <f t="shared" si="8"/>
        <v>0.875</v>
      </c>
      <c r="AE9" s="36">
        <f t="shared" si="6"/>
        <v>0.50666666666666671</v>
      </c>
      <c r="AF9" s="81">
        <f t="shared" si="7"/>
        <v>4</v>
      </c>
    </row>
    <row r="10" spans="1:32" ht="27" customHeight="1">
      <c r="A10" s="92">
        <v>5</v>
      </c>
      <c r="B10" s="11" t="s">
        <v>57</v>
      </c>
      <c r="C10" s="11" t="s">
        <v>112</v>
      </c>
      <c r="D10" s="52" t="s">
        <v>121</v>
      </c>
      <c r="E10" s="53" t="s">
        <v>188</v>
      </c>
      <c r="F10" s="30" t="s">
        <v>124</v>
      </c>
      <c r="G10" s="33">
        <v>1</v>
      </c>
      <c r="H10" s="35">
        <v>24</v>
      </c>
      <c r="I10" s="7">
        <v>115000</v>
      </c>
      <c r="J10" s="14">
        <v>1739</v>
      </c>
      <c r="K10" s="15">
        <f>L10+5338+5669+5744+4980+3619+1932+309+2790+5660+4715</f>
        <v>42495</v>
      </c>
      <c r="L10" s="15">
        <f>1739</f>
        <v>1739</v>
      </c>
      <c r="M10" s="15">
        <f t="shared" si="0"/>
        <v>1739</v>
      </c>
      <c r="N10" s="15">
        <v>0</v>
      </c>
      <c r="O10" s="58">
        <f t="shared" si="1"/>
        <v>0</v>
      </c>
      <c r="P10" s="39">
        <f t="shared" si="2"/>
        <v>8</v>
      </c>
      <c r="Q10" s="40">
        <f t="shared" si="3"/>
        <v>16</v>
      </c>
      <c r="R10" s="7"/>
      <c r="S10" s="6">
        <v>16</v>
      </c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0.33333333333333331</v>
      </c>
      <c r="AD10" s="10">
        <f t="shared" si="8"/>
        <v>0.33333333333333331</v>
      </c>
      <c r="AE10" s="36">
        <f t="shared" si="6"/>
        <v>0.50666666666666671</v>
      </c>
      <c r="AF10" s="81">
        <f t="shared" si="7"/>
        <v>5</v>
      </c>
    </row>
    <row r="11" spans="1:32" ht="27" customHeight="1">
      <c r="A11" s="92">
        <v>6</v>
      </c>
      <c r="B11" s="11" t="s">
        <v>57</v>
      </c>
      <c r="C11" s="11" t="s">
        <v>116</v>
      </c>
      <c r="D11" s="52" t="s">
        <v>129</v>
      </c>
      <c r="E11" s="53" t="s">
        <v>624</v>
      </c>
      <c r="F11" s="30" t="s">
        <v>221</v>
      </c>
      <c r="G11" s="33">
        <v>1</v>
      </c>
      <c r="H11" s="35">
        <v>24</v>
      </c>
      <c r="I11" s="7">
        <v>800</v>
      </c>
      <c r="J11" s="14">
        <v>976</v>
      </c>
      <c r="K11" s="15">
        <f>L11</f>
        <v>976</v>
      </c>
      <c r="L11" s="15">
        <v>976</v>
      </c>
      <c r="M11" s="15">
        <f t="shared" si="0"/>
        <v>976</v>
      </c>
      <c r="N11" s="15">
        <v>0</v>
      </c>
      <c r="O11" s="58">
        <f t="shared" si="1"/>
        <v>0</v>
      </c>
      <c r="P11" s="39">
        <f t="shared" si="2"/>
        <v>5</v>
      </c>
      <c r="Q11" s="40">
        <f t="shared" si="3"/>
        <v>19</v>
      </c>
      <c r="R11" s="7"/>
      <c r="S11" s="6"/>
      <c r="T11" s="16"/>
      <c r="U11" s="16"/>
      <c r="V11" s="17"/>
      <c r="W11" s="5">
        <v>19</v>
      </c>
      <c r="X11" s="16"/>
      <c r="Y11" s="16"/>
      <c r="Z11" s="16"/>
      <c r="AA11" s="18"/>
      <c r="AB11" s="8">
        <f t="shared" si="4"/>
        <v>1</v>
      </c>
      <c r="AC11" s="9">
        <f t="shared" si="5"/>
        <v>0.20833333333333334</v>
      </c>
      <c r="AD11" s="10">
        <f t="shared" si="8"/>
        <v>0.20833333333333334</v>
      </c>
      <c r="AE11" s="36">
        <f t="shared" si="6"/>
        <v>0.50666666666666671</v>
      </c>
      <c r="AF11" s="81">
        <f t="shared" si="7"/>
        <v>6</v>
      </c>
    </row>
    <row r="12" spans="1:32" ht="27" customHeight="1">
      <c r="A12" s="92">
        <v>6</v>
      </c>
      <c r="B12" s="11" t="s">
        <v>57</v>
      </c>
      <c r="C12" s="11" t="s">
        <v>127</v>
      </c>
      <c r="D12" s="52" t="s">
        <v>572</v>
      </c>
      <c r="E12" s="53" t="s">
        <v>544</v>
      </c>
      <c r="F12" s="30" t="s">
        <v>124</v>
      </c>
      <c r="G12" s="33">
        <v>4</v>
      </c>
      <c r="H12" s="35">
        <v>24</v>
      </c>
      <c r="I12" s="7">
        <v>100000</v>
      </c>
      <c r="J12" s="14">
        <v>13952</v>
      </c>
      <c r="K12" s="15">
        <f>L12+117404</f>
        <v>131356</v>
      </c>
      <c r="L12" s="15">
        <f>3488*4</f>
        <v>13952</v>
      </c>
      <c r="M12" s="15">
        <f t="shared" si="0"/>
        <v>13952</v>
      </c>
      <c r="N12" s="15">
        <v>0</v>
      </c>
      <c r="O12" s="58">
        <f t="shared" si="1"/>
        <v>0</v>
      </c>
      <c r="P12" s="39">
        <f t="shared" si="2"/>
        <v>10</v>
      </c>
      <c r="Q12" s="40">
        <f t="shared" si="3"/>
        <v>14</v>
      </c>
      <c r="R12" s="7"/>
      <c r="S12" s="6">
        <v>14</v>
      </c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0.41666666666666669</v>
      </c>
      <c r="AD12" s="10">
        <f t="shared" si="8"/>
        <v>0.41666666666666669</v>
      </c>
      <c r="AE12" s="36">
        <f t="shared" si="6"/>
        <v>0.50666666666666671</v>
      </c>
      <c r="AF12" s="81">
        <f t="shared" si="7"/>
        <v>6</v>
      </c>
    </row>
    <row r="13" spans="1:32" ht="27" customHeight="1">
      <c r="A13" s="92">
        <v>7</v>
      </c>
      <c r="B13" s="11" t="s">
        <v>57</v>
      </c>
      <c r="C13" s="34" t="s">
        <v>112</v>
      </c>
      <c r="D13" s="52" t="s">
        <v>147</v>
      </c>
      <c r="E13" s="53" t="s">
        <v>547</v>
      </c>
      <c r="F13" s="30" t="s">
        <v>286</v>
      </c>
      <c r="G13" s="12">
        <v>1</v>
      </c>
      <c r="H13" s="13">
        <v>22</v>
      </c>
      <c r="I13" s="31">
        <v>40000</v>
      </c>
      <c r="J13" s="5">
        <v>3191</v>
      </c>
      <c r="K13" s="15">
        <f>L13+4452</f>
        <v>7643</v>
      </c>
      <c r="L13" s="15">
        <f>1658+1533</f>
        <v>3191</v>
      </c>
      <c r="M13" s="15">
        <f t="shared" si="0"/>
        <v>3191</v>
      </c>
      <c r="N13" s="15">
        <v>0</v>
      </c>
      <c r="O13" s="58">
        <f t="shared" si="1"/>
        <v>0</v>
      </c>
      <c r="P13" s="39">
        <f t="shared" si="2"/>
        <v>18</v>
      </c>
      <c r="Q13" s="40">
        <f t="shared" si="3"/>
        <v>6</v>
      </c>
      <c r="R13" s="7"/>
      <c r="S13" s="6">
        <v>6</v>
      </c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0.75</v>
      </c>
      <c r="AD13" s="10">
        <f t="shared" si="8"/>
        <v>0.75</v>
      </c>
      <c r="AE13" s="36">
        <f t="shared" si="6"/>
        <v>0.50666666666666671</v>
      </c>
      <c r="AF13" s="81">
        <f t="shared" si="7"/>
        <v>7</v>
      </c>
    </row>
    <row r="14" spans="1:32" ht="27" customHeight="1">
      <c r="A14" s="92">
        <v>8</v>
      </c>
      <c r="B14" s="11" t="s">
        <v>57</v>
      </c>
      <c r="C14" s="11" t="s">
        <v>127</v>
      </c>
      <c r="D14" s="52" t="s">
        <v>158</v>
      </c>
      <c r="E14" s="53" t="s">
        <v>180</v>
      </c>
      <c r="F14" s="30" t="s">
        <v>123</v>
      </c>
      <c r="G14" s="33">
        <v>1</v>
      </c>
      <c r="H14" s="35">
        <v>22</v>
      </c>
      <c r="I14" s="7">
        <v>17400</v>
      </c>
      <c r="J14" s="14">
        <v>3357</v>
      </c>
      <c r="K14" s="15">
        <f>L14</f>
        <v>3357</v>
      </c>
      <c r="L14" s="15">
        <f>1096+2261</f>
        <v>3357</v>
      </c>
      <c r="M14" s="15">
        <f t="shared" si="0"/>
        <v>3357</v>
      </c>
      <c r="N14" s="15">
        <v>0</v>
      </c>
      <c r="O14" s="58">
        <f t="shared" si="1"/>
        <v>0</v>
      </c>
      <c r="P14" s="39">
        <f t="shared" si="2"/>
        <v>21</v>
      </c>
      <c r="Q14" s="40">
        <f t="shared" si="3"/>
        <v>3</v>
      </c>
      <c r="R14" s="7"/>
      <c r="S14" s="6">
        <v>3</v>
      </c>
      <c r="T14" s="16"/>
      <c r="U14" s="16"/>
      <c r="V14" s="17"/>
      <c r="W14" s="5"/>
      <c r="X14" s="16"/>
      <c r="Y14" s="16"/>
      <c r="Z14" s="16"/>
      <c r="AA14" s="18"/>
      <c r="AB14" s="8">
        <f t="shared" si="4"/>
        <v>1</v>
      </c>
      <c r="AC14" s="9">
        <f t="shared" si="5"/>
        <v>0.875</v>
      </c>
      <c r="AD14" s="10">
        <f t="shared" si="8"/>
        <v>0.875</v>
      </c>
      <c r="AE14" s="36">
        <f t="shared" si="6"/>
        <v>0.50666666666666671</v>
      </c>
      <c r="AF14" s="81">
        <f t="shared" si="7"/>
        <v>8</v>
      </c>
    </row>
    <row r="15" spans="1:32" ht="27" customHeight="1">
      <c r="A15" s="99">
        <v>9</v>
      </c>
      <c r="B15" s="11" t="s">
        <v>57</v>
      </c>
      <c r="C15" s="34" t="s">
        <v>112</v>
      </c>
      <c r="D15" s="52" t="s">
        <v>115</v>
      </c>
      <c r="E15" s="53" t="s">
        <v>165</v>
      </c>
      <c r="F15" s="30" t="s">
        <v>167</v>
      </c>
      <c r="G15" s="33">
        <v>1</v>
      </c>
      <c r="H15" s="35">
        <v>50</v>
      </c>
      <c r="I15" s="7">
        <v>300</v>
      </c>
      <c r="J15" s="5">
        <v>391</v>
      </c>
      <c r="K15" s="15">
        <f>L15+300</f>
        <v>300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/>
      <c r="T15" s="16"/>
      <c r="U15" s="16"/>
      <c r="V15" s="17"/>
      <c r="W15" s="5"/>
      <c r="X15" s="16"/>
      <c r="Y15" s="16"/>
      <c r="Z15" s="16"/>
      <c r="AA15" s="18">
        <v>24</v>
      </c>
      <c r="AB15" s="8">
        <f t="shared" si="4"/>
        <v>0</v>
      </c>
      <c r="AC15" s="9">
        <f t="shared" si="5"/>
        <v>0</v>
      </c>
      <c r="AD15" s="10">
        <f t="shared" si="8"/>
        <v>0</v>
      </c>
      <c r="AE15" s="36">
        <f t="shared" si="6"/>
        <v>0.50666666666666671</v>
      </c>
      <c r="AF15" s="81">
        <f t="shared" si="7"/>
        <v>9</v>
      </c>
    </row>
    <row r="16" spans="1:32" ht="27" customHeight="1">
      <c r="A16" s="106">
        <v>10</v>
      </c>
      <c r="B16" s="11" t="s">
        <v>57</v>
      </c>
      <c r="C16" s="34" t="s">
        <v>112</v>
      </c>
      <c r="D16" s="52" t="s">
        <v>140</v>
      </c>
      <c r="E16" s="53" t="s">
        <v>149</v>
      </c>
      <c r="F16" s="30" t="s">
        <v>139</v>
      </c>
      <c r="G16" s="12">
        <v>1</v>
      </c>
      <c r="H16" s="13">
        <v>24</v>
      </c>
      <c r="I16" s="31">
        <v>190000</v>
      </c>
      <c r="J16" s="14">
        <v>5920</v>
      </c>
      <c r="K16" s="15">
        <f>L16+8898+11520+11558+11486+11566+10872+10958+11534+11518+11230+7112+9722+10964+11352+11534+11138</f>
        <v>178882</v>
      </c>
      <c r="L16" s="15">
        <f>2960*2</f>
        <v>5920</v>
      </c>
      <c r="M16" s="15">
        <f t="shared" si="0"/>
        <v>5920</v>
      </c>
      <c r="N16" s="15">
        <v>0</v>
      </c>
      <c r="O16" s="58">
        <f t="shared" si="1"/>
        <v>0</v>
      </c>
      <c r="P16" s="39">
        <f t="shared" si="2"/>
        <v>14</v>
      </c>
      <c r="Q16" s="40">
        <f t="shared" si="3"/>
        <v>10</v>
      </c>
      <c r="R16" s="7"/>
      <c r="S16" s="6">
        <v>10</v>
      </c>
      <c r="T16" s="16"/>
      <c r="U16" s="16"/>
      <c r="V16" s="17"/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0.58333333333333337</v>
      </c>
      <c r="AD16" s="10">
        <f t="shared" si="8"/>
        <v>0.58333333333333337</v>
      </c>
      <c r="AE16" s="36">
        <f t="shared" si="6"/>
        <v>0.50666666666666671</v>
      </c>
      <c r="AF16" s="81">
        <f t="shared" si="7"/>
        <v>10</v>
      </c>
    </row>
    <row r="17" spans="1:32" ht="27" customHeight="1">
      <c r="A17" s="92">
        <v>11</v>
      </c>
      <c r="B17" s="11" t="s">
        <v>57</v>
      </c>
      <c r="C17" s="34" t="s">
        <v>116</v>
      </c>
      <c r="D17" s="52" t="s">
        <v>129</v>
      </c>
      <c r="E17" s="53" t="s">
        <v>178</v>
      </c>
      <c r="F17" s="30" t="s">
        <v>124</v>
      </c>
      <c r="G17" s="12">
        <v>1</v>
      </c>
      <c r="H17" s="13">
        <v>22</v>
      </c>
      <c r="I17" s="31">
        <v>90000</v>
      </c>
      <c r="J17" s="5">
        <v>8262</v>
      </c>
      <c r="K17" s="15">
        <f>L17+8120+11780+9608+2367+4983+6240+3068</f>
        <v>54428</v>
      </c>
      <c r="L17" s="15">
        <f>1693*2+2070*2+736</f>
        <v>8262</v>
      </c>
      <c r="M17" s="15">
        <f t="shared" si="0"/>
        <v>8262</v>
      </c>
      <c r="N17" s="15">
        <v>0</v>
      </c>
      <c r="O17" s="58">
        <f t="shared" si="1"/>
        <v>0</v>
      </c>
      <c r="P17" s="39">
        <f t="shared" si="2"/>
        <v>16</v>
      </c>
      <c r="Q17" s="40">
        <f t="shared" si="3"/>
        <v>8</v>
      </c>
      <c r="R17" s="7"/>
      <c r="S17" s="6">
        <v>8</v>
      </c>
      <c r="T17" s="16"/>
      <c r="U17" s="16"/>
      <c r="V17" s="17"/>
      <c r="W17" s="5"/>
      <c r="X17" s="16"/>
      <c r="Y17" s="16"/>
      <c r="Z17" s="16"/>
      <c r="AA17" s="18"/>
      <c r="AB17" s="8">
        <f t="shared" si="4"/>
        <v>1</v>
      </c>
      <c r="AC17" s="9">
        <f t="shared" si="5"/>
        <v>0.66666666666666663</v>
      </c>
      <c r="AD17" s="10">
        <f t="shared" si="8"/>
        <v>0.66666666666666663</v>
      </c>
      <c r="AE17" s="36">
        <f t="shared" si="6"/>
        <v>0.50666666666666671</v>
      </c>
      <c r="AF17" s="81">
        <f t="shared" si="7"/>
        <v>11</v>
      </c>
    </row>
    <row r="18" spans="1:32" ht="27" customHeight="1">
      <c r="A18" s="106">
        <v>11</v>
      </c>
      <c r="B18" s="11" t="s">
        <v>57</v>
      </c>
      <c r="C18" s="34" t="s">
        <v>116</v>
      </c>
      <c r="D18" s="52">
        <v>790</v>
      </c>
      <c r="E18" s="53" t="s">
        <v>574</v>
      </c>
      <c r="F18" s="30" t="s">
        <v>124</v>
      </c>
      <c r="G18" s="12">
        <v>2</v>
      </c>
      <c r="H18" s="13">
        <v>24</v>
      </c>
      <c r="I18" s="7">
        <v>6000</v>
      </c>
      <c r="J18" s="14">
        <v>2384</v>
      </c>
      <c r="K18" s="15">
        <f>L18+5688</f>
        <v>8072</v>
      </c>
      <c r="L18" s="15">
        <f>1192*2</f>
        <v>2384</v>
      </c>
      <c r="M18" s="15">
        <f t="shared" si="0"/>
        <v>2384</v>
      </c>
      <c r="N18" s="15">
        <v>0</v>
      </c>
      <c r="O18" s="58">
        <f t="shared" si="1"/>
        <v>0</v>
      </c>
      <c r="P18" s="39">
        <f t="shared" si="2"/>
        <v>6</v>
      </c>
      <c r="Q18" s="40">
        <f t="shared" si="3"/>
        <v>18</v>
      </c>
      <c r="R18" s="7"/>
      <c r="S18" s="6">
        <v>18</v>
      </c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0.25</v>
      </c>
      <c r="AD18" s="10">
        <f t="shared" si="8"/>
        <v>0.25</v>
      </c>
      <c r="AE18" s="36">
        <f t="shared" si="6"/>
        <v>0.50666666666666671</v>
      </c>
      <c r="AF18" s="81">
        <f t="shared" si="7"/>
        <v>11</v>
      </c>
    </row>
    <row r="19" spans="1:32" ht="27" customHeight="1">
      <c r="A19" s="106">
        <v>12</v>
      </c>
      <c r="B19" s="11" t="s">
        <v>57</v>
      </c>
      <c r="C19" s="34" t="s">
        <v>127</v>
      </c>
      <c r="D19" s="52" t="s">
        <v>129</v>
      </c>
      <c r="E19" s="53" t="s">
        <v>599</v>
      </c>
      <c r="F19" s="30" t="s">
        <v>625</v>
      </c>
      <c r="G19" s="12">
        <v>3</v>
      </c>
      <c r="H19" s="13">
        <v>24</v>
      </c>
      <c r="I19" s="7">
        <v>85000</v>
      </c>
      <c r="J19" s="14">
        <v>13281</v>
      </c>
      <c r="K19" s="15">
        <f>L19</f>
        <v>13281</v>
      </c>
      <c r="L19" s="15">
        <f>1569*3+2858*3</f>
        <v>13281</v>
      </c>
      <c r="M19" s="15">
        <f t="shared" si="0"/>
        <v>13281</v>
      </c>
      <c r="N19" s="15">
        <v>0</v>
      </c>
      <c r="O19" s="58">
        <f t="shared" si="1"/>
        <v>0</v>
      </c>
      <c r="P19" s="39">
        <f t="shared" si="2"/>
        <v>20</v>
      </c>
      <c r="Q19" s="40">
        <f t="shared" si="3"/>
        <v>4</v>
      </c>
      <c r="R19" s="7"/>
      <c r="S19" s="6">
        <v>4</v>
      </c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0.83333333333333337</v>
      </c>
      <c r="AD19" s="10">
        <f t="shared" si="8"/>
        <v>0.83333333333333337</v>
      </c>
      <c r="AE19" s="36">
        <f t="shared" si="6"/>
        <v>0.50666666666666671</v>
      </c>
      <c r="AF19" s="81">
        <f t="shared" si="7"/>
        <v>12</v>
      </c>
    </row>
    <row r="20" spans="1:32" ht="27" customHeight="1">
      <c r="A20" s="92">
        <v>13</v>
      </c>
      <c r="B20" s="11" t="s">
        <v>57</v>
      </c>
      <c r="C20" s="34" t="s">
        <v>116</v>
      </c>
      <c r="D20" s="52" t="s">
        <v>115</v>
      </c>
      <c r="E20" s="53" t="s">
        <v>627</v>
      </c>
      <c r="F20" s="30" t="s">
        <v>235</v>
      </c>
      <c r="G20" s="12">
        <v>1</v>
      </c>
      <c r="H20" s="13">
        <v>22</v>
      </c>
      <c r="I20" s="31">
        <v>800</v>
      </c>
      <c r="J20" s="5">
        <v>950</v>
      </c>
      <c r="K20" s="15">
        <f>L20</f>
        <v>950</v>
      </c>
      <c r="L20" s="15">
        <f>950</f>
        <v>950</v>
      </c>
      <c r="M20" s="15">
        <f t="shared" si="0"/>
        <v>950</v>
      </c>
      <c r="N20" s="15">
        <v>0</v>
      </c>
      <c r="O20" s="58">
        <f t="shared" si="1"/>
        <v>0</v>
      </c>
      <c r="P20" s="39">
        <f t="shared" si="2"/>
        <v>6</v>
      </c>
      <c r="Q20" s="40">
        <f t="shared" si="3"/>
        <v>18</v>
      </c>
      <c r="R20" s="7"/>
      <c r="S20" s="6"/>
      <c r="T20" s="16"/>
      <c r="U20" s="16"/>
      <c r="V20" s="17"/>
      <c r="W20" s="5">
        <v>18</v>
      </c>
      <c r="X20" s="16"/>
      <c r="Y20" s="16"/>
      <c r="Z20" s="16"/>
      <c r="AA20" s="18"/>
      <c r="AB20" s="8">
        <f t="shared" si="4"/>
        <v>1</v>
      </c>
      <c r="AC20" s="9">
        <f t="shared" si="5"/>
        <v>0.25</v>
      </c>
      <c r="AD20" s="10">
        <f t="shared" si="8"/>
        <v>0.25</v>
      </c>
      <c r="AE20" s="36">
        <f t="shared" si="6"/>
        <v>0.50666666666666671</v>
      </c>
      <c r="AF20" s="81">
        <f t="shared" si="7"/>
        <v>13</v>
      </c>
    </row>
    <row r="21" spans="1:32" ht="27" customHeight="1">
      <c r="A21" s="92">
        <v>13</v>
      </c>
      <c r="B21" s="11" t="s">
        <v>57</v>
      </c>
      <c r="C21" s="34" t="s">
        <v>116</v>
      </c>
      <c r="D21" s="52" t="s">
        <v>141</v>
      </c>
      <c r="E21" s="53" t="s">
        <v>626</v>
      </c>
      <c r="F21" s="30" t="s">
        <v>128</v>
      </c>
      <c r="G21" s="12">
        <v>2</v>
      </c>
      <c r="H21" s="13">
        <v>22</v>
      </c>
      <c r="I21" s="31">
        <v>1600</v>
      </c>
      <c r="J21" s="5">
        <v>2240</v>
      </c>
      <c r="K21" s="15">
        <f>L21</f>
        <v>2240</v>
      </c>
      <c r="L21" s="15">
        <f>1120*2</f>
        <v>2240</v>
      </c>
      <c r="M21" s="15">
        <f t="shared" si="0"/>
        <v>2240</v>
      </c>
      <c r="N21" s="15">
        <v>0</v>
      </c>
      <c r="O21" s="58">
        <f t="shared" si="1"/>
        <v>0</v>
      </c>
      <c r="P21" s="39">
        <f t="shared" si="2"/>
        <v>6</v>
      </c>
      <c r="Q21" s="40">
        <f t="shared" si="3"/>
        <v>18</v>
      </c>
      <c r="R21" s="7"/>
      <c r="S21" s="6"/>
      <c r="T21" s="16"/>
      <c r="U21" s="16"/>
      <c r="V21" s="17"/>
      <c r="W21" s="5">
        <v>18</v>
      </c>
      <c r="X21" s="16"/>
      <c r="Y21" s="16"/>
      <c r="Z21" s="16"/>
      <c r="AA21" s="18"/>
      <c r="AB21" s="8">
        <f t="shared" si="4"/>
        <v>1</v>
      </c>
      <c r="AC21" s="9">
        <f t="shared" si="5"/>
        <v>0.25</v>
      </c>
      <c r="AD21" s="10">
        <f t="shared" si="8"/>
        <v>0.25</v>
      </c>
      <c r="AE21" s="36">
        <f t="shared" si="6"/>
        <v>0.50666666666666671</v>
      </c>
      <c r="AF21" s="81">
        <f t="shared" si="7"/>
        <v>13</v>
      </c>
    </row>
    <row r="22" spans="1:32" ht="27" customHeight="1">
      <c r="A22" s="92">
        <v>14</v>
      </c>
      <c r="B22" s="11" t="s">
        <v>57</v>
      </c>
      <c r="C22" s="11" t="s">
        <v>461</v>
      </c>
      <c r="D22" s="52" t="s">
        <v>577</v>
      </c>
      <c r="E22" s="53" t="s">
        <v>578</v>
      </c>
      <c r="F22" s="30" t="s">
        <v>579</v>
      </c>
      <c r="G22" s="33">
        <v>3</v>
      </c>
      <c r="H22" s="35">
        <v>24</v>
      </c>
      <c r="I22" s="7">
        <v>20000</v>
      </c>
      <c r="J22" s="14">
        <v>18085</v>
      </c>
      <c r="K22" s="15">
        <f>L22+12764</f>
        <v>30849</v>
      </c>
      <c r="L22" s="15">
        <f>3649*3+1442*3+1406*2</f>
        <v>18085</v>
      </c>
      <c r="M22" s="15">
        <f t="shared" si="0"/>
        <v>18085</v>
      </c>
      <c r="N22" s="15">
        <v>0</v>
      </c>
      <c r="O22" s="58">
        <f t="shared" si="1"/>
        <v>0</v>
      </c>
      <c r="P22" s="39">
        <f t="shared" si="2"/>
        <v>24</v>
      </c>
      <c r="Q22" s="40">
        <f t="shared" si="3"/>
        <v>0</v>
      </c>
      <c r="R22" s="7"/>
      <c r="S22" s="6"/>
      <c r="T22" s="16"/>
      <c r="U22" s="16"/>
      <c r="V22" s="17"/>
      <c r="W22" s="5"/>
      <c r="X22" s="16"/>
      <c r="Y22" s="16"/>
      <c r="Z22" s="16"/>
      <c r="AA22" s="18"/>
      <c r="AB22" s="8">
        <f t="shared" si="4"/>
        <v>1</v>
      </c>
      <c r="AC22" s="9">
        <f t="shared" si="5"/>
        <v>1</v>
      </c>
      <c r="AD22" s="10">
        <f t="shared" si="8"/>
        <v>1</v>
      </c>
      <c r="AE22" s="36">
        <f t="shared" si="6"/>
        <v>0.50666666666666671</v>
      </c>
      <c r="AF22" s="81">
        <f t="shared" si="7"/>
        <v>14</v>
      </c>
    </row>
    <row r="23" spans="1:32" ht="27" customHeight="1">
      <c r="A23" s="106">
        <v>15</v>
      </c>
      <c r="B23" s="11" t="s">
        <v>57</v>
      </c>
      <c r="C23" s="11" t="s">
        <v>112</v>
      </c>
      <c r="D23" s="52" t="s">
        <v>115</v>
      </c>
      <c r="E23" s="53" t="s">
        <v>148</v>
      </c>
      <c r="F23" s="30" t="s">
        <v>138</v>
      </c>
      <c r="G23" s="33">
        <v>2</v>
      </c>
      <c r="H23" s="35">
        <v>24</v>
      </c>
      <c r="I23" s="7">
        <v>190000</v>
      </c>
      <c r="J23" s="14">
        <v>9709</v>
      </c>
      <c r="K23" s="15">
        <f>L23+2429+7472+8688+7444+11036+10988+11010+10896+8170+1188+8544+8600+10428+2136+6276</f>
        <v>125014</v>
      </c>
      <c r="L23" s="15">
        <f>2824*2+1353*2+1043+312</f>
        <v>9709</v>
      </c>
      <c r="M23" s="15">
        <f t="shared" si="0"/>
        <v>9709</v>
      </c>
      <c r="N23" s="15">
        <v>0</v>
      </c>
      <c r="O23" s="58">
        <f t="shared" si="1"/>
        <v>0</v>
      </c>
      <c r="P23" s="39">
        <f t="shared" si="2"/>
        <v>22</v>
      </c>
      <c r="Q23" s="40">
        <f t="shared" si="3"/>
        <v>2</v>
      </c>
      <c r="R23" s="7"/>
      <c r="S23" s="6">
        <v>2</v>
      </c>
      <c r="T23" s="16"/>
      <c r="U23" s="16"/>
      <c r="V23" s="17"/>
      <c r="W23" s="5"/>
      <c r="X23" s="16"/>
      <c r="Y23" s="16"/>
      <c r="Z23" s="16"/>
      <c r="AA23" s="18"/>
      <c r="AB23" s="8">
        <f t="shared" si="4"/>
        <v>1</v>
      </c>
      <c r="AC23" s="9">
        <f t="shared" si="5"/>
        <v>0.91666666666666663</v>
      </c>
      <c r="AD23" s="10">
        <f t="shared" si="8"/>
        <v>0.91666666666666663</v>
      </c>
      <c r="AE23" s="36">
        <f t="shared" si="6"/>
        <v>0.50666666666666671</v>
      </c>
      <c r="AF23" s="81">
        <f t="shared" si="7"/>
        <v>15</v>
      </c>
    </row>
    <row r="24" spans="1:32" ht="26.25" customHeight="1">
      <c r="A24" s="92">
        <v>16</v>
      </c>
      <c r="B24" s="11" t="s">
        <v>57</v>
      </c>
      <c r="C24" s="11" t="s">
        <v>113</v>
      </c>
      <c r="D24" s="52"/>
      <c r="E24" s="53" t="s">
        <v>160</v>
      </c>
      <c r="F24" s="12" t="s">
        <v>114</v>
      </c>
      <c r="G24" s="12">
        <v>4</v>
      </c>
      <c r="H24" s="35">
        <v>20</v>
      </c>
      <c r="I24" s="7">
        <v>2000000</v>
      </c>
      <c r="J24" s="14">
        <v>62928</v>
      </c>
      <c r="K24" s="15">
        <f>L24+29876+62940+54476+54396+57856+63452+64136+60836+58660+62760</f>
        <v>632316</v>
      </c>
      <c r="L24" s="15">
        <f>8137*4+7595*4</f>
        <v>62928</v>
      </c>
      <c r="M24" s="15">
        <f t="shared" si="0"/>
        <v>62928</v>
      </c>
      <c r="N24" s="15">
        <v>0</v>
      </c>
      <c r="O24" s="58">
        <f t="shared" si="1"/>
        <v>0</v>
      </c>
      <c r="P24" s="39">
        <f t="shared" si="2"/>
        <v>24</v>
      </c>
      <c r="Q24" s="40">
        <f t="shared" si="3"/>
        <v>0</v>
      </c>
      <c r="R24" s="7"/>
      <c r="S24" s="6"/>
      <c r="T24" s="16"/>
      <c r="U24" s="16"/>
      <c r="V24" s="17"/>
      <c r="W24" s="5"/>
      <c r="X24" s="16"/>
      <c r="Y24" s="16"/>
      <c r="Z24" s="16"/>
      <c r="AA24" s="18"/>
      <c r="AB24" s="8">
        <f t="shared" si="4"/>
        <v>1</v>
      </c>
      <c r="AC24" s="9">
        <f t="shared" si="5"/>
        <v>1</v>
      </c>
      <c r="AD24" s="10">
        <f t="shared" si="8"/>
        <v>1</v>
      </c>
      <c r="AE24" s="36">
        <f t="shared" si="6"/>
        <v>0.50666666666666671</v>
      </c>
      <c r="AF24" s="81">
        <f t="shared" si="7"/>
        <v>16</v>
      </c>
    </row>
    <row r="25" spans="1:32" ht="21.75" customHeight="1">
      <c r="A25" s="92">
        <v>31</v>
      </c>
      <c r="B25" s="11" t="s">
        <v>57</v>
      </c>
      <c r="C25" s="11" t="s">
        <v>191</v>
      </c>
      <c r="D25" s="52"/>
      <c r="E25" s="53" t="s">
        <v>522</v>
      </c>
      <c r="F25" s="12" t="s">
        <v>193</v>
      </c>
      <c r="G25" s="12">
        <v>28</v>
      </c>
      <c r="H25" s="35">
        <v>20</v>
      </c>
      <c r="I25" s="7">
        <v>1000000</v>
      </c>
      <c r="J25" s="14">
        <v>245056</v>
      </c>
      <c r="K25" s="15">
        <f>L25+402220+461412</f>
        <v>1108688</v>
      </c>
      <c r="L25" s="15">
        <f>8752*28</f>
        <v>245056</v>
      </c>
      <c r="M25" s="15">
        <f t="shared" si="0"/>
        <v>245056</v>
      </c>
      <c r="N25" s="15">
        <v>0</v>
      </c>
      <c r="O25" s="58">
        <f t="shared" si="1"/>
        <v>0</v>
      </c>
      <c r="P25" s="39">
        <f t="shared" si="2"/>
        <v>11</v>
      </c>
      <c r="Q25" s="40">
        <f t="shared" si="3"/>
        <v>13</v>
      </c>
      <c r="R25" s="7"/>
      <c r="S25" s="6"/>
      <c r="T25" s="16"/>
      <c r="U25" s="16"/>
      <c r="V25" s="17"/>
      <c r="W25" s="5">
        <v>13</v>
      </c>
      <c r="X25" s="16"/>
      <c r="Y25" s="16"/>
      <c r="Z25" s="16"/>
      <c r="AA25" s="18"/>
      <c r="AB25" s="8">
        <f t="shared" si="4"/>
        <v>1</v>
      </c>
      <c r="AC25" s="9">
        <f t="shared" si="5"/>
        <v>0.45833333333333331</v>
      </c>
      <c r="AD25" s="10">
        <f t="shared" si="8"/>
        <v>0.45833333333333331</v>
      </c>
      <c r="AE25" s="36">
        <f t="shared" si="6"/>
        <v>0.50666666666666671</v>
      </c>
      <c r="AF25" s="81">
        <f t="shared" si="7"/>
        <v>31</v>
      </c>
    </row>
    <row r="26" spans="1:32" ht="21.75" customHeight="1">
      <c r="A26" s="92">
        <v>32</v>
      </c>
      <c r="B26" s="11" t="s">
        <v>57</v>
      </c>
      <c r="C26" s="11"/>
      <c r="D26" s="52"/>
      <c r="E26" s="53"/>
      <c r="F26" s="12"/>
      <c r="G26" s="12"/>
      <c r="H26" s="35">
        <v>20</v>
      </c>
      <c r="I26" s="7"/>
      <c r="J26" s="14">
        <v>0</v>
      </c>
      <c r="K26" s="15">
        <f t="shared" ref="K26" si="9">L26</f>
        <v>0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24</v>
      </c>
      <c r="R26" s="7"/>
      <c r="S26" s="6"/>
      <c r="T26" s="16"/>
      <c r="U26" s="16"/>
      <c r="V26" s="17"/>
      <c r="W26" s="5">
        <v>24</v>
      </c>
      <c r="X26" s="16"/>
      <c r="Y26" s="16"/>
      <c r="Z26" s="16"/>
      <c r="AA26" s="18"/>
      <c r="AB26" s="8" t="str">
        <f t="shared" si="4"/>
        <v>0</v>
      </c>
      <c r="AC26" s="9">
        <f t="shared" si="5"/>
        <v>0</v>
      </c>
      <c r="AD26" s="10">
        <f t="shared" si="8"/>
        <v>0</v>
      </c>
      <c r="AE26" s="36">
        <f t="shared" si="6"/>
        <v>0.50666666666666671</v>
      </c>
      <c r="AF26" s="81">
        <f t="shared" si="7"/>
        <v>32</v>
      </c>
    </row>
    <row r="27" spans="1:32" ht="21.75" customHeight="1">
      <c r="A27" s="92">
        <v>33</v>
      </c>
      <c r="B27" s="11" t="s">
        <v>57</v>
      </c>
      <c r="C27" s="11" t="s">
        <v>116</v>
      </c>
      <c r="D27" s="52" t="s">
        <v>147</v>
      </c>
      <c r="E27" s="53" t="s">
        <v>183</v>
      </c>
      <c r="F27" s="12" t="s">
        <v>124</v>
      </c>
      <c r="G27" s="12">
        <v>4</v>
      </c>
      <c r="H27" s="35">
        <v>20</v>
      </c>
      <c r="I27" s="7">
        <v>36000</v>
      </c>
      <c r="J27" s="14">
        <v>31996</v>
      </c>
      <c r="K27" s="15">
        <f>L27+20368+29324+31996</f>
        <v>81688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24</v>
      </c>
      <c r="R27" s="7"/>
      <c r="S27" s="6"/>
      <c r="T27" s="16"/>
      <c r="U27" s="16"/>
      <c r="V27" s="114"/>
      <c r="W27" s="5">
        <v>24</v>
      </c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8"/>
        <v>0</v>
      </c>
      <c r="AE27" s="36">
        <f t="shared" si="6"/>
        <v>0.50666666666666671</v>
      </c>
      <c r="AF27" s="81">
        <f t="shared" si="7"/>
        <v>33</v>
      </c>
    </row>
    <row r="28" spans="1:32" ht="21.75" customHeight="1">
      <c r="A28" s="92">
        <v>34</v>
      </c>
      <c r="B28" s="11" t="s">
        <v>57</v>
      </c>
      <c r="C28" s="11" t="s">
        <v>116</v>
      </c>
      <c r="D28" s="52" t="s">
        <v>129</v>
      </c>
      <c r="E28" s="53" t="s">
        <v>172</v>
      </c>
      <c r="F28" s="12" t="s">
        <v>125</v>
      </c>
      <c r="G28" s="12">
        <v>4</v>
      </c>
      <c r="H28" s="35">
        <v>20</v>
      </c>
      <c r="I28" s="7">
        <v>36000</v>
      </c>
      <c r="J28" s="14">
        <v>28802</v>
      </c>
      <c r="K28" s="15">
        <f>L28+13760+25860+25496+28600+28802</f>
        <v>122518</v>
      </c>
      <c r="L28" s="15"/>
      <c r="M28" s="15">
        <f t="shared" si="0"/>
        <v>0</v>
      </c>
      <c r="N28" s="15">
        <v>0</v>
      </c>
      <c r="O28" s="58" t="str">
        <f t="shared" si="1"/>
        <v>0</v>
      </c>
      <c r="P28" s="39" t="str">
        <f t="shared" si="2"/>
        <v>0</v>
      </c>
      <c r="Q28" s="40">
        <f t="shared" si="3"/>
        <v>24</v>
      </c>
      <c r="R28" s="7"/>
      <c r="S28" s="6"/>
      <c r="T28" s="16"/>
      <c r="U28" s="16"/>
      <c r="V28" s="114"/>
      <c r="W28" s="5">
        <v>24</v>
      </c>
      <c r="X28" s="16"/>
      <c r="Y28" s="16"/>
      <c r="Z28" s="16"/>
      <c r="AA28" s="18"/>
      <c r="AB28" s="8">
        <f t="shared" si="4"/>
        <v>0</v>
      </c>
      <c r="AC28" s="9">
        <f t="shared" si="5"/>
        <v>0</v>
      </c>
      <c r="AD28" s="10">
        <f t="shared" si="8"/>
        <v>0</v>
      </c>
      <c r="AE28" s="36">
        <f t="shared" si="6"/>
        <v>0.50666666666666671</v>
      </c>
      <c r="AF28" s="81">
        <f t="shared" si="7"/>
        <v>34</v>
      </c>
    </row>
    <row r="29" spans="1:32" ht="21.75" customHeight="1">
      <c r="A29" s="92">
        <v>35</v>
      </c>
      <c r="B29" s="11" t="s">
        <v>57</v>
      </c>
      <c r="C29" s="11" t="s">
        <v>116</v>
      </c>
      <c r="D29" s="52" t="s">
        <v>121</v>
      </c>
      <c r="E29" s="53" t="s">
        <v>126</v>
      </c>
      <c r="F29" s="12" t="s">
        <v>125</v>
      </c>
      <c r="G29" s="12">
        <v>4</v>
      </c>
      <c r="H29" s="35">
        <v>20</v>
      </c>
      <c r="I29" s="7">
        <v>36000</v>
      </c>
      <c r="J29" s="14">
        <v>26944</v>
      </c>
      <c r="K29" s="15">
        <f>L29+24592+26944+21716</f>
        <v>73252</v>
      </c>
      <c r="L29" s="15"/>
      <c r="M29" s="15">
        <f t="shared" si="0"/>
        <v>0</v>
      </c>
      <c r="N29" s="15">
        <v>0</v>
      </c>
      <c r="O29" s="58" t="str">
        <f t="shared" si="1"/>
        <v>0</v>
      </c>
      <c r="P29" s="39" t="str">
        <f t="shared" si="2"/>
        <v>0</v>
      </c>
      <c r="Q29" s="40">
        <f t="shared" si="3"/>
        <v>24</v>
      </c>
      <c r="R29" s="7"/>
      <c r="S29" s="6"/>
      <c r="T29" s="16"/>
      <c r="U29" s="16"/>
      <c r="V29" s="114"/>
      <c r="W29" s="5">
        <v>24</v>
      </c>
      <c r="X29" s="16"/>
      <c r="Y29" s="16"/>
      <c r="Z29" s="16"/>
      <c r="AA29" s="18"/>
      <c r="AB29" s="8">
        <f t="shared" si="4"/>
        <v>0</v>
      </c>
      <c r="AC29" s="9">
        <f t="shared" si="5"/>
        <v>0</v>
      </c>
      <c r="AD29" s="10">
        <f t="shared" si="8"/>
        <v>0</v>
      </c>
      <c r="AE29" s="36">
        <f t="shared" si="6"/>
        <v>0.50666666666666671</v>
      </c>
      <c r="AF29" s="81">
        <f t="shared" si="7"/>
        <v>35</v>
      </c>
    </row>
    <row r="30" spans="1:32" ht="21.75" customHeight="1" thickBot="1">
      <c r="A30" s="92">
        <v>36</v>
      </c>
      <c r="B30" s="11" t="s">
        <v>57</v>
      </c>
      <c r="C30" s="11" t="s">
        <v>113</v>
      </c>
      <c r="D30" s="52"/>
      <c r="E30" s="53" t="s">
        <v>182</v>
      </c>
      <c r="F30" s="12" t="s">
        <v>114</v>
      </c>
      <c r="G30" s="12">
        <v>4</v>
      </c>
      <c r="H30" s="35">
        <v>20</v>
      </c>
      <c r="I30" s="7">
        <v>1000000</v>
      </c>
      <c r="J30" s="14">
        <v>83428</v>
      </c>
      <c r="K30" s="15">
        <f>L30+28388+70816+76368+81764</f>
        <v>340764</v>
      </c>
      <c r="L30" s="15">
        <f>11614*4+9243*4</f>
        <v>83428</v>
      </c>
      <c r="M30" s="15">
        <f t="shared" si="0"/>
        <v>83428</v>
      </c>
      <c r="N30" s="15">
        <v>0</v>
      </c>
      <c r="O30" s="58">
        <f t="shared" si="1"/>
        <v>0</v>
      </c>
      <c r="P30" s="39">
        <f t="shared" si="2"/>
        <v>24</v>
      </c>
      <c r="Q30" s="40">
        <f t="shared" si="3"/>
        <v>0</v>
      </c>
      <c r="R30" s="7"/>
      <c r="S30" s="6"/>
      <c r="T30" s="16"/>
      <c r="U30" s="16"/>
      <c r="V30" s="114"/>
      <c r="W30" s="5"/>
      <c r="X30" s="16"/>
      <c r="Y30" s="16"/>
      <c r="Z30" s="16"/>
      <c r="AA30" s="18"/>
      <c r="AB30" s="8">
        <f t="shared" si="4"/>
        <v>1</v>
      </c>
      <c r="AC30" s="9">
        <f t="shared" si="5"/>
        <v>1</v>
      </c>
      <c r="AD30" s="10">
        <f t="shared" si="8"/>
        <v>1</v>
      </c>
      <c r="AE30" s="36">
        <f t="shared" si="6"/>
        <v>0.50666666666666671</v>
      </c>
      <c r="AF30" s="81">
        <f t="shared" si="7"/>
        <v>36</v>
      </c>
    </row>
    <row r="31" spans="1:32" ht="19.5" thickBot="1">
      <c r="A31" s="435" t="s">
        <v>34</v>
      </c>
      <c r="B31" s="436"/>
      <c r="C31" s="436"/>
      <c r="D31" s="436"/>
      <c r="E31" s="436"/>
      <c r="F31" s="436"/>
      <c r="G31" s="436"/>
      <c r="H31" s="437"/>
      <c r="I31" s="22">
        <f t="shared" ref="I31:N31" si="10">SUM(I6:I30)</f>
        <v>5070200</v>
      </c>
      <c r="J31" s="19">
        <f t="shared" si="10"/>
        <v>595720</v>
      </c>
      <c r="K31" s="20">
        <f t="shared" si="10"/>
        <v>3077305</v>
      </c>
      <c r="L31" s="21">
        <f t="shared" si="10"/>
        <v>507587</v>
      </c>
      <c r="M31" s="20">
        <f t="shared" si="10"/>
        <v>507587</v>
      </c>
      <c r="N31" s="21">
        <f t="shared" si="10"/>
        <v>0</v>
      </c>
      <c r="O31" s="41">
        <f t="shared" si="1"/>
        <v>0</v>
      </c>
      <c r="P31" s="42">
        <f t="shared" ref="P31:AA31" si="11">SUM(P6:P30)</f>
        <v>304</v>
      </c>
      <c r="Q31" s="43">
        <f t="shared" si="11"/>
        <v>296</v>
      </c>
      <c r="R31" s="23">
        <f t="shared" si="11"/>
        <v>0</v>
      </c>
      <c r="S31" s="24">
        <f t="shared" si="11"/>
        <v>84</v>
      </c>
      <c r="T31" s="24">
        <f t="shared" si="11"/>
        <v>0</v>
      </c>
      <c r="U31" s="24">
        <f t="shared" si="11"/>
        <v>0</v>
      </c>
      <c r="V31" s="25">
        <f t="shared" si="11"/>
        <v>0</v>
      </c>
      <c r="W31" s="26">
        <f t="shared" si="11"/>
        <v>188</v>
      </c>
      <c r="X31" s="27">
        <f t="shared" si="11"/>
        <v>0</v>
      </c>
      <c r="Y31" s="27">
        <f t="shared" si="11"/>
        <v>0</v>
      </c>
      <c r="Z31" s="27">
        <f t="shared" si="11"/>
        <v>0</v>
      </c>
      <c r="AA31" s="27">
        <f t="shared" si="11"/>
        <v>24</v>
      </c>
      <c r="AB31" s="28">
        <f>AVERAGE(AB6:AB30)</f>
        <v>0.83333333333333337</v>
      </c>
      <c r="AC31" s="4">
        <f>AVERAGE(AC6:AC30)</f>
        <v>0.50666666666666671</v>
      </c>
      <c r="AD31" s="4">
        <f>AVERAGE(AD6:AD30)</f>
        <v>0.50666666666666671</v>
      </c>
      <c r="AE31" s="29"/>
    </row>
    <row r="32" spans="1:32">
      <c r="T32" s="50" t="s">
        <v>130</v>
      </c>
    </row>
    <row r="33" spans="1:32" ht="18.75">
      <c r="A33" s="2"/>
      <c r="B33" s="2" t="s">
        <v>35</v>
      </c>
      <c r="C33" s="2"/>
      <c r="D33" s="2"/>
      <c r="E33" s="2"/>
      <c r="F33" s="2"/>
      <c r="G33" s="2"/>
      <c r="H33" s="3"/>
      <c r="I33" s="3"/>
      <c r="J33" s="2"/>
      <c r="K33" s="2"/>
      <c r="L33" s="2"/>
      <c r="M33" s="2"/>
      <c r="N33" s="2" t="s">
        <v>36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1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 t="s">
        <v>131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</row>
    <row r="41" spans="1:32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</row>
    <row r="42" spans="1:3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82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14.2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F45" s="50"/>
    </row>
    <row r="46" spans="1:32" ht="14.2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27">
      <c r="A48" s="59"/>
      <c r="B48" s="59"/>
      <c r="C48" s="59"/>
      <c r="D48" s="59"/>
      <c r="E48" s="59"/>
      <c r="F48" s="37"/>
      <c r="G48" s="37"/>
      <c r="H48" s="38"/>
      <c r="I48" s="38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F48" s="50"/>
    </row>
    <row r="49" spans="1:32" ht="29.25" customHeight="1">
      <c r="A49" s="60"/>
      <c r="B49" s="60"/>
      <c r="C49" s="61"/>
      <c r="D49" s="61"/>
      <c r="E49" s="61"/>
      <c r="F49" s="60"/>
      <c r="G49" s="60"/>
      <c r="H49" s="60"/>
      <c r="I49" s="60"/>
      <c r="J49" s="60"/>
      <c r="K49" s="60"/>
      <c r="L49" s="60"/>
      <c r="M49" s="61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29.25" customHeight="1">
      <c r="A54" s="60"/>
      <c r="B54" s="60"/>
      <c r="C54" s="62"/>
      <c r="D54" s="61"/>
      <c r="E54" s="61"/>
      <c r="F54" s="60"/>
      <c r="G54" s="60"/>
      <c r="H54" s="60"/>
      <c r="I54" s="60"/>
      <c r="J54" s="60"/>
      <c r="K54" s="60"/>
      <c r="L54" s="60"/>
      <c r="M54" s="62"/>
      <c r="N54" s="60"/>
      <c r="O54" s="60"/>
      <c r="P54" s="63"/>
      <c r="Q54" s="63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0"/>
      <c r="AC54" s="60"/>
      <c r="AD54" s="60"/>
      <c r="AF54" s="50"/>
    </row>
    <row r="55" spans="1:32" ht="29.25" customHeight="1">
      <c r="A55" s="60"/>
      <c r="B55" s="60"/>
      <c r="C55" s="62"/>
      <c r="D55" s="61"/>
      <c r="E55" s="61"/>
      <c r="F55" s="60"/>
      <c r="G55" s="60"/>
      <c r="H55" s="60"/>
      <c r="I55" s="60"/>
      <c r="J55" s="60"/>
      <c r="K55" s="60"/>
      <c r="L55" s="60"/>
      <c r="M55" s="62"/>
      <c r="N55" s="60"/>
      <c r="O55" s="60"/>
      <c r="P55" s="63"/>
      <c r="Q55" s="63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0"/>
      <c r="AC55" s="60"/>
      <c r="AD55" s="60"/>
      <c r="AF55" s="50"/>
    </row>
    <row r="56" spans="1:32" ht="29.25" customHeight="1">
      <c r="A56" s="60"/>
      <c r="B56" s="60"/>
      <c r="C56" s="62"/>
      <c r="D56" s="61"/>
      <c r="E56" s="61"/>
      <c r="F56" s="60"/>
      <c r="G56" s="60"/>
      <c r="H56" s="60"/>
      <c r="I56" s="60"/>
      <c r="J56" s="60"/>
      <c r="K56" s="60"/>
      <c r="L56" s="60"/>
      <c r="M56" s="62"/>
      <c r="N56" s="60"/>
      <c r="O56" s="60"/>
      <c r="P56" s="63"/>
      <c r="Q56" s="63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0"/>
      <c r="AC56" s="60"/>
      <c r="AD56" s="60"/>
      <c r="AF56" s="50"/>
    </row>
    <row r="57" spans="1:32" ht="14.25" customHeigh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F57" s="50"/>
    </row>
    <row r="58" spans="1:32" ht="36" thickBot="1">
      <c r="A58" s="438" t="s">
        <v>45</v>
      </c>
      <c r="B58" s="438"/>
      <c r="C58" s="438"/>
      <c r="D58" s="438"/>
      <c r="E58" s="438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F58" s="50"/>
    </row>
    <row r="59" spans="1:32" ht="26.25" thickBot="1">
      <c r="A59" s="439" t="s">
        <v>628</v>
      </c>
      <c r="B59" s="440"/>
      <c r="C59" s="440"/>
      <c r="D59" s="440"/>
      <c r="E59" s="440"/>
      <c r="F59" s="440"/>
      <c r="G59" s="440"/>
      <c r="H59" s="440"/>
      <c r="I59" s="440"/>
      <c r="J59" s="440"/>
      <c r="K59" s="440"/>
      <c r="L59" s="440"/>
      <c r="M59" s="441"/>
      <c r="N59" s="442" t="s">
        <v>633</v>
      </c>
      <c r="O59" s="443"/>
      <c r="P59" s="443"/>
      <c r="Q59" s="443"/>
      <c r="R59" s="443"/>
      <c r="S59" s="443"/>
      <c r="T59" s="443"/>
      <c r="U59" s="443"/>
      <c r="V59" s="443"/>
      <c r="W59" s="443"/>
      <c r="X59" s="443"/>
      <c r="Y59" s="443"/>
      <c r="Z59" s="443"/>
      <c r="AA59" s="443"/>
      <c r="AB59" s="443"/>
      <c r="AC59" s="443"/>
      <c r="AD59" s="444"/>
    </row>
    <row r="60" spans="1:32" ht="27" customHeight="1">
      <c r="A60" s="445" t="s">
        <v>2</v>
      </c>
      <c r="B60" s="446"/>
      <c r="C60" s="264" t="s">
        <v>46</v>
      </c>
      <c r="D60" s="264" t="s">
        <v>47</v>
      </c>
      <c r="E60" s="264" t="s">
        <v>107</v>
      </c>
      <c r="F60" s="447" t="s">
        <v>106</v>
      </c>
      <c r="G60" s="448"/>
      <c r="H60" s="448"/>
      <c r="I60" s="448"/>
      <c r="J60" s="448"/>
      <c r="K60" s="448"/>
      <c r="L60" s="448"/>
      <c r="M60" s="449"/>
      <c r="N60" s="67" t="s">
        <v>110</v>
      </c>
      <c r="O60" s="264" t="s">
        <v>46</v>
      </c>
      <c r="P60" s="447" t="s">
        <v>47</v>
      </c>
      <c r="Q60" s="450"/>
      <c r="R60" s="447" t="s">
        <v>38</v>
      </c>
      <c r="S60" s="448"/>
      <c r="T60" s="448"/>
      <c r="U60" s="450"/>
      <c r="V60" s="447" t="s">
        <v>48</v>
      </c>
      <c r="W60" s="448"/>
      <c r="X60" s="448"/>
      <c r="Y60" s="448"/>
      <c r="Z60" s="448"/>
      <c r="AA60" s="448"/>
      <c r="AB60" s="448"/>
      <c r="AC60" s="448"/>
      <c r="AD60" s="449"/>
    </row>
    <row r="61" spans="1:32" ht="27" customHeight="1">
      <c r="A61" s="429" t="s">
        <v>112</v>
      </c>
      <c r="B61" s="420"/>
      <c r="C61" s="260" t="s">
        <v>240</v>
      </c>
      <c r="D61" s="260" t="s">
        <v>115</v>
      </c>
      <c r="E61" s="260" t="s">
        <v>503</v>
      </c>
      <c r="F61" s="473" t="s">
        <v>157</v>
      </c>
      <c r="G61" s="474"/>
      <c r="H61" s="474"/>
      <c r="I61" s="474"/>
      <c r="J61" s="474"/>
      <c r="K61" s="474"/>
      <c r="L61" s="474"/>
      <c r="M61" s="475"/>
      <c r="N61" s="263" t="s">
        <v>461</v>
      </c>
      <c r="O61" s="257" t="s">
        <v>240</v>
      </c>
      <c r="P61" s="430" t="s">
        <v>635</v>
      </c>
      <c r="Q61" s="431"/>
      <c r="R61" s="430" t="s">
        <v>634</v>
      </c>
      <c r="S61" s="432"/>
      <c r="T61" s="432"/>
      <c r="U61" s="431"/>
      <c r="V61" s="417" t="s">
        <v>122</v>
      </c>
      <c r="W61" s="418"/>
      <c r="X61" s="418"/>
      <c r="Y61" s="418"/>
      <c r="Z61" s="418"/>
      <c r="AA61" s="418"/>
      <c r="AB61" s="418"/>
      <c r="AC61" s="418"/>
      <c r="AD61" s="419"/>
    </row>
    <row r="62" spans="1:32" ht="27" customHeight="1">
      <c r="A62" s="429" t="s">
        <v>112</v>
      </c>
      <c r="B62" s="420"/>
      <c r="C62" s="260" t="s">
        <v>150</v>
      </c>
      <c r="D62" s="260" t="s">
        <v>121</v>
      </c>
      <c r="E62" s="260" t="s">
        <v>188</v>
      </c>
      <c r="F62" s="473" t="s">
        <v>629</v>
      </c>
      <c r="G62" s="474"/>
      <c r="H62" s="474"/>
      <c r="I62" s="474"/>
      <c r="J62" s="474"/>
      <c r="K62" s="474"/>
      <c r="L62" s="474"/>
      <c r="M62" s="475"/>
      <c r="N62" s="263" t="s">
        <v>127</v>
      </c>
      <c r="O62" s="257" t="s">
        <v>151</v>
      </c>
      <c r="P62" s="430" t="s">
        <v>572</v>
      </c>
      <c r="Q62" s="431"/>
      <c r="R62" s="430" t="s">
        <v>544</v>
      </c>
      <c r="S62" s="432"/>
      <c r="T62" s="432"/>
      <c r="U62" s="431"/>
      <c r="V62" s="417" t="s">
        <v>153</v>
      </c>
      <c r="W62" s="418"/>
      <c r="X62" s="418"/>
      <c r="Y62" s="418"/>
      <c r="Z62" s="418"/>
      <c r="AA62" s="418"/>
      <c r="AB62" s="418"/>
      <c r="AC62" s="418"/>
      <c r="AD62" s="419"/>
    </row>
    <row r="63" spans="1:32" ht="27" customHeight="1">
      <c r="A63" s="415" t="s">
        <v>127</v>
      </c>
      <c r="B63" s="416"/>
      <c r="C63" s="259" t="s">
        <v>151</v>
      </c>
      <c r="D63" s="259" t="s">
        <v>572</v>
      </c>
      <c r="E63" s="259" t="s">
        <v>544</v>
      </c>
      <c r="F63" s="473" t="s">
        <v>630</v>
      </c>
      <c r="G63" s="474"/>
      <c r="H63" s="474"/>
      <c r="I63" s="474"/>
      <c r="J63" s="474"/>
      <c r="K63" s="474"/>
      <c r="L63" s="474"/>
      <c r="M63" s="475"/>
      <c r="N63" s="263" t="s">
        <v>127</v>
      </c>
      <c r="O63" s="257" t="s">
        <v>388</v>
      </c>
      <c r="P63" s="430" t="s">
        <v>636</v>
      </c>
      <c r="Q63" s="431"/>
      <c r="R63" s="430" t="s">
        <v>270</v>
      </c>
      <c r="S63" s="432"/>
      <c r="T63" s="432"/>
      <c r="U63" s="431"/>
      <c r="V63" s="417" t="s">
        <v>122</v>
      </c>
      <c r="W63" s="418"/>
      <c r="X63" s="418"/>
      <c r="Y63" s="418"/>
      <c r="Z63" s="418"/>
      <c r="AA63" s="418"/>
      <c r="AB63" s="418"/>
      <c r="AC63" s="418"/>
      <c r="AD63" s="419"/>
    </row>
    <row r="64" spans="1:32" ht="27" customHeight="1">
      <c r="A64" s="429" t="s">
        <v>112</v>
      </c>
      <c r="B64" s="420"/>
      <c r="C64" s="260" t="s">
        <v>316</v>
      </c>
      <c r="D64" s="260" t="s">
        <v>115</v>
      </c>
      <c r="E64" s="260" t="s">
        <v>541</v>
      </c>
      <c r="F64" s="417" t="s">
        <v>631</v>
      </c>
      <c r="G64" s="418"/>
      <c r="H64" s="418"/>
      <c r="I64" s="418"/>
      <c r="J64" s="418"/>
      <c r="K64" s="418"/>
      <c r="L64" s="418"/>
      <c r="M64" s="419"/>
      <c r="N64" s="263" t="s">
        <v>112</v>
      </c>
      <c r="O64" s="257" t="s">
        <v>316</v>
      </c>
      <c r="P64" s="430" t="s">
        <v>115</v>
      </c>
      <c r="Q64" s="431"/>
      <c r="R64" s="430" t="s">
        <v>148</v>
      </c>
      <c r="S64" s="432"/>
      <c r="T64" s="432"/>
      <c r="U64" s="431"/>
      <c r="V64" s="417" t="s">
        <v>153</v>
      </c>
      <c r="W64" s="418"/>
      <c r="X64" s="418"/>
      <c r="Y64" s="418"/>
      <c r="Z64" s="418"/>
      <c r="AA64" s="418"/>
      <c r="AB64" s="418"/>
      <c r="AC64" s="418"/>
      <c r="AD64" s="419"/>
    </row>
    <row r="65" spans="1:32" ht="27" customHeight="1">
      <c r="A65" s="429" t="s">
        <v>116</v>
      </c>
      <c r="B65" s="420"/>
      <c r="C65" s="260" t="s">
        <v>187</v>
      </c>
      <c r="D65" s="260" t="s">
        <v>129</v>
      </c>
      <c r="E65" s="260" t="s">
        <v>178</v>
      </c>
      <c r="F65" s="417" t="s">
        <v>632</v>
      </c>
      <c r="G65" s="418"/>
      <c r="H65" s="418"/>
      <c r="I65" s="418"/>
      <c r="J65" s="418"/>
      <c r="K65" s="418"/>
      <c r="L65" s="418"/>
      <c r="M65" s="419"/>
      <c r="N65" s="263"/>
      <c r="O65" s="257"/>
      <c r="P65" s="430"/>
      <c r="Q65" s="431"/>
      <c r="R65" s="430"/>
      <c r="S65" s="432"/>
      <c r="T65" s="432"/>
      <c r="U65" s="431"/>
      <c r="V65" s="417"/>
      <c r="W65" s="418"/>
      <c r="X65" s="418"/>
      <c r="Y65" s="418"/>
      <c r="Z65" s="418"/>
      <c r="AA65" s="418"/>
      <c r="AB65" s="418"/>
      <c r="AC65" s="418"/>
      <c r="AD65" s="419"/>
    </row>
    <row r="66" spans="1:32" ht="27" customHeight="1">
      <c r="A66" s="429" t="s">
        <v>116</v>
      </c>
      <c r="B66" s="420"/>
      <c r="C66" s="260" t="s">
        <v>388</v>
      </c>
      <c r="D66" s="260" t="s">
        <v>115</v>
      </c>
      <c r="E66" s="260" t="s">
        <v>627</v>
      </c>
      <c r="F66" s="417" t="s">
        <v>340</v>
      </c>
      <c r="G66" s="418"/>
      <c r="H66" s="418"/>
      <c r="I66" s="418"/>
      <c r="J66" s="418"/>
      <c r="K66" s="418"/>
      <c r="L66" s="418"/>
      <c r="M66" s="419"/>
      <c r="N66" s="263"/>
      <c r="O66" s="257"/>
      <c r="P66" s="430"/>
      <c r="Q66" s="431"/>
      <c r="R66" s="430"/>
      <c r="S66" s="432"/>
      <c r="T66" s="432"/>
      <c r="U66" s="431"/>
      <c r="V66" s="417"/>
      <c r="W66" s="418"/>
      <c r="X66" s="418"/>
      <c r="Y66" s="418"/>
      <c r="Z66" s="418"/>
      <c r="AA66" s="418"/>
      <c r="AB66" s="418"/>
      <c r="AC66" s="418"/>
      <c r="AD66" s="419"/>
    </row>
    <row r="67" spans="1:32" ht="27" customHeight="1">
      <c r="A67" s="415" t="s">
        <v>116</v>
      </c>
      <c r="B67" s="416"/>
      <c r="C67" s="259" t="s">
        <v>388</v>
      </c>
      <c r="D67" s="259" t="s">
        <v>141</v>
      </c>
      <c r="E67" s="260" t="s">
        <v>626</v>
      </c>
      <c r="F67" s="417" t="s">
        <v>340</v>
      </c>
      <c r="G67" s="418"/>
      <c r="H67" s="418"/>
      <c r="I67" s="418"/>
      <c r="J67" s="418"/>
      <c r="K67" s="418"/>
      <c r="L67" s="418"/>
      <c r="M67" s="419"/>
      <c r="N67" s="263"/>
      <c r="O67" s="257"/>
      <c r="P67" s="430"/>
      <c r="Q67" s="431"/>
      <c r="R67" s="430"/>
      <c r="S67" s="432"/>
      <c r="T67" s="432"/>
      <c r="U67" s="431"/>
      <c r="V67" s="417"/>
      <c r="W67" s="418"/>
      <c r="X67" s="418"/>
      <c r="Y67" s="418"/>
      <c r="Z67" s="418"/>
      <c r="AA67" s="418"/>
      <c r="AB67" s="418"/>
      <c r="AC67" s="418"/>
      <c r="AD67" s="419"/>
    </row>
    <row r="68" spans="1:32" ht="27" customHeight="1">
      <c r="A68" s="415" t="s">
        <v>112</v>
      </c>
      <c r="B68" s="416"/>
      <c r="C68" s="259" t="s">
        <v>216</v>
      </c>
      <c r="D68" s="259" t="s">
        <v>493</v>
      </c>
      <c r="E68" s="260" t="s">
        <v>547</v>
      </c>
      <c r="F68" s="473" t="s">
        <v>294</v>
      </c>
      <c r="G68" s="474"/>
      <c r="H68" s="474"/>
      <c r="I68" s="474"/>
      <c r="J68" s="474"/>
      <c r="K68" s="474"/>
      <c r="L68" s="474"/>
      <c r="M68" s="475"/>
      <c r="N68" s="263"/>
      <c r="O68" s="257"/>
      <c r="P68" s="430"/>
      <c r="Q68" s="431"/>
      <c r="R68" s="430"/>
      <c r="S68" s="432"/>
      <c r="T68" s="432"/>
      <c r="U68" s="431"/>
      <c r="V68" s="417"/>
      <c r="W68" s="418"/>
      <c r="X68" s="418"/>
      <c r="Y68" s="418"/>
      <c r="Z68" s="418"/>
      <c r="AA68" s="418"/>
      <c r="AB68" s="418"/>
      <c r="AC68" s="418"/>
      <c r="AD68" s="419"/>
    </row>
    <row r="69" spans="1:32" ht="27" customHeight="1">
      <c r="A69" s="415" t="s">
        <v>116</v>
      </c>
      <c r="B69" s="416"/>
      <c r="C69" s="259" t="s">
        <v>143</v>
      </c>
      <c r="D69" s="259" t="s">
        <v>140</v>
      </c>
      <c r="E69" s="260" t="s">
        <v>392</v>
      </c>
      <c r="F69" s="473" t="s">
        <v>122</v>
      </c>
      <c r="G69" s="474"/>
      <c r="H69" s="474"/>
      <c r="I69" s="474"/>
      <c r="J69" s="474"/>
      <c r="K69" s="474"/>
      <c r="L69" s="474"/>
      <c r="M69" s="475"/>
      <c r="N69" s="263"/>
      <c r="O69" s="257"/>
      <c r="P69" s="420"/>
      <c r="Q69" s="420"/>
      <c r="R69" s="420"/>
      <c r="S69" s="420"/>
      <c r="T69" s="420"/>
      <c r="U69" s="420"/>
      <c r="V69" s="417"/>
      <c r="W69" s="418"/>
      <c r="X69" s="418"/>
      <c r="Y69" s="418"/>
      <c r="Z69" s="418"/>
      <c r="AA69" s="418"/>
      <c r="AB69" s="418"/>
      <c r="AC69" s="418"/>
      <c r="AD69" s="419"/>
      <c r="AF69" s="81">
        <f>8*3000</f>
        <v>24000</v>
      </c>
    </row>
    <row r="70" spans="1:32" ht="27" customHeight="1" thickBot="1">
      <c r="A70" s="421"/>
      <c r="B70" s="422"/>
      <c r="C70" s="261"/>
      <c r="D70" s="262"/>
      <c r="E70" s="261"/>
      <c r="F70" s="423"/>
      <c r="G70" s="424"/>
      <c r="H70" s="424"/>
      <c r="I70" s="424"/>
      <c r="J70" s="424"/>
      <c r="K70" s="424"/>
      <c r="L70" s="424"/>
      <c r="M70" s="425"/>
      <c r="N70" s="105"/>
      <c r="O70" s="97"/>
      <c r="P70" s="426"/>
      <c r="Q70" s="426"/>
      <c r="R70" s="426"/>
      <c r="S70" s="426"/>
      <c r="T70" s="426"/>
      <c r="U70" s="426"/>
      <c r="V70" s="427"/>
      <c r="W70" s="427"/>
      <c r="X70" s="427"/>
      <c r="Y70" s="427"/>
      <c r="Z70" s="427"/>
      <c r="AA70" s="427"/>
      <c r="AB70" s="427"/>
      <c r="AC70" s="427"/>
      <c r="AD70" s="428"/>
      <c r="AF70" s="81">
        <f>16*3000</f>
        <v>48000</v>
      </c>
    </row>
    <row r="71" spans="1:32" ht="27.75" thickBot="1">
      <c r="A71" s="413" t="s">
        <v>637</v>
      </c>
      <c r="B71" s="413"/>
      <c r="C71" s="413"/>
      <c r="D71" s="413"/>
      <c r="E71" s="413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81">
        <v>24000</v>
      </c>
    </row>
    <row r="72" spans="1:32" ht="29.25" customHeight="1" thickBot="1">
      <c r="A72" s="414" t="s">
        <v>111</v>
      </c>
      <c r="B72" s="411"/>
      <c r="C72" s="258" t="s">
        <v>2</v>
      </c>
      <c r="D72" s="258" t="s">
        <v>37</v>
      </c>
      <c r="E72" s="258" t="s">
        <v>3</v>
      </c>
      <c r="F72" s="411" t="s">
        <v>109</v>
      </c>
      <c r="G72" s="411"/>
      <c r="H72" s="411"/>
      <c r="I72" s="411"/>
      <c r="J72" s="411"/>
      <c r="K72" s="411" t="s">
        <v>39</v>
      </c>
      <c r="L72" s="411"/>
      <c r="M72" s="258" t="s">
        <v>40</v>
      </c>
      <c r="N72" s="411" t="s">
        <v>41</v>
      </c>
      <c r="O72" s="411"/>
      <c r="P72" s="408" t="s">
        <v>42</v>
      </c>
      <c r="Q72" s="410"/>
      <c r="R72" s="408" t="s">
        <v>43</v>
      </c>
      <c r="S72" s="409"/>
      <c r="T72" s="409"/>
      <c r="U72" s="409"/>
      <c r="V72" s="409"/>
      <c r="W72" s="409"/>
      <c r="X72" s="409"/>
      <c r="Y72" s="409"/>
      <c r="Z72" s="409"/>
      <c r="AA72" s="410"/>
      <c r="AB72" s="411" t="s">
        <v>44</v>
      </c>
      <c r="AC72" s="411"/>
      <c r="AD72" s="412"/>
      <c r="AF72" s="81">
        <f>SUM(AF69:AF71)</f>
        <v>96000</v>
      </c>
    </row>
    <row r="73" spans="1:32" ht="25.5" customHeight="1">
      <c r="A73" s="399">
        <v>1</v>
      </c>
      <c r="B73" s="400"/>
      <c r="C73" s="98" t="s">
        <v>127</v>
      </c>
      <c r="D73" s="253"/>
      <c r="E73" s="256" t="s">
        <v>639</v>
      </c>
      <c r="F73" s="401" t="s">
        <v>638</v>
      </c>
      <c r="G73" s="391"/>
      <c r="H73" s="391"/>
      <c r="I73" s="391"/>
      <c r="J73" s="391"/>
      <c r="K73" s="391" t="s">
        <v>156</v>
      </c>
      <c r="L73" s="391"/>
      <c r="M73" s="51" t="s">
        <v>272</v>
      </c>
      <c r="N73" s="402" t="s">
        <v>388</v>
      </c>
      <c r="O73" s="402"/>
      <c r="P73" s="403">
        <v>50</v>
      </c>
      <c r="Q73" s="403"/>
      <c r="R73" s="404"/>
      <c r="S73" s="404"/>
      <c r="T73" s="404"/>
      <c r="U73" s="404"/>
      <c r="V73" s="404"/>
      <c r="W73" s="404"/>
      <c r="X73" s="404"/>
      <c r="Y73" s="404"/>
      <c r="Z73" s="404"/>
      <c r="AA73" s="404"/>
      <c r="AB73" s="391"/>
      <c r="AC73" s="391"/>
      <c r="AD73" s="392"/>
      <c r="AF73" s="50"/>
    </row>
    <row r="74" spans="1:32" ht="25.5" customHeight="1">
      <c r="A74" s="399">
        <v>2</v>
      </c>
      <c r="B74" s="400"/>
      <c r="C74" s="98" t="s">
        <v>116</v>
      </c>
      <c r="D74" s="253"/>
      <c r="E74" s="256" t="s">
        <v>141</v>
      </c>
      <c r="F74" s="401" t="s">
        <v>626</v>
      </c>
      <c r="G74" s="391"/>
      <c r="H74" s="391"/>
      <c r="I74" s="391"/>
      <c r="J74" s="391"/>
      <c r="K74" s="391" t="s">
        <v>128</v>
      </c>
      <c r="L74" s="391"/>
      <c r="M74" s="51" t="s">
        <v>222</v>
      </c>
      <c r="N74" s="402" t="s">
        <v>388</v>
      </c>
      <c r="O74" s="402"/>
      <c r="P74" s="403">
        <v>100</v>
      </c>
      <c r="Q74" s="403"/>
      <c r="R74" s="404"/>
      <c r="S74" s="404"/>
      <c r="T74" s="404"/>
      <c r="U74" s="404"/>
      <c r="V74" s="404"/>
      <c r="W74" s="404"/>
      <c r="X74" s="404"/>
      <c r="Y74" s="404"/>
      <c r="Z74" s="404"/>
      <c r="AA74" s="404"/>
      <c r="AB74" s="391"/>
      <c r="AC74" s="391"/>
      <c r="AD74" s="392"/>
      <c r="AF74" s="50"/>
    </row>
    <row r="75" spans="1:32" ht="25.5" customHeight="1">
      <c r="A75" s="399">
        <v>3</v>
      </c>
      <c r="B75" s="400"/>
      <c r="C75" s="98" t="s">
        <v>116</v>
      </c>
      <c r="D75" s="253"/>
      <c r="E75" s="256" t="s">
        <v>115</v>
      </c>
      <c r="F75" s="401" t="s">
        <v>627</v>
      </c>
      <c r="G75" s="391"/>
      <c r="H75" s="391"/>
      <c r="I75" s="391"/>
      <c r="J75" s="391"/>
      <c r="K75" s="391" t="s">
        <v>235</v>
      </c>
      <c r="L75" s="391"/>
      <c r="M75" s="51" t="s">
        <v>222</v>
      </c>
      <c r="N75" s="402" t="s">
        <v>388</v>
      </c>
      <c r="O75" s="402"/>
      <c r="P75" s="403">
        <v>50</v>
      </c>
      <c r="Q75" s="403"/>
      <c r="R75" s="404"/>
      <c r="S75" s="404"/>
      <c r="T75" s="404"/>
      <c r="U75" s="404"/>
      <c r="V75" s="404"/>
      <c r="W75" s="404"/>
      <c r="X75" s="404"/>
      <c r="Y75" s="404"/>
      <c r="Z75" s="404"/>
      <c r="AA75" s="404"/>
      <c r="AB75" s="391"/>
      <c r="AC75" s="391"/>
      <c r="AD75" s="392"/>
      <c r="AF75" s="50"/>
    </row>
    <row r="76" spans="1:32" ht="25.5" customHeight="1">
      <c r="A76" s="399">
        <v>4</v>
      </c>
      <c r="B76" s="400"/>
      <c r="C76" s="98"/>
      <c r="D76" s="253"/>
      <c r="E76" s="256"/>
      <c r="F76" s="405"/>
      <c r="G76" s="406"/>
      <c r="H76" s="406"/>
      <c r="I76" s="406"/>
      <c r="J76" s="407"/>
      <c r="K76" s="391"/>
      <c r="L76" s="391"/>
      <c r="M76" s="51"/>
      <c r="N76" s="402"/>
      <c r="O76" s="402"/>
      <c r="P76" s="403"/>
      <c r="Q76" s="403"/>
      <c r="R76" s="404"/>
      <c r="S76" s="404"/>
      <c r="T76" s="404"/>
      <c r="U76" s="404"/>
      <c r="V76" s="404"/>
      <c r="W76" s="404"/>
      <c r="X76" s="404"/>
      <c r="Y76" s="404"/>
      <c r="Z76" s="404"/>
      <c r="AA76" s="404"/>
      <c r="AB76" s="391"/>
      <c r="AC76" s="391"/>
      <c r="AD76" s="392"/>
      <c r="AF76" s="50"/>
    </row>
    <row r="77" spans="1:32" ht="25.5" customHeight="1">
      <c r="A77" s="399">
        <v>5</v>
      </c>
      <c r="B77" s="400"/>
      <c r="C77" s="98"/>
      <c r="D77" s="253"/>
      <c r="E77" s="256"/>
      <c r="F77" s="405"/>
      <c r="G77" s="406"/>
      <c r="H77" s="406"/>
      <c r="I77" s="406"/>
      <c r="J77" s="407"/>
      <c r="K77" s="391"/>
      <c r="L77" s="391"/>
      <c r="M77" s="51"/>
      <c r="N77" s="402"/>
      <c r="O77" s="402"/>
      <c r="P77" s="403"/>
      <c r="Q77" s="403"/>
      <c r="R77" s="404"/>
      <c r="S77" s="404"/>
      <c r="T77" s="404"/>
      <c r="U77" s="404"/>
      <c r="V77" s="404"/>
      <c r="W77" s="404"/>
      <c r="X77" s="404"/>
      <c r="Y77" s="404"/>
      <c r="Z77" s="404"/>
      <c r="AA77" s="404"/>
      <c r="AB77" s="391"/>
      <c r="AC77" s="391"/>
      <c r="AD77" s="392"/>
      <c r="AF77" s="50"/>
    </row>
    <row r="78" spans="1:32" ht="25.5" customHeight="1">
      <c r="A78" s="399">
        <v>6</v>
      </c>
      <c r="B78" s="400"/>
      <c r="C78" s="98"/>
      <c r="D78" s="253"/>
      <c r="E78" s="256"/>
      <c r="F78" s="405"/>
      <c r="G78" s="406"/>
      <c r="H78" s="406"/>
      <c r="I78" s="406"/>
      <c r="J78" s="407"/>
      <c r="K78" s="391"/>
      <c r="L78" s="391"/>
      <c r="M78" s="51"/>
      <c r="N78" s="402"/>
      <c r="O78" s="402"/>
      <c r="P78" s="403"/>
      <c r="Q78" s="403"/>
      <c r="R78" s="404"/>
      <c r="S78" s="404"/>
      <c r="T78" s="404"/>
      <c r="U78" s="404"/>
      <c r="V78" s="404"/>
      <c r="W78" s="404"/>
      <c r="X78" s="404"/>
      <c r="Y78" s="404"/>
      <c r="Z78" s="404"/>
      <c r="AA78" s="404"/>
      <c r="AB78" s="391"/>
      <c r="AC78" s="391"/>
      <c r="AD78" s="392"/>
      <c r="AF78" s="50"/>
    </row>
    <row r="79" spans="1:32" ht="25.5" customHeight="1">
      <c r="A79" s="399">
        <v>7</v>
      </c>
      <c r="B79" s="400"/>
      <c r="C79" s="98"/>
      <c r="D79" s="253"/>
      <c r="E79" s="256"/>
      <c r="F79" s="405"/>
      <c r="G79" s="406"/>
      <c r="H79" s="406"/>
      <c r="I79" s="406"/>
      <c r="J79" s="407"/>
      <c r="K79" s="391"/>
      <c r="L79" s="391"/>
      <c r="M79" s="51"/>
      <c r="N79" s="402"/>
      <c r="O79" s="402"/>
      <c r="P79" s="403"/>
      <c r="Q79" s="403"/>
      <c r="R79" s="404"/>
      <c r="S79" s="404"/>
      <c r="T79" s="404"/>
      <c r="U79" s="404"/>
      <c r="V79" s="404"/>
      <c r="W79" s="404"/>
      <c r="X79" s="404"/>
      <c r="Y79" s="404"/>
      <c r="Z79" s="404"/>
      <c r="AA79" s="404"/>
      <c r="AB79" s="391"/>
      <c r="AC79" s="391"/>
      <c r="AD79" s="392"/>
      <c r="AF79" s="50"/>
    </row>
    <row r="80" spans="1:32" ht="25.5" customHeight="1">
      <c r="A80" s="399">
        <v>8</v>
      </c>
      <c r="B80" s="400"/>
      <c r="C80" s="98"/>
      <c r="D80" s="253"/>
      <c r="E80" s="256"/>
      <c r="F80" s="401"/>
      <c r="G80" s="391"/>
      <c r="H80" s="391"/>
      <c r="I80" s="391"/>
      <c r="J80" s="391"/>
      <c r="K80" s="391"/>
      <c r="L80" s="391"/>
      <c r="M80" s="51"/>
      <c r="N80" s="402"/>
      <c r="O80" s="402"/>
      <c r="P80" s="403"/>
      <c r="Q80" s="403"/>
      <c r="R80" s="404"/>
      <c r="S80" s="404"/>
      <c r="T80" s="404"/>
      <c r="U80" s="404"/>
      <c r="V80" s="404"/>
      <c r="W80" s="404"/>
      <c r="X80" s="404"/>
      <c r="Y80" s="404"/>
      <c r="Z80" s="404"/>
      <c r="AA80" s="404"/>
      <c r="AB80" s="391"/>
      <c r="AC80" s="391"/>
      <c r="AD80" s="392"/>
      <c r="AF80" s="50"/>
    </row>
    <row r="81" spans="1:32" ht="25.5" customHeight="1">
      <c r="A81" s="399">
        <v>9</v>
      </c>
      <c r="B81" s="400"/>
      <c r="C81" s="98"/>
      <c r="D81" s="253"/>
      <c r="E81" s="256"/>
      <c r="F81" s="401"/>
      <c r="G81" s="391"/>
      <c r="H81" s="391"/>
      <c r="I81" s="391"/>
      <c r="J81" s="391"/>
      <c r="K81" s="391"/>
      <c r="L81" s="391"/>
      <c r="M81" s="51"/>
      <c r="N81" s="402"/>
      <c r="O81" s="402"/>
      <c r="P81" s="403"/>
      <c r="Q81" s="403"/>
      <c r="R81" s="404"/>
      <c r="S81" s="404"/>
      <c r="T81" s="404"/>
      <c r="U81" s="404"/>
      <c r="V81" s="404"/>
      <c r="W81" s="404"/>
      <c r="X81" s="404"/>
      <c r="Y81" s="404"/>
      <c r="Z81" s="404"/>
      <c r="AA81" s="404"/>
      <c r="AB81" s="391"/>
      <c r="AC81" s="391"/>
      <c r="AD81" s="392"/>
      <c r="AF81" s="50"/>
    </row>
    <row r="82" spans="1:32" ht="25.5" customHeight="1">
      <c r="A82" s="399">
        <v>10</v>
      </c>
      <c r="B82" s="400"/>
      <c r="C82" s="98"/>
      <c r="D82" s="253"/>
      <c r="E82" s="256"/>
      <c r="F82" s="401"/>
      <c r="G82" s="391"/>
      <c r="H82" s="391"/>
      <c r="I82" s="391"/>
      <c r="J82" s="391"/>
      <c r="K82" s="391"/>
      <c r="L82" s="391"/>
      <c r="M82" s="51"/>
      <c r="N82" s="402"/>
      <c r="O82" s="402"/>
      <c r="P82" s="403"/>
      <c r="Q82" s="403"/>
      <c r="R82" s="404"/>
      <c r="S82" s="404"/>
      <c r="T82" s="404"/>
      <c r="U82" s="404"/>
      <c r="V82" s="404"/>
      <c r="W82" s="404"/>
      <c r="X82" s="404"/>
      <c r="Y82" s="404"/>
      <c r="Z82" s="404"/>
      <c r="AA82" s="404"/>
      <c r="AB82" s="391"/>
      <c r="AC82" s="391"/>
      <c r="AD82" s="392"/>
      <c r="AF82" s="50"/>
    </row>
    <row r="83" spans="1:32" ht="26.25" customHeight="1" thickBot="1">
      <c r="A83" s="371" t="s">
        <v>640</v>
      </c>
      <c r="B83" s="371"/>
      <c r="C83" s="371"/>
      <c r="D83" s="371"/>
      <c r="E83" s="371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23.25" thickBot="1">
      <c r="A84" s="393" t="s">
        <v>111</v>
      </c>
      <c r="B84" s="394"/>
      <c r="C84" s="255" t="s">
        <v>2</v>
      </c>
      <c r="D84" s="255" t="s">
        <v>37</v>
      </c>
      <c r="E84" s="255" t="s">
        <v>120</v>
      </c>
      <c r="F84" s="373" t="s">
        <v>38</v>
      </c>
      <c r="G84" s="373"/>
      <c r="H84" s="373"/>
      <c r="I84" s="373"/>
      <c r="J84" s="373"/>
      <c r="K84" s="395" t="s">
        <v>58</v>
      </c>
      <c r="L84" s="396"/>
      <c r="M84" s="396"/>
      <c r="N84" s="396"/>
      <c r="O84" s="396"/>
      <c r="P84" s="396"/>
      <c r="Q84" s="396"/>
      <c r="R84" s="396"/>
      <c r="S84" s="397"/>
      <c r="T84" s="373" t="s">
        <v>49</v>
      </c>
      <c r="U84" s="373"/>
      <c r="V84" s="395" t="s">
        <v>50</v>
      </c>
      <c r="W84" s="397"/>
      <c r="X84" s="396" t="s">
        <v>51</v>
      </c>
      <c r="Y84" s="396"/>
      <c r="Z84" s="396"/>
      <c r="AA84" s="396"/>
      <c r="AB84" s="396"/>
      <c r="AC84" s="396"/>
      <c r="AD84" s="398"/>
      <c r="AF84" s="50"/>
    </row>
    <row r="85" spans="1:32" ht="33.75" customHeight="1">
      <c r="A85" s="365">
        <v>1</v>
      </c>
      <c r="B85" s="366"/>
      <c r="C85" s="254"/>
      <c r="D85" s="254"/>
      <c r="E85" s="65"/>
      <c r="F85" s="380"/>
      <c r="G85" s="381"/>
      <c r="H85" s="381"/>
      <c r="I85" s="381"/>
      <c r="J85" s="382"/>
      <c r="K85" s="383"/>
      <c r="L85" s="384"/>
      <c r="M85" s="384"/>
      <c r="N85" s="384"/>
      <c r="O85" s="384"/>
      <c r="P85" s="384"/>
      <c r="Q85" s="384"/>
      <c r="R85" s="384"/>
      <c r="S85" s="385"/>
      <c r="T85" s="386"/>
      <c r="U85" s="387"/>
      <c r="V85" s="388"/>
      <c r="W85" s="388"/>
      <c r="X85" s="389"/>
      <c r="Y85" s="389"/>
      <c r="Z85" s="389"/>
      <c r="AA85" s="389"/>
      <c r="AB85" s="389"/>
      <c r="AC85" s="389"/>
      <c r="AD85" s="390"/>
      <c r="AF85" s="50"/>
    </row>
    <row r="86" spans="1:32" ht="30" customHeight="1">
      <c r="A86" s="358">
        <f>A85+1</f>
        <v>2</v>
      </c>
      <c r="B86" s="359"/>
      <c r="C86" s="253"/>
      <c r="D86" s="253"/>
      <c r="E86" s="32"/>
      <c r="F86" s="359"/>
      <c r="G86" s="359"/>
      <c r="H86" s="359"/>
      <c r="I86" s="359"/>
      <c r="J86" s="359"/>
      <c r="K86" s="374"/>
      <c r="L86" s="375"/>
      <c r="M86" s="375"/>
      <c r="N86" s="375"/>
      <c r="O86" s="375"/>
      <c r="P86" s="375"/>
      <c r="Q86" s="375"/>
      <c r="R86" s="375"/>
      <c r="S86" s="376"/>
      <c r="T86" s="377"/>
      <c r="U86" s="377"/>
      <c r="V86" s="377"/>
      <c r="W86" s="377"/>
      <c r="X86" s="378"/>
      <c r="Y86" s="378"/>
      <c r="Z86" s="378"/>
      <c r="AA86" s="378"/>
      <c r="AB86" s="378"/>
      <c r="AC86" s="378"/>
      <c r="AD86" s="379"/>
      <c r="AF86" s="50"/>
    </row>
    <row r="87" spans="1:32" ht="30" customHeight="1">
      <c r="A87" s="358">
        <f t="shared" ref="A87:A91" si="12">A86+1</f>
        <v>3</v>
      </c>
      <c r="B87" s="359"/>
      <c r="C87" s="253"/>
      <c r="D87" s="253"/>
      <c r="E87" s="32"/>
      <c r="F87" s="359"/>
      <c r="G87" s="359"/>
      <c r="H87" s="359"/>
      <c r="I87" s="359"/>
      <c r="J87" s="359"/>
      <c r="K87" s="374"/>
      <c r="L87" s="375"/>
      <c r="M87" s="375"/>
      <c r="N87" s="375"/>
      <c r="O87" s="375"/>
      <c r="P87" s="375"/>
      <c r="Q87" s="375"/>
      <c r="R87" s="375"/>
      <c r="S87" s="376"/>
      <c r="T87" s="377"/>
      <c r="U87" s="377"/>
      <c r="V87" s="377"/>
      <c r="W87" s="377"/>
      <c r="X87" s="378"/>
      <c r="Y87" s="378"/>
      <c r="Z87" s="378"/>
      <c r="AA87" s="378"/>
      <c r="AB87" s="378"/>
      <c r="AC87" s="378"/>
      <c r="AD87" s="379"/>
      <c r="AF87" s="50"/>
    </row>
    <row r="88" spans="1:32" ht="30" customHeight="1">
      <c r="A88" s="358">
        <f t="shared" si="12"/>
        <v>4</v>
      </c>
      <c r="B88" s="359"/>
      <c r="C88" s="253"/>
      <c r="D88" s="253"/>
      <c r="E88" s="32"/>
      <c r="F88" s="359"/>
      <c r="G88" s="359"/>
      <c r="H88" s="359"/>
      <c r="I88" s="359"/>
      <c r="J88" s="359"/>
      <c r="K88" s="374"/>
      <c r="L88" s="375"/>
      <c r="M88" s="375"/>
      <c r="N88" s="375"/>
      <c r="O88" s="375"/>
      <c r="P88" s="375"/>
      <c r="Q88" s="375"/>
      <c r="R88" s="375"/>
      <c r="S88" s="376"/>
      <c r="T88" s="377"/>
      <c r="U88" s="377"/>
      <c r="V88" s="377"/>
      <c r="W88" s="377"/>
      <c r="X88" s="378"/>
      <c r="Y88" s="378"/>
      <c r="Z88" s="378"/>
      <c r="AA88" s="378"/>
      <c r="AB88" s="378"/>
      <c r="AC88" s="378"/>
      <c r="AD88" s="379"/>
      <c r="AF88" s="50"/>
    </row>
    <row r="89" spans="1:32" ht="30" customHeight="1">
      <c r="A89" s="358">
        <f t="shared" si="12"/>
        <v>5</v>
      </c>
      <c r="B89" s="359"/>
      <c r="C89" s="253"/>
      <c r="D89" s="253"/>
      <c r="E89" s="32"/>
      <c r="F89" s="359"/>
      <c r="G89" s="359"/>
      <c r="H89" s="359"/>
      <c r="I89" s="359"/>
      <c r="J89" s="359"/>
      <c r="K89" s="374"/>
      <c r="L89" s="375"/>
      <c r="M89" s="375"/>
      <c r="N89" s="375"/>
      <c r="O89" s="375"/>
      <c r="P89" s="375"/>
      <c r="Q89" s="375"/>
      <c r="R89" s="375"/>
      <c r="S89" s="376"/>
      <c r="T89" s="377"/>
      <c r="U89" s="377"/>
      <c r="V89" s="377"/>
      <c r="W89" s="377"/>
      <c r="X89" s="378"/>
      <c r="Y89" s="378"/>
      <c r="Z89" s="378"/>
      <c r="AA89" s="378"/>
      <c r="AB89" s="378"/>
      <c r="AC89" s="378"/>
      <c r="AD89" s="379"/>
      <c r="AF89" s="50"/>
    </row>
    <row r="90" spans="1:32" ht="30" customHeight="1">
      <c r="A90" s="358">
        <f t="shared" si="12"/>
        <v>6</v>
      </c>
      <c r="B90" s="359"/>
      <c r="C90" s="253"/>
      <c r="D90" s="253"/>
      <c r="E90" s="32"/>
      <c r="F90" s="359"/>
      <c r="G90" s="359"/>
      <c r="H90" s="359"/>
      <c r="I90" s="359"/>
      <c r="J90" s="359"/>
      <c r="K90" s="374"/>
      <c r="L90" s="375"/>
      <c r="M90" s="375"/>
      <c r="N90" s="375"/>
      <c r="O90" s="375"/>
      <c r="P90" s="375"/>
      <c r="Q90" s="375"/>
      <c r="R90" s="375"/>
      <c r="S90" s="376"/>
      <c r="T90" s="377"/>
      <c r="U90" s="377"/>
      <c r="V90" s="377"/>
      <c r="W90" s="377"/>
      <c r="X90" s="378"/>
      <c r="Y90" s="378"/>
      <c r="Z90" s="378"/>
      <c r="AA90" s="378"/>
      <c r="AB90" s="378"/>
      <c r="AC90" s="378"/>
      <c r="AD90" s="379"/>
      <c r="AF90" s="50"/>
    </row>
    <row r="91" spans="1:32" ht="30" customHeight="1">
      <c r="A91" s="358">
        <f t="shared" si="12"/>
        <v>7</v>
      </c>
      <c r="B91" s="359"/>
      <c r="C91" s="253"/>
      <c r="D91" s="253"/>
      <c r="E91" s="32"/>
      <c r="F91" s="359"/>
      <c r="G91" s="359"/>
      <c r="H91" s="359"/>
      <c r="I91" s="359"/>
      <c r="J91" s="359"/>
      <c r="K91" s="374"/>
      <c r="L91" s="375"/>
      <c r="M91" s="375"/>
      <c r="N91" s="375"/>
      <c r="O91" s="375"/>
      <c r="P91" s="375"/>
      <c r="Q91" s="375"/>
      <c r="R91" s="375"/>
      <c r="S91" s="376"/>
      <c r="T91" s="377"/>
      <c r="U91" s="377"/>
      <c r="V91" s="377"/>
      <c r="W91" s="377"/>
      <c r="X91" s="378"/>
      <c r="Y91" s="378"/>
      <c r="Z91" s="378"/>
      <c r="AA91" s="378"/>
      <c r="AB91" s="378"/>
      <c r="AC91" s="378"/>
      <c r="AD91" s="379"/>
      <c r="AF91" s="50"/>
    </row>
    <row r="92" spans="1:32" ht="36" thickBot="1">
      <c r="A92" s="371" t="s">
        <v>641</v>
      </c>
      <c r="B92" s="371"/>
      <c r="C92" s="371"/>
      <c r="D92" s="371"/>
      <c r="E92" s="371"/>
      <c r="F92" s="37"/>
      <c r="G92" s="37"/>
      <c r="H92" s="38"/>
      <c r="I92" s="38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F92" s="50"/>
    </row>
    <row r="93" spans="1:32" ht="30.75" customHeight="1" thickBot="1">
      <c r="A93" s="372" t="s">
        <v>111</v>
      </c>
      <c r="B93" s="373"/>
      <c r="C93" s="363" t="s">
        <v>52</v>
      </c>
      <c r="D93" s="363"/>
      <c r="E93" s="363" t="s">
        <v>53</v>
      </c>
      <c r="F93" s="363"/>
      <c r="G93" s="363"/>
      <c r="H93" s="363"/>
      <c r="I93" s="363"/>
      <c r="J93" s="363"/>
      <c r="K93" s="363" t="s">
        <v>54</v>
      </c>
      <c r="L93" s="363"/>
      <c r="M93" s="363"/>
      <c r="N93" s="363"/>
      <c r="O93" s="363"/>
      <c r="P93" s="363"/>
      <c r="Q93" s="363"/>
      <c r="R93" s="363"/>
      <c r="S93" s="363"/>
      <c r="T93" s="363" t="s">
        <v>55</v>
      </c>
      <c r="U93" s="363"/>
      <c r="V93" s="363" t="s">
        <v>56</v>
      </c>
      <c r="W93" s="363"/>
      <c r="X93" s="363"/>
      <c r="Y93" s="363" t="s">
        <v>51</v>
      </c>
      <c r="Z93" s="363"/>
      <c r="AA93" s="363"/>
      <c r="AB93" s="363"/>
      <c r="AC93" s="363"/>
      <c r="AD93" s="364"/>
      <c r="AF93" s="50"/>
    </row>
    <row r="94" spans="1:32" ht="30.75" customHeight="1">
      <c r="A94" s="365">
        <v>1</v>
      </c>
      <c r="B94" s="366"/>
      <c r="C94" s="367"/>
      <c r="D94" s="367"/>
      <c r="E94" s="367"/>
      <c r="F94" s="367"/>
      <c r="G94" s="367"/>
      <c r="H94" s="367"/>
      <c r="I94" s="367"/>
      <c r="J94" s="367"/>
      <c r="K94" s="367"/>
      <c r="L94" s="367"/>
      <c r="M94" s="367"/>
      <c r="N94" s="367"/>
      <c r="O94" s="367"/>
      <c r="P94" s="367"/>
      <c r="Q94" s="367"/>
      <c r="R94" s="367"/>
      <c r="S94" s="367"/>
      <c r="T94" s="367"/>
      <c r="U94" s="367"/>
      <c r="V94" s="368"/>
      <c r="W94" s="368"/>
      <c r="X94" s="368"/>
      <c r="Y94" s="369"/>
      <c r="Z94" s="369"/>
      <c r="AA94" s="369"/>
      <c r="AB94" s="369"/>
      <c r="AC94" s="369"/>
      <c r="AD94" s="370"/>
      <c r="AF94" s="50"/>
    </row>
    <row r="95" spans="1:32" ht="30.75" customHeight="1">
      <c r="A95" s="358">
        <v>2</v>
      </c>
      <c r="B95" s="359"/>
      <c r="C95" s="360"/>
      <c r="D95" s="360"/>
      <c r="E95" s="360"/>
      <c r="F95" s="360"/>
      <c r="G95" s="360"/>
      <c r="H95" s="360"/>
      <c r="I95" s="360"/>
      <c r="J95" s="360"/>
      <c r="K95" s="360"/>
      <c r="L95" s="360"/>
      <c r="M95" s="360"/>
      <c r="N95" s="360"/>
      <c r="O95" s="360"/>
      <c r="P95" s="360"/>
      <c r="Q95" s="360"/>
      <c r="R95" s="360"/>
      <c r="S95" s="360"/>
      <c r="T95" s="361"/>
      <c r="U95" s="361"/>
      <c r="V95" s="362"/>
      <c r="W95" s="362"/>
      <c r="X95" s="362"/>
      <c r="Y95" s="350"/>
      <c r="Z95" s="350"/>
      <c r="AA95" s="350"/>
      <c r="AB95" s="350"/>
      <c r="AC95" s="350"/>
      <c r="AD95" s="351"/>
      <c r="AF95" s="50"/>
    </row>
    <row r="96" spans="1:32" ht="30.75" customHeight="1" thickBot="1">
      <c r="A96" s="352">
        <v>3</v>
      </c>
      <c r="B96" s="353"/>
      <c r="C96" s="354"/>
      <c r="D96" s="354"/>
      <c r="E96" s="354"/>
      <c r="F96" s="354"/>
      <c r="G96" s="354"/>
      <c r="H96" s="354"/>
      <c r="I96" s="354"/>
      <c r="J96" s="354"/>
      <c r="K96" s="354"/>
      <c r="L96" s="354"/>
      <c r="M96" s="354"/>
      <c r="N96" s="354"/>
      <c r="O96" s="354"/>
      <c r="P96" s="354"/>
      <c r="Q96" s="354"/>
      <c r="R96" s="354"/>
      <c r="S96" s="354"/>
      <c r="T96" s="354"/>
      <c r="U96" s="354"/>
      <c r="V96" s="355"/>
      <c r="W96" s="355"/>
      <c r="X96" s="355"/>
      <c r="Y96" s="356"/>
      <c r="Z96" s="356"/>
      <c r="AA96" s="356"/>
      <c r="AB96" s="356"/>
      <c r="AC96" s="356"/>
      <c r="AD96" s="357"/>
      <c r="AF96" s="50"/>
    </row>
  </sheetData>
  <mergeCells count="232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31:H31"/>
    <mergeCell ref="A58:E58"/>
    <mergeCell ref="A59:M59"/>
    <mergeCell ref="N59:AD59"/>
    <mergeCell ref="A60:B60"/>
    <mergeCell ref="F60:M60"/>
    <mergeCell ref="P60:Q60"/>
    <mergeCell ref="R60:U60"/>
    <mergeCell ref="V60:AD60"/>
    <mergeCell ref="I4:O4"/>
    <mergeCell ref="P4:Q4"/>
    <mergeCell ref="R4:V4"/>
    <mergeCell ref="W4:AA4"/>
    <mergeCell ref="AB4:AB5"/>
    <mergeCell ref="AC4:AC5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A64:B64"/>
    <mergeCell ref="F64:M64"/>
    <mergeCell ref="P64:Q64"/>
    <mergeCell ref="R64:U64"/>
    <mergeCell ref="V64:AD64"/>
    <mergeCell ref="A65:B65"/>
    <mergeCell ref="F65:M65"/>
    <mergeCell ref="P65:Q65"/>
    <mergeCell ref="R65:U65"/>
    <mergeCell ref="V65:AD65"/>
    <mergeCell ref="A66:B66"/>
    <mergeCell ref="F66:M66"/>
    <mergeCell ref="P66:Q66"/>
    <mergeCell ref="R66:U66"/>
    <mergeCell ref="V66:AD66"/>
    <mergeCell ref="R69:U69"/>
    <mergeCell ref="V69:AD69"/>
    <mergeCell ref="A70:B70"/>
    <mergeCell ref="F70:M70"/>
    <mergeCell ref="P70:Q70"/>
    <mergeCell ref="R70:U70"/>
    <mergeCell ref="V70:AD70"/>
    <mergeCell ref="A67:B67"/>
    <mergeCell ref="F67:M67"/>
    <mergeCell ref="P67:Q67"/>
    <mergeCell ref="R67:U67"/>
    <mergeCell ref="V67:AD67"/>
    <mergeCell ref="A68:B68"/>
    <mergeCell ref="F68:M68"/>
    <mergeCell ref="P68:Q68"/>
    <mergeCell ref="R68:U68"/>
    <mergeCell ref="V68:AD68"/>
    <mergeCell ref="A71:E71"/>
    <mergeCell ref="A72:B72"/>
    <mergeCell ref="F72:J72"/>
    <mergeCell ref="K72:L72"/>
    <mergeCell ref="N72:O72"/>
    <mergeCell ref="P72:Q72"/>
    <mergeCell ref="A69:B69"/>
    <mergeCell ref="F69:M69"/>
    <mergeCell ref="P69:Q69"/>
    <mergeCell ref="R72:AA72"/>
    <mergeCell ref="AB72:AD72"/>
    <mergeCell ref="A73:B73"/>
    <mergeCell ref="F73:J73"/>
    <mergeCell ref="K73:L73"/>
    <mergeCell ref="N73:O73"/>
    <mergeCell ref="P73:Q73"/>
    <mergeCell ref="R73:AA73"/>
    <mergeCell ref="AB73:AD73"/>
    <mergeCell ref="AB74:AD74"/>
    <mergeCell ref="A75:B75"/>
    <mergeCell ref="F75:J75"/>
    <mergeCell ref="K75:L75"/>
    <mergeCell ref="N75:O75"/>
    <mergeCell ref="P75:Q75"/>
    <mergeCell ref="R75:AA75"/>
    <mergeCell ref="AB75:AD75"/>
    <mergeCell ref="A74:B74"/>
    <mergeCell ref="F74:J74"/>
    <mergeCell ref="K74:L74"/>
    <mergeCell ref="N74:O74"/>
    <mergeCell ref="P74:Q74"/>
    <mergeCell ref="R74:AA74"/>
    <mergeCell ref="AB76:AD76"/>
    <mergeCell ref="A77:B77"/>
    <mergeCell ref="F77:J77"/>
    <mergeCell ref="K77:L77"/>
    <mergeCell ref="N77:O77"/>
    <mergeCell ref="P77:Q77"/>
    <mergeCell ref="R77:AA77"/>
    <mergeCell ref="AB77:AD77"/>
    <mergeCell ref="A76:B76"/>
    <mergeCell ref="F76:J76"/>
    <mergeCell ref="K76:L76"/>
    <mergeCell ref="N76:O76"/>
    <mergeCell ref="P76:Q76"/>
    <mergeCell ref="R76:AA76"/>
    <mergeCell ref="AB78:AD78"/>
    <mergeCell ref="A79:B79"/>
    <mergeCell ref="F79:J79"/>
    <mergeCell ref="K79:L79"/>
    <mergeCell ref="N79:O79"/>
    <mergeCell ref="P79:Q79"/>
    <mergeCell ref="R79:AA79"/>
    <mergeCell ref="AB79:AD79"/>
    <mergeCell ref="A78:B78"/>
    <mergeCell ref="F78:J78"/>
    <mergeCell ref="K78:L78"/>
    <mergeCell ref="N78:O78"/>
    <mergeCell ref="P78:Q78"/>
    <mergeCell ref="R78:AA78"/>
    <mergeCell ref="AB80:AD80"/>
    <mergeCell ref="A81:B81"/>
    <mergeCell ref="F81:J81"/>
    <mergeCell ref="K81:L81"/>
    <mergeCell ref="N81:O81"/>
    <mergeCell ref="P81:Q81"/>
    <mergeCell ref="R81:AA81"/>
    <mergeCell ref="AB81:AD81"/>
    <mergeCell ref="A80:B80"/>
    <mergeCell ref="F80:J80"/>
    <mergeCell ref="K80:L80"/>
    <mergeCell ref="N80:O80"/>
    <mergeCell ref="P80:Q80"/>
    <mergeCell ref="R80:AA80"/>
    <mergeCell ref="AB82:AD82"/>
    <mergeCell ref="A83:E83"/>
    <mergeCell ref="A84:B84"/>
    <mergeCell ref="F84:J84"/>
    <mergeCell ref="K84:S84"/>
    <mergeCell ref="T84:U84"/>
    <mergeCell ref="V84:W84"/>
    <mergeCell ref="X84:AD84"/>
    <mergeCell ref="A82:B82"/>
    <mergeCell ref="F82:J82"/>
    <mergeCell ref="K82:L82"/>
    <mergeCell ref="N82:O82"/>
    <mergeCell ref="P82:Q82"/>
    <mergeCell ref="R82:AA82"/>
    <mergeCell ref="A86:B86"/>
    <mergeCell ref="F86:J86"/>
    <mergeCell ref="K86:S86"/>
    <mergeCell ref="T86:U86"/>
    <mergeCell ref="V86:W86"/>
    <mergeCell ref="X86:AD86"/>
    <mergeCell ref="A85:B85"/>
    <mergeCell ref="F85:J85"/>
    <mergeCell ref="K85:S85"/>
    <mergeCell ref="T85:U85"/>
    <mergeCell ref="V85:W85"/>
    <mergeCell ref="X85:AD85"/>
    <mergeCell ref="A88:B88"/>
    <mergeCell ref="F88:J88"/>
    <mergeCell ref="K88:S88"/>
    <mergeCell ref="T88:U88"/>
    <mergeCell ref="V88:W88"/>
    <mergeCell ref="X88:AD88"/>
    <mergeCell ref="A87:B87"/>
    <mergeCell ref="F87:J87"/>
    <mergeCell ref="K87:S87"/>
    <mergeCell ref="T87:U87"/>
    <mergeCell ref="V87:W87"/>
    <mergeCell ref="X87:AD87"/>
    <mergeCell ref="V91:W91"/>
    <mergeCell ref="X91:AD91"/>
    <mergeCell ref="A90:B90"/>
    <mergeCell ref="F90:J90"/>
    <mergeCell ref="K90:S90"/>
    <mergeCell ref="T90:U90"/>
    <mergeCell ref="V90:W90"/>
    <mergeCell ref="X90:AD90"/>
    <mergeCell ref="A89:B89"/>
    <mergeCell ref="F89:J89"/>
    <mergeCell ref="K89:S89"/>
    <mergeCell ref="T89:U89"/>
    <mergeCell ref="V89:W89"/>
    <mergeCell ref="X89:AD89"/>
    <mergeCell ref="A92:E92"/>
    <mergeCell ref="A93:B93"/>
    <mergeCell ref="C93:D93"/>
    <mergeCell ref="E93:J93"/>
    <mergeCell ref="K93:S93"/>
    <mergeCell ref="T93:U93"/>
    <mergeCell ref="A91:B91"/>
    <mergeCell ref="F91:J91"/>
    <mergeCell ref="K91:S91"/>
    <mergeCell ref="T91:U91"/>
    <mergeCell ref="V93:X93"/>
    <mergeCell ref="Y93:AD93"/>
    <mergeCell ref="A94:B94"/>
    <mergeCell ref="C94:D94"/>
    <mergeCell ref="E94:J94"/>
    <mergeCell ref="K94:S94"/>
    <mergeCell ref="T94:U94"/>
    <mergeCell ref="V94:X94"/>
    <mergeCell ref="Y94:AD94"/>
    <mergeCell ref="Y95:AD95"/>
    <mergeCell ref="A96:B96"/>
    <mergeCell ref="C96:D96"/>
    <mergeCell ref="E96:J96"/>
    <mergeCell ref="K96:S96"/>
    <mergeCell ref="T96:U96"/>
    <mergeCell ref="V96:X96"/>
    <mergeCell ref="Y96:AD96"/>
    <mergeCell ref="A95:B95"/>
    <mergeCell ref="C95:D95"/>
    <mergeCell ref="E95:J95"/>
    <mergeCell ref="K95:S95"/>
    <mergeCell ref="T95:U95"/>
    <mergeCell ref="V95:X9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56" max="29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CC097-3337-4681-A041-F7C90A57F825}">
  <sheetPr codeName="Sheet14">
    <pageSetUpPr fitToPage="1"/>
  </sheetPr>
  <dimension ref="A1:AF94"/>
  <sheetViews>
    <sheetView view="pageBreakPreview" zoomScale="70" zoomScaleNormal="72" zoomScaleSheetLayoutView="70" workbookViewId="0">
      <selection activeCell="K87" sqref="K87:S87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1" bestFit="1" customWidth="1"/>
    <col min="33" max="33" width="17.625" style="50" customWidth="1"/>
    <col min="34" max="16384" width="9" style="50"/>
  </cols>
  <sheetData>
    <row r="1" spans="1:32" ht="44.25" customHeight="1">
      <c r="A1" s="461" t="s">
        <v>643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61"/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62"/>
      <c r="B3" s="462"/>
      <c r="C3" s="462"/>
      <c r="D3" s="462"/>
      <c r="E3" s="462"/>
      <c r="F3" s="462"/>
      <c r="G3" s="462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63" t="s">
        <v>0</v>
      </c>
      <c r="B4" s="465" t="s">
        <v>1</v>
      </c>
      <c r="C4" s="465" t="s">
        <v>2</v>
      </c>
      <c r="D4" s="468" t="s">
        <v>3</v>
      </c>
      <c r="E4" s="470" t="s">
        <v>4</v>
      </c>
      <c r="F4" s="468" t="s">
        <v>5</v>
      </c>
      <c r="G4" s="465" t="s">
        <v>6</v>
      </c>
      <c r="H4" s="471" t="s">
        <v>7</v>
      </c>
      <c r="I4" s="451" t="s">
        <v>8</v>
      </c>
      <c r="J4" s="452"/>
      <c r="K4" s="452"/>
      <c r="L4" s="452"/>
      <c r="M4" s="452"/>
      <c r="N4" s="452"/>
      <c r="O4" s="453"/>
      <c r="P4" s="454" t="s">
        <v>9</v>
      </c>
      <c r="Q4" s="455"/>
      <c r="R4" s="456" t="s">
        <v>10</v>
      </c>
      <c r="S4" s="457"/>
      <c r="T4" s="457"/>
      <c r="U4" s="457"/>
      <c r="V4" s="458"/>
      <c r="W4" s="457" t="s">
        <v>11</v>
      </c>
      <c r="X4" s="457"/>
      <c r="Y4" s="457"/>
      <c r="Z4" s="457"/>
      <c r="AA4" s="458"/>
      <c r="AB4" s="459" t="s">
        <v>12</v>
      </c>
      <c r="AC4" s="433" t="s">
        <v>13</v>
      </c>
      <c r="AD4" s="433" t="s">
        <v>14</v>
      </c>
      <c r="AE4" s="54"/>
    </row>
    <row r="5" spans="1:32" ht="51" customHeight="1" thickBot="1">
      <c r="A5" s="464"/>
      <c r="B5" s="466"/>
      <c r="C5" s="467"/>
      <c r="D5" s="469"/>
      <c r="E5" s="469"/>
      <c r="F5" s="469"/>
      <c r="G5" s="466"/>
      <c r="H5" s="472"/>
      <c r="I5" s="55" t="s">
        <v>15</v>
      </c>
      <c r="J5" s="56" t="s">
        <v>16</v>
      </c>
      <c r="K5" s="265" t="s">
        <v>17</v>
      </c>
      <c r="L5" s="265" t="s">
        <v>18</v>
      </c>
      <c r="M5" s="265" t="s">
        <v>19</v>
      </c>
      <c r="N5" s="265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60"/>
      <c r="AC5" s="434"/>
      <c r="AD5" s="434"/>
      <c r="AE5" s="54"/>
    </row>
    <row r="6" spans="1:32" ht="27" customHeight="1">
      <c r="A6" s="106">
        <v>1</v>
      </c>
      <c r="B6" s="11" t="s">
        <v>57</v>
      </c>
      <c r="C6" s="34" t="s">
        <v>116</v>
      </c>
      <c r="D6" s="52" t="s">
        <v>140</v>
      </c>
      <c r="E6" s="53" t="s">
        <v>392</v>
      </c>
      <c r="F6" s="30" t="s">
        <v>155</v>
      </c>
      <c r="G6" s="12">
        <v>2</v>
      </c>
      <c r="H6" s="13">
        <v>24</v>
      </c>
      <c r="I6" s="31">
        <v>5000</v>
      </c>
      <c r="J6" s="14">
        <v>5402</v>
      </c>
      <c r="K6" s="15">
        <f>L6+5402</f>
        <v>5402</v>
      </c>
      <c r="L6" s="15"/>
      <c r="M6" s="15">
        <f t="shared" ref="M6:M28" si="0">L6-N6</f>
        <v>0</v>
      </c>
      <c r="N6" s="15">
        <v>0</v>
      </c>
      <c r="O6" s="58" t="str">
        <f t="shared" ref="O6:O29" si="1">IF(L6=0,"0",N6/L6)</f>
        <v>0</v>
      </c>
      <c r="P6" s="39" t="str">
        <f t="shared" ref="P6:P28" si="2">IF(L6=0,"0",(24-Q6))</f>
        <v>0</v>
      </c>
      <c r="Q6" s="40">
        <f t="shared" ref="Q6:Q28" si="3">SUM(R6:AA6)</f>
        <v>24</v>
      </c>
      <c r="R6" s="7"/>
      <c r="S6" s="6"/>
      <c r="T6" s="16"/>
      <c r="U6" s="16"/>
      <c r="V6" s="17"/>
      <c r="W6" s="5"/>
      <c r="X6" s="16"/>
      <c r="Y6" s="16"/>
      <c r="Z6" s="16"/>
      <c r="AA6" s="18">
        <v>24</v>
      </c>
      <c r="AB6" s="8">
        <f t="shared" ref="AB6:AB28" si="4">IF(J6=0,"0",(L6/J6))</f>
        <v>0</v>
      </c>
      <c r="AC6" s="9">
        <f t="shared" ref="AC6:AC28" si="5">IF(P6=0,"0",(P6/24))</f>
        <v>0</v>
      </c>
      <c r="AD6" s="10">
        <f>AC6*AB6*(1-O6)</f>
        <v>0</v>
      </c>
      <c r="AE6" s="36">
        <f t="shared" ref="AE6:AE28" si="6">$AD$29</f>
        <v>0.58333333333333337</v>
      </c>
      <c r="AF6" s="81">
        <f t="shared" ref="AF6:AF28" si="7">A6</f>
        <v>1</v>
      </c>
    </row>
    <row r="7" spans="1:32" ht="27" customHeight="1">
      <c r="A7" s="106">
        <v>2</v>
      </c>
      <c r="B7" s="11" t="s">
        <v>57</v>
      </c>
      <c r="C7" s="34" t="s">
        <v>461</v>
      </c>
      <c r="D7" s="52" t="s">
        <v>482</v>
      </c>
      <c r="E7" s="53" t="s">
        <v>483</v>
      </c>
      <c r="F7" s="30" t="s">
        <v>484</v>
      </c>
      <c r="G7" s="12">
        <v>3</v>
      </c>
      <c r="H7" s="13">
        <v>24</v>
      </c>
      <c r="I7" s="31">
        <v>40000</v>
      </c>
      <c r="J7" s="14">
        <v>20685</v>
      </c>
      <c r="K7" s="15">
        <f>L7+13566+19896+21264+21702</f>
        <v>97113</v>
      </c>
      <c r="L7" s="15">
        <f>3185*3+3710*3</f>
        <v>20685</v>
      </c>
      <c r="M7" s="15">
        <f t="shared" si="0"/>
        <v>20685</v>
      </c>
      <c r="N7" s="15">
        <v>0</v>
      </c>
      <c r="O7" s="58">
        <f t="shared" si="1"/>
        <v>0</v>
      </c>
      <c r="P7" s="39">
        <f t="shared" si="2"/>
        <v>24</v>
      </c>
      <c r="Q7" s="40">
        <f t="shared" si="3"/>
        <v>0</v>
      </c>
      <c r="R7" s="7"/>
      <c r="S7" s="6"/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1</v>
      </c>
      <c r="AD7" s="10">
        <f t="shared" ref="AD7:AD28" si="8">AC7*AB7*(1-O7)</f>
        <v>1</v>
      </c>
      <c r="AE7" s="36">
        <f t="shared" si="6"/>
        <v>0.58333333333333337</v>
      </c>
      <c r="AF7" s="81">
        <f t="shared" si="7"/>
        <v>2</v>
      </c>
    </row>
    <row r="8" spans="1:32" ht="27" customHeight="1">
      <c r="A8" s="92">
        <v>3</v>
      </c>
      <c r="B8" s="11" t="s">
        <v>57</v>
      </c>
      <c r="C8" s="34" t="s">
        <v>461</v>
      </c>
      <c r="D8" s="52" t="s">
        <v>644</v>
      </c>
      <c r="E8" s="53" t="s">
        <v>645</v>
      </c>
      <c r="F8" s="30" t="s">
        <v>646</v>
      </c>
      <c r="G8" s="12" t="s">
        <v>647</v>
      </c>
      <c r="H8" s="13">
        <v>22</v>
      </c>
      <c r="I8" s="31">
        <v>2000</v>
      </c>
      <c r="J8" s="5">
        <v>5665</v>
      </c>
      <c r="K8" s="15">
        <f>L8</f>
        <v>5665</v>
      </c>
      <c r="L8" s="15">
        <f>2339+3326</f>
        <v>5665</v>
      </c>
      <c r="M8" s="15">
        <f t="shared" si="0"/>
        <v>5665</v>
      </c>
      <c r="N8" s="15">
        <v>0</v>
      </c>
      <c r="O8" s="58">
        <f t="shared" si="1"/>
        <v>0</v>
      </c>
      <c r="P8" s="39">
        <f t="shared" si="2"/>
        <v>23</v>
      </c>
      <c r="Q8" s="40">
        <f t="shared" si="3"/>
        <v>1</v>
      </c>
      <c r="R8" s="7"/>
      <c r="S8" s="6"/>
      <c r="T8" s="16">
        <v>1</v>
      </c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0.95833333333333337</v>
      </c>
      <c r="AD8" s="10">
        <f t="shared" si="8"/>
        <v>0.95833333333333337</v>
      </c>
      <c r="AE8" s="36">
        <f t="shared" si="6"/>
        <v>0.58333333333333337</v>
      </c>
      <c r="AF8" s="81">
        <f t="shared" si="7"/>
        <v>3</v>
      </c>
    </row>
    <row r="9" spans="1:32" ht="27" customHeight="1">
      <c r="A9" s="92">
        <v>4</v>
      </c>
      <c r="B9" s="11" t="s">
        <v>57</v>
      </c>
      <c r="C9" s="34" t="s">
        <v>116</v>
      </c>
      <c r="D9" s="52" t="s">
        <v>284</v>
      </c>
      <c r="E9" s="53" t="s">
        <v>312</v>
      </c>
      <c r="F9" s="30" t="s">
        <v>323</v>
      </c>
      <c r="G9" s="12">
        <v>1</v>
      </c>
      <c r="H9" s="13">
        <v>24</v>
      </c>
      <c r="I9" s="7">
        <v>60000</v>
      </c>
      <c r="J9" s="14">
        <v>5070</v>
      </c>
      <c r="K9" s="15">
        <f>L9+3954+360+4890+6432+4873+5904+4751+4306</f>
        <v>40540</v>
      </c>
      <c r="L9" s="15">
        <f>3209+1861</f>
        <v>5070</v>
      </c>
      <c r="M9" s="15">
        <f t="shared" si="0"/>
        <v>5070</v>
      </c>
      <c r="N9" s="15">
        <v>0</v>
      </c>
      <c r="O9" s="58">
        <f t="shared" si="1"/>
        <v>0</v>
      </c>
      <c r="P9" s="39">
        <f t="shared" si="2"/>
        <v>23</v>
      </c>
      <c r="Q9" s="40">
        <f t="shared" si="3"/>
        <v>1</v>
      </c>
      <c r="R9" s="7"/>
      <c r="S9" s="6">
        <v>1</v>
      </c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0.95833333333333337</v>
      </c>
      <c r="AD9" s="10">
        <f t="shared" si="8"/>
        <v>0.95833333333333337</v>
      </c>
      <c r="AE9" s="36">
        <f t="shared" si="6"/>
        <v>0.58333333333333337</v>
      </c>
      <c r="AF9" s="81">
        <f t="shared" si="7"/>
        <v>4</v>
      </c>
    </row>
    <row r="10" spans="1:32" ht="27" customHeight="1">
      <c r="A10" s="92">
        <v>5</v>
      </c>
      <c r="B10" s="11" t="s">
        <v>57</v>
      </c>
      <c r="C10" s="11" t="s">
        <v>112</v>
      </c>
      <c r="D10" s="52" t="s">
        <v>121</v>
      </c>
      <c r="E10" s="53" t="s">
        <v>188</v>
      </c>
      <c r="F10" s="30" t="s">
        <v>124</v>
      </c>
      <c r="G10" s="33">
        <v>1</v>
      </c>
      <c r="H10" s="35">
        <v>24</v>
      </c>
      <c r="I10" s="7">
        <v>115000</v>
      </c>
      <c r="J10" s="14">
        <v>1739</v>
      </c>
      <c r="K10" s="15">
        <f>L10+5338+5669+5744+4980+3619+1932+309+2790+5660+4715+1739</f>
        <v>42495</v>
      </c>
      <c r="L10" s="15"/>
      <c r="M10" s="15">
        <f t="shared" si="0"/>
        <v>0</v>
      </c>
      <c r="N10" s="15">
        <v>0</v>
      </c>
      <c r="O10" s="58" t="str">
        <f t="shared" si="1"/>
        <v>0</v>
      </c>
      <c r="P10" s="39" t="str">
        <f t="shared" si="2"/>
        <v>0</v>
      </c>
      <c r="Q10" s="40">
        <f t="shared" si="3"/>
        <v>24</v>
      </c>
      <c r="R10" s="7"/>
      <c r="S10" s="6">
        <v>24</v>
      </c>
      <c r="T10" s="16"/>
      <c r="U10" s="16"/>
      <c r="V10" s="17"/>
      <c r="W10" s="5"/>
      <c r="X10" s="16"/>
      <c r="Y10" s="16"/>
      <c r="Z10" s="16"/>
      <c r="AA10" s="18"/>
      <c r="AB10" s="8">
        <f t="shared" si="4"/>
        <v>0</v>
      </c>
      <c r="AC10" s="9">
        <f t="shared" si="5"/>
        <v>0</v>
      </c>
      <c r="AD10" s="10">
        <f t="shared" si="8"/>
        <v>0</v>
      </c>
      <c r="AE10" s="36">
        <f t="shared" si="6"/>
        <v>0.58333333333333337</v>
      </c>
      <c r="AF10" s="81">
        <f t="shared" si="7"/>
        <v>5</v>
      </c>
    </row>
    <row r="11" spans="1:32" ht="27" customHeight="1">
      <c r="A11" s="92">
        <v>6</v>
      </c>
      <c r="B11" s="11" t="s">
        <v>57</v>
      </c>
      <c r="C11" s="11" t="s">
        <v>127</v>
      </c>
      <c r="D11" s="52" t="s">
        <v>572</v>
      </c>
      <c r="E11" s="53" t="s">
        <v>544</v>
      </c>
      <c r="F11" s="30" t="s">
        <v>124</v>
      </c>
      <c r="G11" s="33">
        <v>4</v>
      </c>
      <c r="H11" s="35">
        <v>24</v>
      </c>
      <c r="I11" s="7">
        <v>100000</v>
      </c>
      <c r="J11" s="14">
        <v>13952</v>
      </c>
      <c r="K11" s="15">
        <f>L11+117404+13952</f>
        <v>131356</v>
      </c>
      <c r="L11" s="15"/>
      <c r="M11" s="15">
        <f t="shared" si="0"/>
        <v>0</v>
      </c>
      <c r="N11" s="15">
        <v>0</v>
      </c>
      <c r="O11" s="58" t="str">
        <f t="shared" si="1"/>
        <v>0</v>
      </c>
      <c r="P11" s="39" t="str">
        <f t="shared" si="2"/>
        <v>0</v>
      </c>
      <c r="Q11" s="40">
        <f t="shared" si="3"/>
        <v>24</v>
      </c>
      <c r="R11" s="7"/>
      <c r="S11" s="6">
        <v>24</v>
      </c>
      <c r="T11" s="16"/>
      <c r="U11" s="16"/>
      <c r="V11" s="17"/>
      <c r="W11" s="5"/>
      <c r="X11" s="16"/>
      <c r="Y11" s="16"/>
      <c r="Z11" s="16"/>
      <c r="AA11" s="18"/>
      <c r="AB11" s="8">
        <f t="shared" si="4"/>
        <v>0</v>
      </c>
      <c r="AC11" s="9">
        <f t="shared" si="5"/>
        <v>0</v>
      </c>
      <c r="AD11" s="10">
        <f t="shared" si="8"/>
        <v>0</v>
      </c>
      <c r="AE11" s="36">
        <f t="shared" si="6"/>
        <v>0.58333333333333337</v>
      </c>
      <c r="AF11" s="81">
        <f t="shared" si="7"/>
        <v>6</v>
      </c>
    </row>
    <row r="12" spans="1:32" ht="27" customHeight="1">
      <c r="A12" s="92">
        <v>7</v>
      </c>
      <c r="B12" s="11" t="s">
        <v>57</v>
      </c>
      <c r="C12" s="34" t="s">
        <v>112</v>
      </c>
      <c r="D12" s="52" t="s">
        <v>147</v>
      </c>
      <c r="E12" s="53" t="s">
        <v>547</v>
      </c>
      <c r="F12" s="30" t="s">
        <v>286</v>
      </c>
      <c r="G12" s="12">
        <v>1</v>
      </c>
      <c r="H12" s="13">
        <v>22</v>
      </c>
      <c r="I12" s="31">
        <v>40000</v>
      </c>
      <c r="J12" s="5">
        <v>2676</v>
      </c>
      <c r="K12" s="15">
        <f>L12+4452+3191</f>
        <v>10319</v>
      </c>
      <c r="L12" s="15">
        <f>973+1703</f>
        <v>2676</v>
      </c>
      <c r="M12" s="15">
        <f t="shared" si="0"/>
        <v>2676</v>
      </c>
      <c r="N12" s="15">
        <v>0</v>
      </c>
      <c r="O12" s="58">
        <f t="shared" si="1"/>
        <v>0</v>
      </c>
      <c r="P12" s="39">
        <f t="shared" si="2"/>
        <v>17</v>
      </c>
      <c r="Q12" s="40">
        <f t="shared" si="3"/>
        <v>7</v>
      </c>
      <c r="R12" s="7"/>
      <c r="S12" s="6">
        <v>7</v>
      </c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0.70833333333333337</v>
      </c>
      <c r="AD12" s="10">
        <f t="shared" si="8"/>
        <v>0.70833333333333337</v>
      </c>
      <c r="AE12" s="36">
        <f t="shared" si="6"/>
        <v>0.58333333333333337</v>
      </c>
      <c r="AF12" s="81">
        <f t="shared" si="7"/>
        <v>7</v>
      </c>
    </row>
    <row r="13" spans="1:32" ht="27" customHeight="1">
      <c r="A13" s="92">
        <v>8</v>
      </c>
      <c r="B13" s="11" t="s">
        <v>57</v>
      </c>
      <c r="C13" s="11" t="s">
        <v>127</v>
      </c>
      <c r="D13" s="52" t="s">
        <v>158</v>
      </c>
      <c r="E13" s="53" t="s">
        <v>180</v>
      </c>
      <c r="F13" s="30" t="s">
        <v>123</v>
      </c>
      <c r="G13" s="33">
        <v>1</v>
      </c>
      <c r="H13" s="35">
        <v>22</v>
      </c>
      <c r="I13" s="7">
        <v>17400</v>
      </c>
      <c r="J13" s="14">
        <v>4440</v>
      </c>
      <c r="K13" s="15">
        <f>L13+3357</f>
        <v>7797</v>
      </c>
      <c r="L13" s="15">
        <f>2047+2393</f>
        <v>4440</v>
      </c>
      <c r="M13" s="15">
        <f t="shared" si="0"/>
        <v>4440</v>
      </c>
      <c r="N13" s="15">
        <v>0</v>
      </c>
      <c r="O13" s="58">
        <f t="shared" si="1"/>
        <v>0</v>
      </c>
      <c r="P13" s="39">
        <f t="shared" si="2"/>
        <v>24</v>
      </c>
      <c r="Q13" s="40">
        <f t="shared" si="3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1</v>
      </c>
      <c r="AD13" s="10">
        <f t="shared" si="8"/>
        <v>1</v>
      </c>
      <c r="AE13" s="36">
        <f t="shared" si="6"/>
        <v>0.58333333333333337</v>
      </c>
      <c r="AF13" s="81">
        <f t="shared" si="7"/>
        <v>8</v>
      </c>
    </row>
    <row r="14" spans="1:32" ht="27" customHeight="1">
      <c r="A14" s="99">
        <v>9</v>
      </c>
      <c r="B14" s="11" t="s">
        <v>57</v>
      </c>
      <c r="C14" s="34" t="s">
        <v>112</v>
      </c>
      <c r="D14" s="52" t="s">
        <v>115</v>
      </c>
      <c r="E14" s="53" t="s">
        <v>165</v>
      </c>
      <c r="F14" s="30" t="s">
        <v>167</v>
      </c>
      <c r="G14" s="33">
        <v>1</v>
      </c>
      <c r="H14" s="35">
        <v>50</v>
      </c>
      <c r="I14" s="7">
        <v>300</v>
      </c>
      <c r="J14" s="5">
        <v>391</v>
      </c>
      <c r="K14" s="15">
        <f>L14+300</f>
        <v>300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/>
      <c r="T14" s="16"/>
      <c r="U14" s="16"/>
      <c r="V14" s="17"/>
      <c r="W14" s="5"/>
      <c r="X14" s="16"/>
      <c r="Y14" s="16"/>
      <c r="Z14" s="16"/>
      <c r="AA14" s="18">
        <v>24</v>
      </c>
      <c r="AB14" s="8">
        <f t="shared" si="4"/>
        <v>0</v>
      </c>
      <c r="AC14" s="9">
        <f t="shared" si="5"/>
        <v>0</v>
      </c>
      <c r="AD14" s="10">
        <f t="shared" si="8"/>
        <v>0</v>
      </c>
      <c r="AE14" s="36">
        <f t="shared" si="6"/>
        <v>0.58333333333333337</v>
      </c>
      <c r="AF14" s="81">
        <f t="shared" si="7"/>
        <v>9</v>
      </c>
    </row>
    <row r="15" spans="1:32" ht="27" customHeight="1">
      <c r="A15" s="106">
        <v>10</v>
      </c>
      <c r="B15" s="11" t="s">
        <v>57</v>
      </c>
      <c r="C15" s="34" t="s">
        <v>112</v>
      </c>
      <c r="D15" s="52" t="s">
        <v>140</v>
      </c>
      <c r="E15" s="53" t="s">
        <v>149</v>
      </c>
      <c r="F15" s="30" t="s">
        <v>139</v>
      </c>
      <c r="G15" s="12">
        <v>1</v>
      </c>
      <c r="H15" s="13">
        <v>24</v>
      </c>
      <c r="I15" s="31">
        <v>190000</v>
      </c>
      <c r="J15" s="14">
        <v>10578</v>
      </c>
      <c r="K15" s="15">
        <f>L15+8898+11520+11558+11486+11566+10872+10958+11534+11518+11230+7112+9722+10964+11352+11534+11138+5920</f>
        <v>189460</v>
      </c>
      <c r="L15" s="15">
        <f>2819*2+2470*2</f>
        <v>10578</v>
      </c>
      <c r="M15" s="15">
        <f t="shared" si="0"/>
        <v>10578</v>
      </c>
      <c r="N15" s="15">
        <v>0</v>
      </c>
      <c r="O15" s="58">
        <f t="shared" si="1"/>
        <v>0</v>
      </c>
      <c r="P15" s="39">
        <f t="shared" si="2"/>
        <v>24</v>
      </c>
      <c r="Q15" s="40">
        <f t="shared" si="3"/>
        <v>0</v>
      </c>
      <c r="R15" s="7"/>
      <c r="S15" s="6"/>
      <c r="T15" s="16"/>
      <c r="U15" s="16"/>
      <c r="V15" s="17"/>
      <c r="W15" s="5"/>
      <c r="X15" s="16"/>
      <c r="Y15" s="16"/>
      <c r="Z15" s="16"/>
      <c r="AA15" s="18"/>
      <c r="AB15" s="8">
        <f t="shared" si="4"/>
        <v>1</v>
      </c>
      <c r="AC15" s="9">
        <f t="shared" si="5"/>
        <v>1</v>
      </c>
      <c r="AD15" s="10">
        <f t="shared" si="8"/>
        <v>1</v>
      </c>
      <c r="AE15" s="36">
        <f t="shared" si="6"/>
        <v>0.58333333333333337</v>
      </c>
      <c r="AF15" s="81">
        <f t="shared" si="7"/>
        <v>10</v>
      </c>
    </row>
    <row r="16" spans="1:32" ht="27" customHeight="1">
      <c r="A16" s="92">
        <v>11</v>
      </c>
      <c r="B16" s="11" t="s">
        <v>57</v>
      </c>
      <c r="C16" s="34" t="s">
        <v>116</v>
      </c>
      <c r="D16" s="52" t="s">
        <v>129</v>
      </c>
      <c r="E16" s="53" t="s">
        <v>178</v>
      </c>
      <c r="F16" s="30" t="s">
        <v>124</v>
      </c>
      <c r="G16" s="12">
        <v>1</v>
      </c>
      <c r="H16" s="13">
        <v>22</v>
      </c>
      <c r="I16" s="31">
        <v>90000</v>
      </c>
      <c r="J16" s="5">
        <v>5992</v>
      </c>
      <c r="K16" s="15">
        <f>L16+8120+11780+9608+2367+4983+6240+3068+8262</f>
        <v>60420</v>
      </c>
      <c r="L16" s="15">
        <f>2917+3075</f>
        <v>5992</v>
      </c>
      <c r="M16" s="15">
        <f t="shared" si="0"/>
        <v>5992</v>
      </c>
      <c r="N16" s="15">
        <v>0</v>
      </c>
      <c r="O16" s="58">
        <f t="shared" si="1"/>
        <v>0</v>
      </c>
      <c r="P16" s="39">
        <f t="shared" si="2"/>
        <v>24</v>
      </c>
      <c r="Q16" s="40">
        <f t="shared" si="3"/>
        <v>0</v>
      </c>
      <c r="R16" s="7"/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1</v>
      </c>
      <c r="AD16" s="10">
        <f t="shared" si="8"/>
        <v>1</v>
      </c>
      <c r="AE16" s="36">
        <f t="shared" si="6"/>
        <v>0.58333333333333337</v>
      </c>
      <c r="AF16" s="81">
        <f t="shared" si="7"/>
        <v>11</v>
      </c>
    </row>
    <row r="17" spans="1:32" ht="27" customHeight="1">
      <c r="A17" s="106">
        <v>12</v>
      </c>
      <c r="B17" s="11" t="s">
        <v>57</v>
      </c>
      <c r="C17" s="34" t="s">
        <v>127</v>
      </c>
      <c r="D17" s="52" t="s">
        <v>129</v>
      </c>
      <c r="E17" s="53" t="s">
        <v>599</v>
      </c>
      <c r="F17" s="30" t="s">
        <v>625</v>
      </c>
      <c r="G17" s="12">
        <v>3</v>
      </c>
      <c r="H17" s="13">
        <v>24</v>
      </c>
      <c r="I17" s="7">
        <v>85000</v>
      </c>
      <c r="J17" s="14">
        <v>18096</v>
      </c>
      <c r="K17" s="15">
        <f>L17+13281</f>
        <v>31377</v>
      </c>
      <c r="L17" s="15">
        <f>2971*3+3061*3</f>
        <v>18096</v>
      </c>
      <c r="M17" s="15">
        <f t="shared" si="0"/>
        <v>18096</v>
      </c>
      <c r="N17" s="15">
        <v>0</v>
      </c>
      <c r="O17" s="58">
        <f t="shared" si="1"/>
        <v>0</v>
      </c>
      <c r="P17" s="39">
        <f t="shared" si="2"/>
        <v>24</v>
      </c>
      <c r="Q17" s="40">
        <f t="shared" si="3"/>
        <v>0</v>
      </c>
      <c r="R17" s="7"/>
      <c r="S17" s="6"/>
      <c r="T17" s="16"/>
      <c r="U17" s="16"/>
      <c r="V17" s="17"/>
      <c r="W17" s="5"/>
      <c r="X17" s="16"/>
      <c r="Y17" s="16"/>
      <c r="Z17" s="16"/>
      <c r="AA17" s="18"/>
      <c r="AB17" s="8">
        <f t="shared" si="4"/>
        <v>1</v>
      </c>
      <c r="AC17" s="9">
        <f t="shared" si="5"/>
        <v>1</v>
      </c>
      <c r="AD17" s="10">
        <f t="shared" si="8"/>
        <v>1</v>
      </c>
      <c r="AE17" s="36">
        <f t="shared" si="6"/>
        <v>0.58333333333333337</v>
      </c>
      <c r="AF17" s="81">
        <f t="shared" si="7"/>
        <v>12</v>
      </c>
    </row>
    <row r="18" spans="1:32" ht="27" customHeight="1">
      <c r="A18" s="92">
        <v>13</v>
      </c>
      <c r="B18" s="11" t="s">
        <v>57</v>
      </c>
      <c r="C18" s="34" t="s">
        <v>127</v>
      </c>
      <c r="D18" s="52" t="s">
        <v>271</v>
      </c>
      <c r="E18" s="53" t="s">
        <v>270</v>
      </c>
      <c r="F18" s="30" t="s">
        <v>156</v>
      </c>
      <c r="G18" s="12">
        <v>1</v>
      </c>
      <c r="H18" s="13">
        <v>22</v>
      </c>
      <c r="I18" s="31">
        <v>1000</v>
      </c>
      <c r="J18" s="5">
        <v>1068</v>
      </c>
      <c r="K18" s="15">
        <f>L18</f>
        <v>1068</v>
      </c>
      <c r="L18" s="15">
        <v>1068</v>
      </c>
      <c r="M18" s="15">
        <f t="shared" si="0"/>
        <v>1068</v>
      </c>
      <c r="N18" s="15">
        <v>0</v>
      </c>
      <c r="O18" s="58">
        <f t="shared" si="1"/>
        <v>0</v>
      </c>
      <c r="P18" s="39">
        <f t="shared" si="2"/>
        <v>5</v>
      </c>
      <c r="Q18" s="40">
        <f t="shared" si="3"/>
        <v>19</v>
      </c>
      <c r="R18" s="7"/>
      <c r="S18" s="6"/>
      <c r="T18" s="16"/>
      <c r="U18" s="16"/>
      <c r="V18" s="17"/>
      <c r="W18" s="5">
        <v>19</v>
      </c>
      <c r="X18" s="16"/>
      <c r="Y18" s="16"/>
      <c r="Z18" s="16"/>
      <c r="AA18" s="18"/>
      <c r="AB18" s="8">
        <f t="shared" si="4"/>
        <v>1</v>
      </c>
      <c r="AC18" s="9">
        <f t="shared" si="5"/>
        <v>0.20833333333333334</v>
      </c>
      <c r="AD18" s="10">
        <f t="shared" si="8"/>
        <v>0.20833333333333334</v>
      </c>
      <c r="AE18" s="36">
        <f t="shared" si="6"/>
        <v>0.58333333333333337</v>
      </c>
      <c r="AF18" s="81">
        <f t="shared" si="7"/>
        <v>13</v>
      </c>
    </row>
    <row r="19" spans="1:32" ht="27" customHeight="1">
      <c r="A19" s="92">
        <v>13</v>
      </c>
      <c r="B19" s="11" t="s">
        <v>57</v>
      </c>
      <c r="C19" s="34" t="s">
        <v>127</v>
      </c>
      <c r="D19" s="52" t="s">
        <v>648</v>
      </c>
      <c r="E19" s="53" t="s">
        <v>649</v>
      </c>
      <c r="F19" s="30" t="s">
        <v>156</v>
      </c>
      <c r="G19" s="12" t="s">
        <v>647</v>
      </c>
      <c r="H19" s="13">
        <v>22</v>
      </c>
      <c r="I19" s="31">
        <v>1000</v>
      </c>
      <c r="J19" s="5">
        <v>1250</v>
      </c>
      <c r="K19" s="15">
        <f>L19</f>
        <v>1250</v>
      </c>
      <c r="L19" s="15">
        <f>1250</f>
        <v>1250</v>
      </c>
      <c r="M19" s="15">
        <f t="shared" si="0"/>
        <v>1250</v>
      </c>
      <c r="N19" s="15">
        <v>0</v>
      </c>
      <c r="O19" s="58">
        <f t="shared" si="1"/>
        <v>0</v>
      </c>
      <c r="P19" s="39">
        <f t="shared" si="2"/>
        <v>7</v>
      </c>
      <c r="Q19" s="40">
        <f t="shared" si="3"/>
        <v>17</v>
      </c>
      <c r="R19" s="7"/>
      <c r="S19" s="6"/>
      <c r="T19" s="16"/>
      <c r="U19" s="16"/>
      <c r="V19" s="17"/>
      <c r="W19" s="5">
        <v>17</v>
      </c>
      <c r="X19" s="16"/>
      <c r="Y19" s="16"/>
      <c r="Z19" s="16"/>
      <c r="AA19" s="18"/>
      <c r="AB19" s="8">
        <f t="shared" si="4"/>
        <v>1</v>
      </c>
      <c r="AC19" s="9">
        <f t="shared" si="5"/>
        <v>0.29166666666666669</v>
      </c>
      <c r="AD19" s="10">
        <f t="shared" si="8"/>
        <v>0.29166666666666669</v>
      </c>
      <c r="AE19" s="36">
        <f t="shared" si="6"/>
        <v>0.58333333333333337</v>
      </c>
      <c r="AF19" s="81">
        <f t="shared" si="7"/>
        <v>13</v>
      </c>
    </row>
    <row r="20" spans="1:32" ht="27" customHeight="1">
      <c r="A20" s="92">
        <v>14</v>
      </c>
      <c r="B20" s="11" t="s">
        <v>57</v>
      </c>
      <c r="C20" s="11" t="s">
        <v>461</v>
      </c>
      <c r="D20" s="52" t="s">
        <v>577</v>
      </c>
      <c r="E20" s="53" t="s">
        <v>578</v>
      </c>
      <c r="F20" s="30" t="s">
        <v>579</v>
      </c>
      <c r="G20" s="33">
        <v>3</v>
      </c>
      <c r="H20" s="35">
        <v>24</v>
      </c>
      <c r="I20" s="7">
        <v>20000</v>
      </c>
      <c r="J20" s="14">
        <v>23730</v>
      </c>
      <c r="K20" s="15">
        <f>L20+12764+18085</f>
        <v>54579</v>
      </c>
      <c r="L20" s="15">
        <f>3929*3+3981*3</f>
        <v>23730</v>
      </c>
      <c r="M20" s="15">
        <f t="shared" si="0"/>
        <v>23730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si="8"/>
        <v>1</v>
      </c>
      <c r="AE20" s="36">
        <f t="shared" si="6"/>
        <v>0.58333333333333337</v>
      </c>
      <c r="AF20" s="81">
        <f t="shared" si="7"/>
        <v>14</v>
      </c>
    </row>
    <row r="21" spans="1:32" ht="27" customHeight="1">
      <c r="A21" s="106">
        <v>15</v>
      </c>
      <c r="B21" s="11" t="s">
        <v>57</v>
      </c>
      <c r="C21" s="11" t="s">
        <v>112</v>
      </c>
      <c r="D21" s="52" t="s">
        <v>115</v>
      </c>
      <c r="E21" s="53" t="s">
        <v>148</v>
      </c>
      <c r="F21" s="30" t="s">
        <v>138</v>
      </c>
      <c r="G21" s="33">
        <v>2</v>
      </c>
      <c r="H21" s="35">
        <v>24</v>
      </c>
      <c r="I21" s="7">
        <v>190000</v>
      </c>
      <c r="J21" s="14">
        <v>8542</v>
      </c>
      <c r="K21" s="15">
        <f>L21+2429+7472+8688+7444+11036+10988+11010+10896+8170+1188+8544+8600+10428+2136+6276+9709</f>
        <v>133556</v>
      </c>
      <c r="L21" s="15">
        <f>2761*2+1510*2</f>
        <v>8542</v>
      </c>
      <c r="M21" s="15">
        <f t="shared" si="0"/>
        <v>8542</v>
      </c>
      <c r="N21" s="15">
        <v>0</v>
      </c>
      <c r="O21" s="58">
        <f t="shared" si="1"/>
        <v>0</v>
      </c>
      <c r="P21" s="39">
        <f t="shared" si="2"/>
        <v>21</v>
      </c>
      <c r="Q21" s="40">
        <f t="shared" si="3"/>
        <v>3</v>
      </c>
      <c r="R21" s="7"/>
      <c r="S21" s="6">
        <v>3</v>
      </c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0.875</v>
      </c>
      <c r="AD21" s="10">
        <f t="shared" si="8"/>
        <v>0.875</v>
      </c>
      <c r="AE21" s="36">
        <f t="shared" si="6"/>
        <v>0.58333333333333337</v>
      </c>
      <c r="AF21" s="81">
        <f t="shared" si="7"/>
        <v>15</v>
      </c>
    </row>
    <row r="22" spans="1:32" ht="26.25" customHeight="1">
      <c r="A22" s="92">
        <v>16</v>
      </c>
      <c r="B22" s="11" t="s">
        <v>57</v>
      </c>
      <c r="C22" s="11" t="s">
        <v>113</v>
      </c>
      <c r="D22" s="52"/>
      <c r="E22" s="53" t="s">
        <v>160</v>
      </c>
      <c r="F22" s="12" t="s">
        <v>114</v>
      </c>
      <c r="G22" s="12">
        <v>4</v>
      </c>
      <c r="H22" s="35">
        <v>20</v>
      </c>
      <c r="I22" s="7">
        <v>2000000</v>
      </c>
      <c r="J22" s="14">
        <v>64084</v>
      </c>
      <c r="K22" s="15">
        <f>L22+29876+62940+54476+54396+57856+63452+64136+60836+58660+62760+62928</f>
        <v>696400</v>
      </c>
      <c r="L22" s="15">
        <f>7920*4+8101*4</f>
        <v>64084</v>
      </c>
      <c r="M22" s="15">
        <f t="shared" si="0"/>
        <v>64084</v>
      </c>
      <c r="N22" s="15">
        <v>0</v>
      </c>
      <c r="O22" s="58">
        <f t="shared" si="1"/>
        <v>0</v>
      </c>
      <c r="P22" s="39">
        <f t="shared" si="2"/>
        <v>24</v>
      </c>
      <c r="Q22" s="40">
        <f t="shared" si="3"/>
        <v>0</v>
      </c>
      <c r="R22" s="7"/>
      <c r="S22" s="6"/>
      <c r="T22" s="16"/>
      <c r="U22" s="16"/>
      <c r="V22" s="17"/>
      <c r="W22" s="5"/>
      <c r="X22" s="16"/>
      <c r="Y22" s="16"/>
      <c r="Z22" s="16"/>
      <c r="AA22" s="18"/>
      <c r="AB22" s="8">
        <f t="shared" si="4"/>
        <v>1</v>
      </c>
      <c r="AC22" s="9">
        <f t="shared" si="5"/>
        <v>1</v>
      </c>
      <c r="AD22" s="10">
        <f t="shared" si="8"/>
        <v>1</v>
      </c>
      <c r="AE22" s="36">
        <f t="shared" si="6"/>
        <v>0.58333333333333337</v>
      </c>
      <c r="AF22" s="81">
        <f t="shared" si="7"/>
        <v>16</v>
      </c>
    </row>
    <row r="23" spans="1:32" ht="21.75" customHeight="1">
      <c r="A23" s="92">
        <v>31</v>
      </c>
      <c r="B23" s="11" t="s">
        <v>57</v>
      </c>
      <c r="C23" s="11" t="s">
        <v>116</v>
      </c>
      <c r="D23" s="52" t="s">
        <v>115</v>
      </c>
      <c r="E23" s="53" t="s">
        <v>174</v>
      </c>
      <c r="F23" s="12" t="s">
        <v>138</v>
      </c>
      <c r="G23" s="12">
        <v>4</v>
      </c>
      <c r="H23" s="35">
        <v>20</v>
      </c>
      <c r="I23" s="7">
        <v>50000</v>
      </c>
      <c r="J23" s="14">
        <v>13424</v>
      </c>
      <c r="K23" s="15">
        <f>L23</f>
        <v>13424</v>
      </c>
      <c r="L23" s="15">
        <f>3356*4</f>
        <v>13424</v>
      </c>
      <c r="M23" s="15">
        <f t="shared" si="0"/>
        <v>13424</v>
      </c>
      <c r="N23" s="15">
        <v>0</v>
      </c>
      <c r="O23" s="58">
        <f t="shared" si="1"/>
        <v>0</v>
      </c>
      <c r="P23" s="39">
        <f t="shared" si="2"/>
        <v>14</v>
      </c>
      <c r="Q23" s="40">
        <f t="shared" si="3"/>
        <v>10</v>
      </c>
      <c r="R23" s="7"/>
      <c r="S23" s="6"/>
      <c r="T23" s="16">
        <v>10</v>
      </c>
      <c r="U23" s="16"/>
      <c r="V23" s="17"/>
      <c r="W23" s="5"/>
      <c r="X23" s="16"/>
      <c r="Y23" s="16"/>
      <c r="Z23" s="16"/>
      <c r="AA23" s="18"/>
      <c r="AB23" s="8">
        <f t="shared" si="4"/>
        <v>1</v>
      </c>
      <c r="AC23" s="9">
        <f t="shared" si="5"/>
        <v>0.58333333333333337</v>
      </c>
      <c r="AD23" s="10">
        <f t="shared" si="8"/>
        <v>0.58333333333333337</v>
      </c>
      <c r="AE23" s="36">
        <f t="shared" si="6"/>
        <v>0.58333333333333337</v>
      </c>
      <c r="AF23" s="81">
        <f t="shared" si="7"/>
        <v>31</v>
      </c>
    </row>
    <row r="24" spans="1:32" ht="21.75" customHeight="1">
      <c r="A24" s="92">
        <v>32</v>
      </c>
      <c r="B24" s="11" t="s">
        <v>57</v>
      </c>
      <c r="C24" s="11"/>
      <c r="D24" s="52"/>
      <c r="E24" s="53"/>
      <c r="F24" s="12"/>
      <c r="G24" s="12"/>
      <c r="H24" s="35">
        <v>20</v>
      </c>
      <c r="I24" s="7"/>
      <c r="J24" s="14">
        <v>0</v>
      </c>
      <c r="K24" s="15">
        <f t="shared" ref="K24" si="9">L24</f>
        <v>0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7"/>
      <c r="W24" s="5">
        <v>24</v>
      </c>
      <c r="X24" s="16"/>
      <c r="Y24" s="16"/>
      <c r="Z24" s="16"/>
      <c r="AA24" s="18"/>
      <c r="AB24" s="8" t="str">
        <f t="shared" si="4"/>
        <v>0</v>
      </c>
      <c r="AC24" s="9">
        <f t="shared" si="5"/>
        <v>0</v>
      </c>
      <c r="AD24" s="10">
        <f t="shared" si="8"/>
        <v>0</v>
      </c>
      <c r="AE24" s="36">
        <f t="shared" si="6"/>
        <v>0.58333333333333337</v>
      </c>
      <c r="AF24" s="81">
        <f t="shared" si="7"/>
        <v>32</v>
      </c>
    </row>
    <row r="25" spans="1:32" ht="21.75" customHeight="1">
      <c r="A25" s="92">
        <v>33</v>
      </c>
      <c r="B25" s="11" t="s">
        <v>57</v>
      </c>
      <c r="C25" s="11" t="s">
        <v>116</v>
      </c>
      <c r="D25" s="52" t="s">
        <v>147</v>
      </c>
      <c r="E25" s="53" t="s">
        <v>183</v>
      </c>
      <c r="F25" s="12" t="s">
        <v>124</v>
      </c>
      <c r="G25" s="12">
        <v>4</v>
      </c>
      <c r="H25" s="35">
        <v>20</v>
      </c>
      <c r="I25" s="7">
        <v>50000</v>
      </c>
      <c r="J25" s="14">
        <v>16720</v>
      </c>
      <c r="K25" s="15">
        <f>L25</f>
        <v>16720</v>
      </c>
      <c r="L25" s="15">
        <f>4180*4</f>
        <v>16720</v>
      </c>
      <c r="M25" s="15">
        <f t="shared" si="0"/>
        <v>16720</v>
      </c>
      <c r="N25" s="15">
        <v>0</v>
      </c>
      <c r="O25" s="58">
        <f t="shared" si="1"/>
        <v>0</v>
      </c>
      <c r="P25" s="39">
        <f t="shared" si="2"/>
        <v>15</v>
      </c>
      <c r="Q25" s="40">
        <f t="shared" si="3"/>
        <v>9</v>
      </c>
      <c r="R25" s="7"/>
      <c r="S25" s="6"/>
      <c r="T25" s="16">
        <v>9</v>
      </c>
      <c r="U25" s="16"/>
      <c r="V25" s="114"/>
      <c r="W25" s="5"/>
      <c r="X25" s="16"/>
      <c r="Y25" s="16"/>
      <c r="Z25" s="16"/>
      <c r="AA25" s="18"/>
      <c r="AB25" s="8">
        <f t="shared" si="4"/>
        <v>1</v>
      </c>
      <c r="AC25" s="9">
        <f t="shared" si="5"/>
        <v>0.625</v>
      </c>
      <c r="AD25" s="10">
        <f t="shared" si="8"/>
        <v>0.625</v>
      </c>
      <c r="AE25" s="36">
        <f t="shared" si="6"/>
        <v>0.58333333333333337</v>
      </c>
      <c r="AF25" s="81">
        <f t="shared" si="7"/>
        <v>33</v>
      </c>
    </row>
    <row r="26" spans="1:32" ht="21.75" customHeight="1">
      <c r="A26" s="92">
        <v>34</v>
      </c>
      <c r="B26" s="11" t="s">
        <v>57</v>
      </c>
      <c r="C26" s="11" t="s">
        <v>116</v>
      </c>
      <c r="D26" s="52" t="s">
        <v>129</v>
      </c>
      <c r="E26" s="53" t="s">
        <v>172</v>
      </c>
      <c r="F26" s="12" t="s">
        <v>125</v>
      </c>
      <c r="G26" s="12">
        <v>4</v>
      </c>
      <c r="H26" s="35">
        <v>20</v>
      </c>
      <c r="I26" s="7">
        <v>50000</v>
      </c>
      <c r="J26" s="14">
        <v>15172</v>
      </c>
      <c r="K26" s="15">
        <f>L26</f>
        <v>15172</v>
      </c>
      <c r="L26" s="15">
        <f>3793*4</f>
        <v>15172</v>
      </c>
      <c r="M26" s="15">
        <f t="shared" si="0"/>
        <v>15172</v>
      </c>
      <c r="N26" s="15">
        <v>0</v>
      </c>
      <c r="O26" s="58">
        <f t="shared" si="1"/>
        <v>0</v>
      </c>
      <c r="P26" s="39">
        <f t="shared" si="2"/>
        <v>14</v>
      </c>
      <c r="Q26" s="40">
        <f t="shared" si="3"/>
        <v>10</v>
      </c>
      <c r="R26" s="7"/>
      <c r="S26" s="6"/>
      <c r="T26" s="16">
        <v>10</v>
      </c>
      <c r="U26" s="16"/>
      <c r="V26" s="114"/>
      <c r="W26" s="5"/>
      <c r="X26" s="16"/>
      <c r="Y26" s="16"/>
      <c r="Z26" s="16"/>
      <c r="AA26" s="18"/>
      <c r="AB26" s="8">
        <f t="shared" si="4"/>
        <v>1</v>
      </c>
      <c r="AC26" s="9">
        <f t="shared" si="5"/>
        <v>0.58333333333333337</v>
      </c>
      <c r="AD26" s="10">
        <f t="shared" si="8"/>
        <v>0.58333333333333337</v>
      </c>
      <c r="AE26" s="36">
        <f t="shared" si="6"/>
        <v>0.58333333333333337</v>
      </c>
      <c r="AF26" s="81">
        <f t="shared" si="7"/>
        <v>34</v>
      </c>
    </row>
    <row r="27" spans="1:32" ht="21.75" customHeight="1">
      <c r="A27" s="92">
        <v>35</v>
      </c>
      <c r="B27" s="11" t="s">
        <v>57</v>
      </c>
      <c r="C27" s="11" t="s">
        <v>116</v>
      </c>
      <c r="D27" s="52" t="s">
        <v>121</v>
      </c>
      <c r="E27" s="53" t="s">
        <v>126</v>
      </c>
      <c r="F27" s="12" t="s">
        <v>125</v>
      </c>
      <c r="G27" s="12">
        <v>4</v>
      </c>
      <c r="H27" s="35">
        <v>20</v>
      </c>
      <c r="I27" s="7">
        <v>50000</v>
      </c>
      <c r="J27" s="14">
        <v>26944</v>
      </c>
      <c r="K27" s="15">
        <f>L27+24592+26944+21716</f>
        <v>73252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24</v>
      </c>
      <c r="R27" s="7"/>
      <c r="S27" s="6"/>
      <c r="T27" s="16"/>
      <c r="U27" s="16"/>
      <c r="V27" s="114"/>
      <c r="W27" s="5">
        <v>24</v>
      </c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8"/>
        <v>0</v>
      </c>
      <c r="AE27" s="36">
        <f t="shared" si="6"/>
        <v>0.58333333333333337</v>
      </c>
      <c r="AF27" s="81">
        <f t="shared" si="7"/>
        <v>35</v>
      </c>
    </row>
    <row r="28" spans="1:32" ht="21.75" customHeight="1" thickBot="1">
      <c r="A28" s="92">
        <v>36</v>
      </c>
      <c r="B28" s="11" t="s">
        <v>57</v>
      </c>
      <c r="C28" s="11" t="s">
        <v>113</v>
      </c>
      <c r="D28" s="52"/>
      <c r="E28" s="53" t="s">
        <v>182</v>
      </c>
      <c r="F28" s="12" t="s">
        <v>114</v>
      </c>
      <c r="G28" s="12">
        <v>4</v>
      </c>
      <c r="H28" s="35">
        <v>20</v>
      </c>
      <c r="I28" s="7">
        <v>1000000</v>
      </c>
      <c r="J28" s="14">
        <v>47688</v>
      </c>
      <c r="K28" s="15">
        <f>L28+28388+70816+76368+81764+83428</f>
        <v>388452</v>
      </c>
      <c r="L28" s="15">
        <f>10850*4+1072*4</f>
        <v>47688</v>
      </c>
      <c r="M28" s="15">
        <f t="shared" si="0"/>
        <v>47688</v>
      </c>
      <c r="N28" s="15">
        <v>0</v>
      </c>
      <c r="O28" s="58">
        <f t="shared" si="1"/>
        <v>0</v>
      </c>
      <c r="P28" s="39">
        <f t="shared" si="2"/>
        <v>15</v>
      </c>
      <c r="Q28" s="40">
        <f t="shared" si="3"/>
        <v>9</v>
      </c>
      <c r="R28" s="7"/>
      <c r="S28" s="6"/>
      <c r="T28" s="16"/>
      <c r="U28" s="16"/>
      <c r="V28" s="114"/>
      <c r="W28" s="5">
        <v>9</v>
      </c>
      <c r="X28" s="16"/>
      <c r="Y28" s="16"/>
      <c r="Z28" s="16"/>
      <c r="AA28" s="18"/>
      <c r="AB28" s="8">
        <f t="shared" si="4"/>
        <v>1</v>
      </c>
      <c r="AC28" s="9">
        <f t="shared" si="5"/>
        <v>0.625</v>
      </c>
      <c r="AD28" s="10">
        <f t="shared" si="8"/>
        <v>0.625</v>
      </c>
      <c r="AE28" s="36">
        <f t="shared" si="6"/>
        <v>0.58333333333333337</v>
      </c>
      <c r="AF28" s="81">
        <f t="shared" si="7"/>
        <v>36</v>
      </c>
    </row>
    <row r="29" spans="1:32" ht="19.5" thickBot="1">
      <c r="A29" s="435" t="s">
        <v>34</v>
      </c>
      <c r="B29" s="436"/>
      <c r="C29" s="436"/>
      <c r="D29" s="436"/>
      <c r="E29" s="436"/>
      <c r="F29" s="436"/>
      <c r="G29" s="436"/>
      <c r="H29" s="437"/>
      <c r="I29" s="22">
        <f t="shared" ref="I29:N29" si="10">SUM(I6:I28)</f>
        <v>4156700</v>
      </c>
      <c r="J29" s="19">
        <f t="shared" si="10"/>
        <v>313308</v>
      </c>
      <c r="K29" s="20">
        <f t="shared" si="10"/>
        <v>2016117</v>
      </c>
      <c r="L29" s="21">
        <f t="shared" si="10"/>
        <v>264880</v>
      </c>
      <c r="M29" s="20">
        <f t="shared" si="10"/>
        <v>264880</v>
      </c>
      <c r="N29" s="21">
        <f t="shared" si="10"/>
        <v>0</v>
      </c>
      <c r="O29" s="41">
        <f t="shared" si="1"/>
        <v>0</v>
      </c>
      <c r="P29" s="42">
        <f t="shared" ref="P29:AA29" si="11">SUM(P6:P28)</f>
        <v>322</v>
      </c>
      <c r="Q29" s="43">
        <f t="shared" si="11"/>
        <v>230</v>
      </c>
      <c r="R29" s="23">
        <f t="shared" si="11"/>
        <v>0</v>
      </c>
      <c r="S29" s="24">
        <f t="shared" si="11"/>
        <v>59</v>
      </c>
      <c r="T29" s="24">
        <f t="shared" si="11"/>
        <v>30</v>
      </c>
      <c r="U29" s="24">
        <f t="shared" si="11"/>
        <v>0</v>
      </c>
      <c r="V29" s="25">
        <f t="shared" si="11"/>
        <v>0</v>
      </c>
      <c r="W29" s="26">
        <f t="shared" si="11"/>
        <v>93</v>
      </c>
      <c r="X29" s="27">
        <f t="shared" si="11"/>
        <v>0</v>
      </c>
      <c r="Y29" s="27">
        <f t="shared" si="11"/>
        <v>0</v>
      </c>
      <c r="Z29" s="27">
        <f t="shared" si="11"/>
        <v>0</v>
      </c>
      <c r="AA29" s="27">
        <f t="shared" si="11"/>
        <v>48</v>
      </c>
      <c r="AB29" s="28">
        <f>AVERAGE(AB6:AB28)</f>
        <v>0.77272727272727271</v>
      </c>
      <c r="AC29" s="4">
        <f>AVERAGE(AC6:AC28)</f>
        <v>0.58333333333333337</v>
      </c>
      <c r="AD29" s="4">
        <f>AVERAGE(AD6:AD28)</f>
        <v>0.58333333333333337</v>
      </c>
      <c r="AE29" s="29"/>
    </row>
    <row r="30" spans="1:32">
      <c r="T30" s="50" t="s">
        <v>130</v>
      </c>
    </row>
    <row r="31" spans="1:32" ht="18.75">
      <c r="A31" s="2"/>
      <c r="B31" s="2" t="s">
        <v>35</v>
      </c>
      <c r="C31" s="2"/>
      <c r="D31" s="2"/>
      <c r="E31" s="2"/>
      <c r="F31" s="2"/>
      <c r="G31" s="2"/>
      <c r="H31" s="3"/>
      <c r="I31" s="3"/>
      <c r="J31" s="2"/>
      <c r="K31" s="2"/>
      <c r="L31" s="2"/>
      <c r="M31" s="2"/>
      <c r="N31" s="2" t="s">
        <v>36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1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 t="s">
        <v>131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F40" s="82"/>
    </row>
    <row r="41" spans="1:32" ht="14.2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F41" s="50"/>
    </row>
    <row r="42" spans="1:32" ht="14.2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50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14.2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F45" s="50"/>
    </row>
    <row r="46" spans="1:32" ht="27">
      <c r="A46" s="59"/>
      <c r="B46" s="59"/>
      <c r="C46" s="59"/>
      <c r="D46" s="59"/>
      <c r="E46" s="59"/>
      <c r="F46" s="37"/>
      <c r="G46" s="37"/>
      <c r="H46" s="38"/>
      <c r="I46" s="38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F46" s="50"/>
    </row>
    <row r="47" spans="1:32" ht="29.25" customHeight="1">
      <c r="A47" s="60"/>
      <c r="B47" s="60"/>
      <c r="C47" s="61"/>
      <c r="D47" s="61"/>
      <c r="E47" s="61"/>
      <c r="F47" s="60"/>
      <c r="G47" s="60"/>
      <c r="H47" s="60"/>
      <c r="I47" s="60"/>
      <c r="J47" s="60"/>
      <c r="K47" s="60"/>
      <c r="L47" s="60"/>
      <c r="M47" s="61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29.25" customHeight="1">
      <c r="A49" s="60"/>
      <c r="B49" s="60"/>
      <c r="C49" s="62"/>
      <c r="D49" s="61"/>
      <c r="E49" s="61"/>
      <c r="F49" s="60"/>
      <c r="G49" s="60"/>
      <c r="H49" s="60"/>
      <c r="I49" s="60"/>
      <c r="J49" s="60"/>
      <c r="K49" s="60"/>
      <c r="L49" s="60"/>
      <c r="M49" s="62"/>
      <c r="N49" s="60"/>
      <c r="O49" s="60"/>
      <c r="P49" s="63"/>
      <c r="Q49" s="63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29.25" customHeight="1">
      <c r="A54" s="60"/>
      <c r="B54" s="60"/>
      <c r="C54" s="62"/>
      <c r="D54" s="61"/>
      <c r="E54" s="61"/>
      <c r="F54" s="60"/>
      <c r="G54" s="60"/>
      <c r="H54" s="60"/>
      <c r="I54" s="60"/>
      <c r="J54" s="60"/>
      <c r="K54" s="60"/>
      <c r="L54" s="60"/>
      <c r="M54" s="62"/>
      <c r="N54" s="60"/>
      <c r="O54" s="60"/>
      <c r="P54" s="63"/>
      <c r="Q54" s="63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0"/>
      <c r="AC54" s="60"/>
      <c r="AD54" s="60"/>
      <c r="AF54" s="50"/>
    </row>
    <row r="55" spans="1:32" ht="14.25" customHeight="1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F55" s="50"/>
    </row>
    <row r="56" spans="1:32" ht="36" thickBot="1">
      <c r="A56" s="438" t="s">
        <v>45</v>
      </c>
      <c r="B56" s="438"/>
      <c r="C56" s="438"/>
      <c r="D56" s="438"/>
      <c r="E56" s="438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F56" s="50"/>
    </row>
    <row r="57" spans="1:32" ht="26.25" thickBot="1">
      <c r="A57" s="439" t="s">
        <v>650</v>
      </c>
      <c r="B57" s="440"/>
      <c r="C57" s="440"/>
      <c r="D57" s="440"/>
      <c r="E57" s="440"/>
      <c r="F57" s="440"/>
      <c r="G57" s="440"/>
      <c r="H57" s="440"/>
      <c r="I57" s="440"/>
      <c r="J57" s="440"/>
      <c r="K57" s="440"/>
      <c r="L57" s="440"/>
      <c r="M57" s="441"/>
      <c r="N57" s="442" t="s">
        <v>668</v>
      </c>
      <c r="O57" s="443"/>
      <c r="P57" s="443"/>
      <c r="Q57" s="443"/>
      <c r="R57" s="443"/>
      <c r="S57" s="443"/>
      <c r="T57" s="443"/>
      <c r="U57" s="443"/>
      <c r="V57" s="443"/>
      <c r="W57" s="443"/>
      <c r="X57" s="443"/>
      <c r="Y57" s="443"/>
      <c r="Z57" s="443"/>
      <c r="AA57" s="443"/>
      <c r="AB57" s="443"/>
      <c r="AC57" s="443"/>
      <c r="AD57" s="444"/>
    </row>
    <row r="58" spans="1:32" ht="27" customHeight="1">
      <c r="A58" s="445" t="s">
        <v>2</v>
      </c>
      <c r="B58" s="446"/>
      <c r="C58" s="264" t="s">
        <v>46</v>
      </c>
      <c r="D58" s="264" t="s">
        <v>47</v>
      </c>
      <c r="E58" s="264" t="s">
        <v>107</v>
      </c>
      <c r="F58" s="447" t="s">
        <v>106</v>
      </c>
      <c r="G58" s="448"/>
      <c r="H58" s="448"/>
      <c r="I58" s="448"/>
      <c r="J58" s="448"/>
      <c r="K58" s="448"/>
      <c r="L58" s="448"/>
      <c r="M58" s="449"/>
      <c r="N58" s="67" t="s">
        <v>110</v>
      </c>
      <c r="O58" s="264" t="s">
        <v>46</v>
      </c>
      <c r="P58" s="447" t="s">
        <v>47</v>
      </c>
      <c r="Q58" s="450"/>
      <c r="R58" s="447" t="s">
        <v>38</v>
      </c>
      <c r="S58" s="448"/>
      <c r="T58" s="448"/>
      <c r="U58" s="450"/>
      <c r="V58" s="447" t="s">
        <v>48</v>
      </c>
      <c r="W58" s="448"/>
      <c r="X58" s="448"/>
      <c r="Y58" s="448"/>
      <c r="Z58" s="448"/>
      <c r="AA58" s="448"/>
      <c r="AB58" s="448"/>
      <c r="AC58" s="448"/>
      <c r="AD58" s="449"/>
    </row>
    <row r="59" spans="1:32" ht="27" customHeight="1">
      <c r="A59" s="429" t="s">
        <v>461</v>
      </c>
      <c r="B59" s="420"/>
      <c r="C59" s="260" t="s">
        <v>240</v>
      </c>
      <c r="D59" s="260" t="s">
        <v>644</v>
      </c>
      <c r="E59" s="260" t="s">
        <v>651</v>
      </c>
      <c r="F59" s="473" t="s">
        <v>122</v>
      </c>
      <c r="G59" s="474"/>
      <c r="H59" s="474"/>
      <c r="I59" s="474"/>
      <c r="J59" s="474"/>
      <c r="K59" s="474"/>
      <c r="L59" s="474"/>
      <c r="M59" s="475"/>
      <c r="N59" s="263" t="s">
        <v>116</v>
      </c>
      <c r="O59" s="257" t="s">
        <v>388</v>
      </c>
      <c r="P59" s="430" t="s">
        <v>121</v>
      </c>
      <c r="Q59" s="431"/>
      <c r="R59" s="430" t="s">
        <v>669</v>
      </c>
      <c r="S59" s="432"/>
      <c r="T59" s="432"/>
      <c r="U59" s="431"/>
      <c r="V59" s="417" t="s">
        <v>122</v>
      </c>
      <c r="W59" s="418"/>
      <c r="X59" s="418"/>
      <c r="Y59" s="418"/>
      <c r="Z59" s="418"/>
      <c r="AA59" s="418"/>
      <c r="AB59" s="418"/>
      <c r="AC59" s="418"/>
      <c r="AD59" s="419"/>
    </row>
    <row r="60" spans="1:32" ht="27" customHeight="1">
      <c r="A60" s="415" t="s">
        <v>127</v>
      </c>
      <c r="B60" s="416"/>
      <c r="C60" s="272" t="s">
        <v>151</v>
      </c>
      <c r="D60" s="272" t="s">
        <v>572</v>
      </c>
      <c r="E60" s="272" t="s">
        <v>544</v>
      </c>
      <c r="F60" s="473" t="s">
        <v>652</v>
      </c>
      <c r="G60" s="474"/>
      <c r="H60" s="474"/>
      <c r="I60" s="474"/>
      <c r="J60" s="474"/>
      <c r="K60" s="474"/>
      <c r="L60" s="474"/>
      <c r="M60" s="475"/>
      <c r="N60" s="263" t="s">
        <v>127</v>
      </c>
      <c r="O60" s="257" t="s">
        <v>151</v>
      </c>
      <c r="P60" s="430" t="s">
        <v>572</v>
      </c>
      <c r="Q60" s="431"/>
      <c r="R60" s="430" t="s">
        <v>544</v>
      </c>
      <c r="S60" s="432"/>
      <c r="T60" s="432"/>
      <c r="U60" s="431"/>
      <c r="V60" s="417" t="s">
        <v>153</v>
      </c>
      <c r="W60" s="418"/>
      <c r="X60" s="418"/>
      <c r="Y60" s="418"/>
      <c r="Z60" s="418"/>
      <c r="AA60" s="418"/>
      <c r="AB60" s="418"/>
      <c r="AC60" s="418"/>
      <c r="AD60" s="419"/>
    </row>
    <row r="61" spans="1:32" ht="27" customHeight="1">
      <c r="A61" s="415" t="s">
        <v>655</v>
      </c>
      <c r="B61" s="416"/>
      <c r="C61" s="259" t="s">
        <v>656</v>
      </c>
      <c r="D61" s="259" t="s">
        <v>657</v>
      </c>
      <c r="E61" s="259" t="s">
        <v>653</v>
      </c>
      <c r="F61" s="473" t="s">
        <v>654</v>
      </c>
      <c r="G61" s="474"/>
      <c r="H61" s="474"/>
      <c r="I61" s="474"/>
      <c r="J61" s="474"/>
      <c r="K61" s="474"/>
      <c r="L61" s="474"/>
      <c r="M61" s="475"/>
      <c r="N61" s="263" t="s">
        <v>655</v>
      </c>
      <c r="O61" s="257" t="s">
        <v>679</v>
      </c>
      <c r="P61" s="430" t="s">
        <v>680</v>
      </c>
      <c r="Q61" s="431"/>
      <c r="R61" s="430" t="s">
        <v>678</v>
      </c>
      <c r="S61" s="432"/>
      <c r="T61" s="432"/>
      <c r="U61" s="431"/>
      <c r="V61" s="417" t="s">
        <v>122</v>
      </c>
      <c r="W61" s="418"/>
      <c r="X61" s="418"/>
      <c r="Y61" s="418"/>
      <c r="Z61" s="418"/>
      <c r="AA61" s="418"/>
      <c r="AB61" s="418"/>
      <c r="AC61" s="418"/>
      <c r="AD61" s="419"/>
    </row>
    <row r="62" spans="1:32" ht="27" customHeight="1">
      <c r="A62" s="429" t="s">
        <v>655</v>
      </c>
      <c r="B62" s="420"/>
      <c r="C62" s="260" t="s">
        <v>660</v>
      </c>
      <c r="D62" s="260" t="s">
        <v>661</v>
      </c>
      <c r="E62" s="260" t="s">
        <v>658</v>
      </c>
      <c r="F62" s="417" t="s">
        <v>659</v>
      </c>
      <c r="G62" s="418"/>
      <c r="H62" s="418"/>
      <c r="I62" s="418"/>
      <c r="J62" s="418"/>
      <c r="K62" s="418"/>
      <c r="L62" s="418"/>
      <c r="M62" s="419"/>
      <c r="N62" s="263"/>
      <c r="O62" s="257"/>
      <c r="P62" s="430"/>
      <c r="Q62" s="431"/>
      <c r="R62" s="430"/>
      <c r="S62" s="432"/>
      <c r="T62" s="432"/>
      <c r="U62" s="431"/>
      <c r="V62" s="417"/>
      <c r="W62" s="418"/>
      <c r="X62" s="418"/>
      <c r="Y62" s="418"/>
      <c r="Z62" s="418"/>
      <c r="AA62" s="418"/>
      <c r="AB62" s="418"/>
      <c r="AC62" s="418"/>
      <c r="AD62" s="419"/>
    </row>
    <row r="63" spans="1:32" ht="27" customHeight="1">
      <c r="A63" s="429" t="s">
        <v>127</v>
      </c>
      <c r="B63" s="420"/>
      <c r="C63" s="260" t="s">
        <v>663</v>
      </c>
      <c r="D63" s="260" t="s">
        <v>664</v>
      </c>
      <c r="E63" s="260" t="s">
        <v>662</v>
      </c>
      <c r="F63" s="473" t="s">
        <v>122</v>
      </c>
      <c r="G63" s="474"/>
      <c r="H63" s="474"/>
      <c r="I63" s="474"/>
      <c r="J63" s="474"/>
      <c r="K63" s="474"/>
      <c r="L63" s="474"/>
      <c r="M63" s="475"/>
      <c r="N63" s="263"/>
      <c r="O63" s="257"/>
      <c r="P63" s="430"/>
      <c r="Q63" s="431"/>
      <c r="R63" s="430"/>
      <c r="S63" s="432"/>
      <c r="T63" s="432"/>
      <c r="U63" s="431"/>
      <c r="V63" s="417"/>
      <c r="W63" s="418"/>
      <c r="X63" s="418"/>
      <c r="Y63" s="418"/>
      <c r="Z63" s="418"/>
      <c r="AA63" s="418"/>
      <c r="AB63" s="418"/>
      <c r="AC63" s="418"/>
      <c r="AD63" s="419"/>
    </row>
    <row r="64" spans="1:32" ht="27" customHeight="1">
      <c r="A64" s="429" t="s">
        <v>127</v>
      </c>
      <c r="B64" s="420"/>
      <c r="C64" s="260" t="s">
        <v>663</v>
      </c>
      <c r="D64" s="260" t="s">
        <v>667</v>
      </c>
      <c r="E64" s="260" t="s">
        <v>665</v>
      </c>
      <c r="F64" s="417" t="s">
        <v>666</v>
      </c>
      <c r="G64" s="418"/>
      <c r="H64" s="418"/>
      <c r="I64" s="418"/>
      <c r="J64" s="418"/>
      <c r="K64" s="418"/>
      <c r="L64" s="418"/>
      <c r="M64" s="419"/>
      <c r="N64" s="263"/>
      <c r="O64" s="257"/>
      <c r="P64" s="430"/>
      <c r="Q64" s="431"/>
      <c r="R64" s="430"/>
      <c r="S64" s="432"/>
      <c r="T64" s="432"/>
      <c r="U64" s="431"/>
      <c r="V64" s="417"/>
      <c r="W64" s="418"/>
      <c r="X64" s="418"/>
      <c r="Y64" s="418"/>
      <c r="Z64" s="418"/>
      <c r="AA64" s="418"/>
      <c r="AB64" s="418"/>
      <c r="AC64" s="418"/>
      <c r="AD64" s="419"/>
    </row>
    <row r="65" spans="1:32" ht="27" customHeight="1">
      <c r="A65" s="415" t="s">
        <v>673</v>
      </c>
      <c r="B65" s="416"/>
      <c r="C65" s="259" t="s">
        <v>674</v>
      </c>
      <c r="D65" s="259" t="s">
        <v>661</v>
      </c>
      <c r="E65" s="260" t="s">
        <v>670</v>
      </c>
      <c r="F65" s="473" t="s">
        <v>122</v>
      </c>
      <c r="G65" s="474"/>
      <c r="H65" s="474"/>
      <c r="I65" s="474"/>
      <c r="J65" s="474"/>
      <c r="K65" s="474"/>
      <c r="L65" s="474"/>
      <c r="M65" s="475"/>
      <c r="N65" s="263"/>
      <c r="O65" s="257"/>
      <c r="P65" s="430"/>
      <c r="Q65" s="431"/>
      <c r="R65" s="430"/>
      <c r="S65" s="432"/>
      <c r="T65" s="432"/>
      <c r="U65" s="431"/>
      <c r="V65" s="417"/>
      <c r="W65" s="418"/>
      <c r="X65" s="418"/>
      <c r="Y65" s="418"/>
      <c r="Z65" s="418"/>
      <c r="AA65" s="418"/>
      <c r="AB65" s="418"/>
      <c r="AC65" s="418"/>
      <c r="AD65" s="419"/>
    </row>
    <row r="66" spans="1:32" ht="27" customHeight="1">
      <c r="A66" s="415" t="s">
        <v>673</v>
      </c>
      <c r="B66" s="416"/>
      <c r="C66" s="259" t="s">
        <v>675</v>
      </c>
      <c r="D66" s="259" t="s">
        <v>657</v>
      </c>
      <c r="E66" s="260" t="s">
        <v>671</v>
      </c>
      <c r="F66" s="473" t="s">
        <v>122</v>
      </c>
      <c r="G66" s="474"/>
      <c r="H66" s="474"/>
      <c r="I66" s="474"/>
      <c r="J66" s="474"/>
      <c r="K66" s="474"/>
      <c r="L66" s="474"/>
      <c r="M66" s="475"/>
      <c r="N66" s="263"/>
      <c r="O66" s="257"/>
      <c r="P66" s="430"/>
      <c r="Q66" s="431"/>
      <c r="R66" s="430"/>
      <c r="S66" s="432"/>
      <c r="T66" s="432"/>
      <c r="U66" s="431"/>
      <c r="V66" s="417"/>
      <c r="W66" s="418"/>
      <c r="X66" s="418"/>
      <c r="Y66" s="418"/>
      <c r="Z66" s="418"/>
      <c r="AA66" s="418"/>
      <c r="AB66" s="418"/>
      <c r="AC66" s="418"/>
      <c r="AD66" s="419"/>
    </row>
    <row r="67" spans="1:32" ht="27" customHeight="1">
      <c r="A67" s="415" t="s">
        <v>673</v>
      </c>
      <c r="B67" s="416"/>
      <c r="C67" s="259" t="s">
        <v>677</v>
      </c>
      <c r="D67" s="259" t="s">
        <v>676</v>
      </c>
      <c r="E67" s="260" t="s">
        <v>672</v>
      </c>
      <c r="F67" s="473" t="s">
        <v>122</v>
      </c>
      <c r="G67" s="474"/>
      <c r="H67" s="474"/>
      <c r="I67" s="474"/>
      <c r="J67" s="474"/>
      <c r="K67" s="474"/>
      <c r="L67" s="474"/>
      <c r="M67" s="475"/>
      <c r="N67" s="263"/>
      <c r="O67" s="257"/>
      <c r="P67" s="420"/>
      <c r="Q67" s="420"/>
      <c r="R67" s="420"/>
      <c r="S67" s="420"/>
      <c r="T67" s="420"/>
      <c r="U67" s="420"/>
      <c r="V67" s="417"/>
      <c r="W67" s="418"/>
      <c r="X67" s="418"/>
      <c r="Y67" s="418"/>
      <c r="Z67" s="418"/>
      <c r="AA67" s="418"/>
      <c r="AB67" s="418"/>
      <c r="AC67" s="418"/>
      <c r="AD67" s="419"/>
      <c r="AF67" s="81">
        <f>8*3000</f>
        <v>24000</v>
      </c>
    </row>
    <row r="68" spans="1:32" ht="27" customHeight="1" thickBot="1">
      <c r="A68" s="421"/>
      <c r="B68" s="422"/>
      <c r="C68" s="261"/>
      <c r="D68" s="262"/>
      <c r="E68" s="261"/>
      <c r="F68" s="423"/>
      <c r="G68" s="424"/>
      <c r="H68" s="424"/>
      <c r="I68" s="424"/>
      <c r="J68" s="424"/>
      <c r="K68" s="424"/>
      <c r="L68" s="424"/>
      <c r="M68" s="425"/>
      <c r="N68" s="105"/>
      <c r="O68" s="97"/>
      <c r="P68" s="426"/>
      <c r="Q68" s="426"/>
      <c r="R68" s="426"/>
      <c r="S68" s="426"/>
      <c r="T68" s="426"/>
      <c r="U68" s="426"/>
      <c r="V68" s="427"/>
      <c r="W68" s="427"/>
      <c r="X68" s="427"/>
      <c r="Y68" s="427"/>
      <c r="Z68" s="427"/>
      <c r="AA68" s="427"/>
      <c r="AB68" s="427"/>
      <c r="AC68" s="427"/>
      <c r="AD68" s="428"/>
      <c r="AF68" s="81">
        <f>16*3000</f>
        <v>48000</v>
      </c>
    </row>
    <row r="69" spans="1:32" ht="27.75" thickBot="1">
      <c r="A69" s="413" t="s">
        <v>681</v>
      </c>
      <c r="B69" s="413"/>
      <c r="C69" s="413"/>
      <c r="D69" s="413"/>
      <c r="E69" s="413"/>
      <c r="F69" s="37"/>
      <c r="G69" s="37"/>
      <c r="H69" s="38"/>
      <c r="I69" s="38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F69" s="81">
        <v>24000</v>
      </c>
    </row>
    <row r="70" spans="1:32" ht="29.25" customHeight="1" thickBot="1">
      <c r="A70" s="414" t="s">
        <v>111</v>
      </c>
      <c r="B70" s="411"/>
      <c r="C70" s="258" t="s">
        <v>2</v>
      </c>
      <c r="D70" s="258" t="s">
        <v>37</v>
      </c>
      <c r="E70" s="258" t="s">
        <v>3</v>
      </c>
      <c r="F70" s="411" t="s">
        <v>109</v>
      </c>
      <c r="G70" s="411"/>
      <c r="H70" s="411"/>
      <c r="I70" s="411"/>
      <c r="J70" s="411"/>
      <c r="K70" s="411" t="s">
        <v>39</v>
      </c>
      <c r="L70" s="411"/>
      <c r="M70" s="258" t="s">
        <v>40</v>
      </c>
      <c r="N70" s="411" t="s">
        <v>41</v>
      </c>
      <c r="O70" s="411"/>
      <c r="P70" s="408" t="s">
        <v>42</v>
      </c>
      <c r="Q70" s="410"/>
      <c r="R70" s="408" t="s">
        <v>43</v>
      </c>
      <c r="S70" s="409"/>
      <c r="T70" s="409"/>
      <c r="U70" s="409"/>
      <c r="V70" s="409"/>
      <c r="W70" s="409"/>
      <c r="X70" s="409"/>
      <c r="Y70" s="409"/>
      <c r="Z70" s="409"/>
      <c r="AA70" s="410"/>
      <c r="AB70" s="411" t="s">
        <v>44</v>
      </c>
      <c r="AC70" s="411"/>
      <c r="AD70" s="412"/>
      <c r="AF70" s="81">
        <f>SUM(AF67:AF69)</f>
        <v>96000</v>
      </c>
    </row>
    <row r="71" spans="1:32" ht="25.5" customHeight="1">
      <c r="A71" s="399">
        <v>1</v>
      </c>
      <c r="B71" s="400"/>
      <c r="C71" s="98" t="s">
        <v>127</v>
      </c>
      <c r="D71" s="253"/>
      <c r="E71" s="256" t="s">
        <v>115</v>
      </c>
      <c r="F71" s="401" t="s">
        <v>682</v>
      </c>
      <c r="G71" s="391"/>
      <c r="H71" s="391"/>
      <c r="I71" s="391"/>
      <c r="J71" s="391"/>
      <c r="K71" s="391" t="s">
        <v>156</v>
      </c>
      <c r="L71" s="391"/>
      <c r="M71" s="51" t="s">
        <v>222</v>
      </c>
      <c r="N71" s="402" t="s">
        <v>388</v>
      </c>
      <c r="O71" s="402"/>
      <c r="P71" s="403">
        <v>50</v>
      </c>
      <c r="Q71" s="403"/>
      <c r="R71" s="404"/>
      <c r="S71" s="404"/>
      <c r="T71" s="404"/>
      <c r="U71" s="404"/>
      <c r="V71" s="404"/>
      <c r="W71" s="404"/>
      <c r="X71" s="404"/>
      <c r="Y71" s="404"/>
      <c r="Z71" s="404"/>
      <c r="AA71" s="404"/>
      <c r="AB71" s="391"/>
      <c r="AC71" s="391"/>
      <c r="AD71" s="392"/>
      <c r="AF71" s="50"/>
    </row>
    <row r="72" spans="1:32" ht="25.5" customHeight="1">
      <c r="A72" s="399">
        <v>2</v>
      </c>
      <c r="B72" s="400"/>
      <c r="C72" s="98" t="s">
        <v>655</v>
      </c>
      <c r="D72" s="253"/>
      <c r="E72" s="256" t="s">
        <v>115</v>
      </c>
      <c r="F72" s="401" t="s">
        <v>683</v>
      </c>
      <c r="G72" s="391"/>
      <c r="H72" s="391"/>
      <c r="I72" s="391"/>
      <c r="J72" s="391"/>
      <c r="K72" s="391" t="s">
        <v>684</v>
      </c>
      <c r="L72" s="391"/>
      <c r="M72" s="51" t="s">
        <v>685</v>
      </c>
      <c r="N72" s="402" t="s">
        <v>686</v>
      </c>
      <c r="O72" s="402"/>
      <c r="P72" s="403">
        <v>30</v>
      </c>
      <c r="Q72" s="403"/>
      <c r="R72" s="404" t="s">
        <v>687</v>
      </c>
      <c r="S72" s="404"/>
      <c r="T72" s="404"/>
      <c r="U72" s="404"/>
      <c r="V72" s="404"/>
      <c r="W72" s="404"/>
      <c r="X72" s="404"/>
      <c r="Y72" s="404"/>
      <c r="Z72" s="404"/>
      <c r="AA72" s="404"/>
      <c r="AB72" s="391"/>
      <c r="AC72" s="391"/>
      <c r="AD72" s="392"/>
      <c r="AF72" s="50"/>
    </row>
    <row r="73" spans="1:32" ht="25.5" customHeight="1">
      <c r="A73" s="399">
        <v>3</v>
      </c>
      <c r="B73" s="400"/>
      <c r="C73" s="98" t="s">
        <v>655</v>
      </c>
      <c r="D73" s="253"/>
      <c r="E73" s="256" t="s">
        <v>115</v>
      </c>
      <c r="F73" s="401" t="s">
        <v>688</v>
      </c>
      <c r="G73" s="391"/>
      <c r="H73" s="391"/>
      <c r="I73" s="391"/>
      <c r="J73" s="391"/>
      <c r="K73" s="391" t="s">
        <v>689</v>
      </c>
      <c r="L73" s="391"/>
      <c r="M73" s="51" t="s">
        <v>222</v>
      </c>
      <c r="N73" s="402" t="s">
        <v>240</v>
      </c>
      <c r="O73" s="402"/>
      <c r="P73" s="403">
        <v>30</v>
      </c>
      <c r="Q73" s="403"/>
      <c r="R73" s="404"/>
      <c r="S73" s="404"/>
      <c r="T73" s="404"/>
      <c r="U73" s="404"/>
      <c r="V73" s="404"/>
      <c r="W73" s="404"/>
      <c r="X73" s="404"/>
      <c r="Y73" s="404"/>
      <c r="Z73" s="404"/>
      <c r="AA73" s="404"/>
      <c r="AB73" s="391"/>
      <c r="AC73" s="391"/>
      <c r="AD73" s="392"/>
      <c r="AF73" s="50"/>
    </row>
    <row r="74" spans="1:32" ht="25.5" customHeight="1">
      <c r="A74" s="399">
        <v>4</v>
      </c>
      <c r="B74" s="400"/>
      <c r="C74" s="98"/>
      <c r="D74" s="253"/>
      <c r="E74" s="256"/>
      <c r="F74" s="405"/>
      <c r="G74" s="406"/>
      <c r="H74" s="406"/>
      <c r="I74" s="406"/>
      <c r="J74" s="407"/>
      <c r="K74" s="391"/>
      <c r="L74" s="391"/>
      <c r="M74" s="51"/>
      <c r="N74" s="402"/>
      <c r="O74" s="402"/>
      <c r="P74" s="403"/>
      <c r="Q74" s="403"/>
      <c r="R74" s="404"/>
      <c r="S74" s="404"/>
      <c r="T74" s="404"/>
      <c r="U74" s="404"/>
      <c r="V74" s="404"/>
      <c r="W74" s="404"/>
      <c r="X74" s="404"/>
      <c r="Y74" s="404"/>
      <c r="Z74" s="404"/>
      <c r="AA74" s="404"/>
      <c r="AB74" s="391"/>
      <c r="AC74" s="391"/>
      <c r="AD74" s="392"/>
      <c r="AF74" s="50"/>
    </row>
    <row r="75" spans="1:32" ht="25.5" customHeight="1">
      <c r="A75" s="399">
        <v>5</v>
      </c>
      <c r="B75" s="400"/>
      <c r="C75" s="98"/>
      <c r="D75" s="253"/>
      <c r="E75" s="256"/>
      <c r="F75" s="405"/>
      <c r="G75" s="406"/>
      <c r="H75" s="406"/>
      <c r="I75" s="406"/>
      <c r="J75" s="407"/>
      <c r="K75" s="391"/>
      <c r="L75" s="391"/>
      <c r="M75" s="51"/>
      <c r="N75" s="402"/>
      <c r="O75" s="402"/>
      <c r="P75" s="403"/>
      <c r="Q75" s="403"/>
      <c r="R75" s="404"/>
      <c r="S75" s="404"/>
      <c r="T75" s="404"/>
      <c r="U75" s="404"/>
      <c r="V75" s="404"/>
      <c r="W75" s="404"/>
      <c r="X75" s="404"/>
      <c r="Y75" s="404"/>
      <c r="Z75" s="404"/>
      <c r="AA75" s="404"/>
      <c r="AB75" s="391"/>
      <c r="AC75" s="391"/>
      <c r="AD75" s="392"/>
      <c r="AF75" s="50"/>
    </row>
    <row r="76" spans="1:32" ht="25.5" customHeight="1">
      <c r="A76" s="399">
        <v>6</v>
      </c>
      <c r="B76" s="400"/>
      <c r="C76" s="98"/>
      <c r="D76" s="253"/>
      <c r="E76" s="256"/>
      <c r="F76" s="405"/>
      <c r="G76" s="406"/>
      <c r="H76" s="406"/>
      <c r="I76" s="406"/>
      <c r="J76" s="407"/>
      <c r="K76" s="391"/>
      <c r="L76" s="391"/>
      <c r="M76" s="51"/>
      <c r="N76" s="402"/>
      <c r="O76" s="402"/>
      <c r="P76" s="403"/>
      <c r="Q76" s="403"/>
      <c r="R76" s="404"/>
      <c r="S76" s="404"/>
      <c r="T76" s="404"/>
      <c r="U76" s="404"/>
      <c r="V76" s="404"/>
      <c r="W76" s="404"/>
      <c r="X76" s="404"/>
      <c r="Y76" s="404"/>
      <c r="Z76" s="404"/>
      <c r="AA76" s="404"/>
      <c r="AB76" s="391"/>
      <c r="AC76" s="391"/>
      <c r="AD76" s="392"/>
      <c r="AF76" s="50"/>
    </row>
    <row r="77" spans="1:32" ht="25.5" customHeight="1">
      <c r="A77" s="399">
        <v>7</v>
      </c>
      <c r="B77" s="400"/>
      <c r="C77" s="98"/>
      <c r="D77" s="253"/>
      <c r="E77" s="256"/>
      <c r="F77" s="405"/>
      <c r="G77" s="406"/>
      <c r="H77" s="406"/>
      <c r="I77" s="406"/>
      <c r="J77" s="407"/>
      <c r="K77" s="391"/>
      <c r="L77" s="391"/>
      <c r="M77" s="51"/>
      <c r="N77" s="402"/>
      <c r="O77" s="402"/>
      <c r="P77" s="403"/>
      <c r="Q77" s="403"/>
      <c r="R77" s="404"/>
      <c r="S77" s="404"/>
      <c r="T77" s="404"/>
      <c r="U77" s="404"/>
      <c r="V77" s="404"/>
      <c r="W77" s="404"/>
      <c r="X77" s="404"/>
      <c r="Y77" s="404"/>
      <c r="Z77" s="404"/>
      <c r="AA77" s="404"/>
      <c r="AB77" s="391"/>
      <c r="AC77" s="391"/>
      <c r="AD77" s="392"/>
      <c r="AF77" s="50"/>
    </row>
    <row r="78" spans="1:32" ht="25.5" customHeight="1">
      <c r="A78" s="399">
        <v>8</v>
      </c>
      <c r="B78" s="400"/>
      <c r="C78" s="98"/>
      <c r="D78" s="253"/>
      <c r="E78" s="256"/>
      <c r="F78" s="401"/>
      <c r="G78" s="391"/>
      <c r="H78" s="391"/>
      <c r="I78" s="391"/>
      <c r="J78" s="391"/>
      <c r="K78" s="391"/>
      <c r="L78" s="391"/>
      <c r="M78" s="51"/>
      <c r="N78" s="402"/>
      <c r="O78" s="402"/>
      <c r="P78" s="403"/>
      <c r="Q78" s="403"/>
      <c r="R78" s="404"/>
      <c r="S78" s="404"/>
      <c r="T78" s="404"/>
      <c r="U78" s="404"/>
      <c r="V78" s="404"/>
      <c r="W78" s="404"/>
      <c r="X78" s="404"/>
      <c r="Y78" s="404"/>
      <c r="Z78" s="404"/>
      <c r="AA78" s="404"/>
      <c r="AB78" s="391"/>
      <c r="AC78" s="391"/>
      <c r="AD78" s="392"/>
      <c r="AF78" s="50"/>
    </row>
    <row r="79" spans="1:32" ht="25.5" customHeight="1">
      <c r="A79" s="399">
        <v>9</v>
      </c>
      <c r="B79" s="400"/>
      <c r="C79" s="98"/>
      <c r="D79" s="253"/>
      <c r="E79" s="256"/>
      <c r="F79" s="401"/>
      <c r="G79" s="391"/>
      <c r="H79" s="391"/>
      <c r="I79" s="391"/>
      <c r="J79" s="391"/>
      <c r="K79" s="391"/>
      <c r="L79" s="391"/>
      <c r="M79" s="51"/>
      <c r="N79" s="402"/>
      <c r="O79" s="402"/>
      <c r="P79" s="403"/>
      <c r="Q79" s="403"/>
      <c r="R79" s="404"/>
      <c r="S79" s="404"/>
      <c r="T79" s="404"/>
      <c r="U79" s="404"/>
      <c r="V79" s="404"/>
      <c r="W79" s="404"/>
      <c r="X79" s="404"/>
      <c r="Y79" s="404"/>
      <c r="Z79" s="404"/>
      <c r="AA79" s="404"/>
      <c r="AB79" s="391"/>
      <c r="AC79" s="391"/>
      <c r="AD79" s="392"/>
      <c r="AF79" s="50"/>
    </row>
    <row r="80" spans="1:32" ht="25.5" customHeight="1">
      <c r="A80" s="399">
        <v>10</v>
      </c>
      <c r="B80" s="400"/>
      <c r="C80" s="98"/>
      <c r="D80" s="253"/>
      <c r="E80" s="256"/>
      <c r="F80" s="401"/>
      <c r="G80" s="391"/>
      <c r="H80" s="391"/>
      <c r="I80" s="391"/>
      <c r="J80" s="391"/>
      <c r="K80" s="391"/>
      <c r="L80" s="391"/>
      <c r="M80" s="51"/>
      <c r="N80" s="402"/>
      <c r="O80" s="402"/>
      <c r="P80" s="403"/>
      <c r="Q80" s="403"/>
      <c r="R80" s="404"/>
      <c r="S80" s="404"/>
      <c r="T80" s="404"/>
      <c r="U80" s="404"/>
      <c r="V80" s="404"/>
      <c r="W80" s="404"/>
      <c r="X80" s="404"/>
      <c r="Y80" s="404"/>
      <c r="Z80" s="404"/>
      <c r="AA80" s="404"/>
      <c r="AB80" s="391"/>
      <c r="AC80" s="391"/>
      <c r="AD80" s="392"/>
      <c r="AF80" s="50"/>
    </row>
    <row r="81" spans="1:32" ht="26.25" customHeight="1" thickBot="1">
      <c r="A81" s="371" t="s">
        <v>690</v>
      </c>
      <c r="B81" s="371"/>
      <c r="C81" s="371"/>
      <c r="D81" s="371"/>
      <c r="E81" s="371"/>
      <c r="F81" s="37"/>
      <c r="G81" s="37"/>
      <c r="H81" s="38"/>
      <c r="I81" s="38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F81" s="50"/>
    </row>
    <row r="82" spans="1:32" ht="23.25" thickBot="1">
      <c r="A82" s="393" t="s">
        <v>111</v>
      </c>
      <c r="B82" s="394"/>
      <c r="C82" s="255" t="s">
        <v>2</v>
      </c>
      <c r="D82" s="255" t="s">
        <v>37</v>
      </c>
      <c r="E82" s="255" t="s">
        <v>120</v>
      </c>
      <c r="F82" s="373" t="s">
        <v>38</v>
      </c>
      <c r="G82" s="373"/>
      <c r="H82" s="373"/>
      <c r="I82" s="373"/>
      <c r="J82" s="373"/>
      <c r="K82" s="395" t="s">
        <v>58</v>
      </c>
      <c r="L82" s="396"/>
      <c r="M82" s="396"/>
      <c r="N82" s="396"/>
      <c r="O82" s="396"/>
      <c r="P82" s="396"/>
      <c r="Q82" s="396"/>
      <c r="R82" s="396"/>
      <c r="S82" s="397"/>
      <c r="T82" s="373" t="s">
        <v>49</v>
      </c>
      <c r="U82" s="373"/>
      <c r="V82" s="395" t="s">
        <v>50</v>
      </c>
      <c r="W82" s="397"/>
      <c r="X82" s="396" t="s">
        <v>51</v>
      </c>
      <c r="Y82" s="396"/>
      <c r="Z82" s="396"/>
      <c r="AA82" s="396"/>
      <c r="AB82" s="396"/>
      <c r="AC82" s="396"/>
      <c r="AD82" s="398"/>
      <c r="AF82" s="50"/>
    </row>
    <row r="83" spans="1:32" ht="33.75" customHeight="1">
      <c r="A83" s="365">
        <v>1</v>
      </c>
      <c r="B83" s="366"/>
      <c r="C83" s="254"/>
      <c r="D83" s="254"/>
      <c r="E83" s="65"/>
      <c r="F83" s="380"/>
      <c r="G83" s="381"/>
      <c r="H83" s="381"/>
      <c r="I83" s="381"/>
      <c r="J83" s="382"/>
      <c r="K83" s="383"/>
      <c r="L83" s="384"/>
      <c r="M83" s="384"/>
      <c r="N83" s="384"/>
      <c r="O83" s="384"/>
      <c r="P83" s="384"/>
      <c r="Q83" s="384"/>
      <c r="R83" s="384"/>
      <c r="S83" s="385"/>
      <c r="T83" s="386"/>
      <c r="U83" s="387"/>
      <c r="V83" s="388"/>
      <c r="W83" s="388"/>
      <c r="X83" s="389"/>
      <c r="Y83" s="389"/>
      <c r="Z83" s="389"/>
      <c r="AA83" s="389"/>
      <c r="AB83" s="389"/>
      <c r="AC83" s="389"/>
      <c r="AD83" s="390"/>
      <c r="AF83" s="50"/>
    </row>
    <row r="84" spans="1:32" ht="30" customHeight="1">
      <c r="A84" s="358">
        <f>A83+1</f>
        <v>2</v>
      </c>
      <c r="B84" s="359"/>
      <c r="C84" s="253"/>
      <c r="D84" s="253"/>
      <c r="E84" s="32"/>
      <c r="F84" s="359"/>
      <c r="G84" s="359"/>
      <c r="H84" s="359"/>
      <c r="I84" s="359"/>
      <c r="J84" s="359"/>
      <c r="K84" s="374"/>
      <c r="L84" s="375"/>
      <c r="M84" s="375"/>
      <c r="N84" s="375"/>
      <c r="O84" s="375"/>
      <c r="P84" s="375"/>
      <c r="Q84" s="375"/>
      <c r="R84" s="375"/>
      <c r="S84" s="376"/>
      <c r="T84" s="377"/>
      <c r="U84" s="377"/>
      <c r="V84" s="377"/>
      <c r="W84" s="377"/>
      <c r="X84" s="378"/>
      <c r="Y84" s="378"/>
      <c r="Z84" s="378"/>
      <c r="AA84" s="378"/>
      <c r="AB84" s="378"/>
      <c r="AC84" s="378"/>
      <c r="AD84" s="379"/>
      <c r="AF84" s="50"/>
    </row>
    <row r="85" spans="1:32" ht="30" customHeight="1">
      <c r="A85" s="358">
        <f t="shared" ref="A85:A89" si="12">A84+1</f>
        <v>3</v>
      </c>
      <c r="B85" s="359"/>
      <c r="C85" s="253"/>
      <c r="D85" s="253"/>
      <c r="E85" s="32"/>
      <c r="F85" s="359"/>
      <c r="G85" s="359"/>
      <c r="H85" s="359"/>
      <c r="I85" s="359"/>
      <c r="J85" s="359"/>
      <c r="K85" s="374"/>
      <c r="L85" s="375"/>
      <c r="M85" s="375"/>
      <c r="N85" s="375"/>
      <c r="O85" s="375"/>
      <c r="P85" s="375"/>
      <c r="Q85" s="375"/>
      <c r="R85" s="375"/>
      <c r="S85" s="376"/>
      <c r="T85" s="377"/>
      <c r="U85" s="377"/>
      <c r="V85" s="377"/>
      <c r="W85" s="377"/>
      <c r="X85" s="378"/>
      <c r="Y85" s="378"/>
      <c r="Z85" s="378"/>
      <c r="AA85" s="378"/>
      <c r="AB85" s="378"/>
      <c r="AC85" s="378"/>
      <c r="AD85" s="379"/>
      <c r="AF85" s="50"/>
    </row>
    <row r="86" spans="1:32" ht="30" customHeight="1">
      <c r="A86" s="358">
        <f t="shared" si="12"/>
        <v>4</v>
      </c>
      <c r="B86" s="359"/>
      <c r="C86" s="253"/>
      <c r="D86" s="253"/>
      <c r="E86" s="32"/>
      <c r="F86" s="359"/>
      <c r="G86" s="359"/>
      <c r="H86" s="359"/>
      <c r="I86" s="359"/>
      <c r="J86" s="359"/>
      <c r="K86" s="374"/>
      <c r="L86" s="375"/>
      <c r="M86" s="375"/>
      <c r="N86" s="375"/>
      <c r="O86" s="375"/>
      <c r="P86" s="375"/>
      <c r="Q86" s="375"/>
      <c r="R86" s="375"/>
      <c r="S86" s="376"/>
      <c r="T86" s="377"/>
      <c r="U86" s="377"/>
      <c r="V86" s="377"/>
      <c r="W86" s="377"/>
      <c r="X86" s="378"/>
      <c r="Y86" s="378"/>
      <c r="Z86" s="378"/>
      <c r="AA86" s="378"/>
      <c r="AB86" s="378"/>
      <c r="AC86" s="378"/>
      <c r="AD86" s="379"/>
      <c r="AF86" s="50"/>
    </row>
    <row r="87" spans="1:32" ht="30" customHeight="1">
      <c r="A87" s="358">
        <f t="shared" si="12"/>
        <v>5</v>
      </c>
      <c r="B87" s="359"/>
      <c r="C87" s="253"/>
      <c r="D87" s="253"/>
      <c r="E87" s="32"/>
      <c r="F87" s="359"/>
      <c r="G87" s="359"/>
      <c r="H87" s="359"/>
      <c r="I87" s="359"/>
      <c r="J87" s="359"/>
      <c r="K87" s="374"/>
      <c r="L87" s="375"/>
      <c r="M87" s="375"/>
      <c r="N87" s="375"/>
      <c r="O87" s="375"/>
      <c r="P87" s="375"/>
      <c r="Q87" s="375"/>
      <c r="R87" s="375"/>
      <c r="S87" s="376"/>
      <c r="T87" s="377"/>
      <c r="U87" s="377"/>
      <c r="V87" s="377"/>
      <c r="W87" s="377"/>
      <c r="X87" s="378"/>
      <c r="Y87" s="378"/>
      <c r="Z87" s="378"/>
      <c r="AA87" s="378"/>
      <c r="AB87" s="378"/>
      <c r="AC87" s="378"/>
      <c r="AD87" s="379"/>
      <c r="AF87" s="50"/>
    </row>
    <row r="88" spans="1:32" ht="30" customHeight="1">
      <c r="A88" s="358">
        <f t="shared" si="12"/>
        <v>6</v>
      </c>
      <c r="B88" s="359"/>
      <c r="C88" s="253"/>
      <c r="D88" s="253"/>
      <c r="E88" s="32"/>
      <c r="F88" s="359"/>
      <c r="G88" s="359"/>
      <c r="H88" s="359"/>
      <c r="I88" s="359"/>
      <c r="J88" s="359"/>
      <c r="K88" s="374"/>
      <c r="L88" s="375"/>
      <c r="M88" s="375"/>
      <c r="N88" s="375"/>
      <c r="O88" s="375"/>
      <c r="P88" s="375"/>
      <c r="Q88" s="375"/>
      <c r="R88" s="375"/>
      <c r="S88" s="376"/>
      <c r="T88" s="377"/>
      <c r="U88" s="377"/>
      <c r="V88" s="377"/>
      <c r="W88" s="377"/>
      <c r="X88" s="378"/>
      <c r="Y88" s="378"/>
      <c r="Z88" s="378"/>
      <c r="AA88" s="378"/>
      <c r="AB88" s="378"/>
      <c r="AC88" s="378"/>
      <c r="AD88" s="379"/>
      <c r="AF88" s="50"/>
    </row>
    <row r="89" spans="1:32" ht="30" customHeight="1">
      <c r="A89" s="358">
        <f t="shared" si="12"/>
        <v>7</v>
      </c>
      <c r="B89" s="359"/>
      <c r="C89" s="253"/>
      <c r="D89" s="253"/>
      <c r="E89" s="32"/>
      <c r="F89" s="359"/>
      <c r="G89" s="359"/>
      <c r="H89" s="359"/>
      <c r="I89" s="359"/>
      <c r="J89" s="359"/>
      <c r="K89" s="374"/>
      <c r="L89" s="375"/>
      <c r="M89" s="375"/>
      <c r="N89" s="375"/>
      <c r="O89" s="375"/>
      <c r="P89" s="375"/>
      <c r="Q89" s="375"/>
      <c r="R89" s="375"/>
      <c r="S89" s="376"/>
      <c r="T89" s="377"/>
      <c r="U89" s="377"/>
      <c r="V89" s="377"/>
      <c r="W89" s="377"/>
      <c r="X89" s="378"/>
      <c r="Y89" s="378"/>
      <c r="Z89" s="378"/>
      <c r="AA89" s="378"/>
      <c r="AB89" s="378"/>
      <c r="AC89" s="378"/>
      <c r="AD89" s="379"/>
      <c r="AF89" s="50"/>
    </row>
    <row r="90" spans="1:32" ht="36" thickBot="1">
      <c r="A90" s="371" t="s">
        <v>691</v>
      </c>
      <c r="B90" s="371"/>
      <c r="C90" s="371"/>
      <c r="D90" s="371"/>
      <c r="E90" s="371"/>
      <c r="F90" s="37"/>
      <c r="G90" s="37"/>
      <c r="H90" s="38"/>
      <c r="I90" s="38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F90" s="50"/>
    </row>
    <row r="91" spans="1:32" ht="30.75" customHeight="1" thickBot="1">
      <c r="A91" s="372" t="s">
        <v>111</v>
      </c>
      <c r="B91" s="373"/>
      <c r="C91" s="363" t="s">
        <v>52</v>
      </c>
      <c r="D91" s="363"/>
      <c r="E91" s="363" t="s">
        <v>53</v>
      </c>
      <c r="F91" s="363"/>
      <c r="G91" s="363"/>
      <c r="H91" s="363"/>
      <c r="I91" s="363"/>
      <c r="J91" s="363"/>
      <c r="K91" s="363" t="s">
        <v>54</v>
      </c>
      <c r="L91" s="363"/>
      <c r="M91" s="363"/>
      <c r="N91" s="363"/>
      <c r="O91" s="363"/>
      <c r="P91" s="363"/>
      <c r="Q91" s="363"/>
      <c r="R91" s="363"/>
      <c r="S91" s="363"/>
      <c r="T91" s="363" t="s">
        <v>55</v>
      </c>
      <c r="U91" s="363"/>
      <c r="V91" s="363" t="s">
        <v>56</v>
      </c>
      <c r="W91" s="363"/>
      <c r="X91" s="363"/>
      <c r="Y91" s="363" t="s">
        <v>51</v>
      </c>
      <c r="Z91" s="363"/>
      <c r="AA91" s="363"/>
      <c r="AB91" s="363"/>
      <c r="AC91" s="363"/>
      <c r="AD91" s="364"/>
      <c r="AF91" s="50"/>
    </row>
    <row r="92" spans="1:32" ht="30.75" customHeight="1">
      <c r="A92" s="365">
        <v>1</v>
      </c>
      <c r="B92" s="366"/>
      <c r="C92" s="367"/>
      <c r="D92" s="367"/>
      <c r="E92" s="367"/>
      <c r="F92" s="367"/>
      <c r="G92" s="367"/>
      <c r="H92" s="367"/>
      <c r="I92" s="367"/>
      <c r="J92" s="367"/>
      <c r="K92" s="367"/>
      <c r="L92" s="367"/>
      <c r="M92" s="367"/>
      <c r="N92" s="367"/>
      <c r="O92" s="367"/>
      <c r="P92" s="367"/>
      <c r="Q92" s="367"/>
      <c r="R92" s="367"/>
      <c r="S92" s="367"/>
      <c r="T92" s="367"/>
      <c r="U92" s="367"/>
      <c r="V92" s="368"/>
      <c r="W92" s="368"/>
      <c r="X92" s="368"/>
      <c r="Y92" s="369"/>
      <c r="Z92" s="369"/>
      <c r="AA92" s="369"/>
      <c r="AB92" s="369"/>
      <c r="AC92" s="369"/>
      <c r="AD92" s="370"/>
      <c r="AF92" s="50"/>
    </row>
    <row r="93" spans="1:32" ht="30.75" customHeight="1">
      <c r="A93" s="358">
        <v>2</v>
      </c>
      <c r="B93" s="359"/>
      <c r="C93" s="360"/>
      <c r="D93" s="360"/>
      <c r="E93" s="360"/>
      <c r="F93" s="360"/>
      <c r="G93" s="360"/>
      <c r="H93" s="360"/>
      <c r="I93" s="360"/>
      <c r="J93" s="360"/>
      <c r="K93" s="360"/>
      <c r="L93" s="360"/>
      <c r="M93" s="360"/>
      <c r="N93" s="360"/>
      <c r="O93" s="360"/>
      <c r="P93" s="360"/>
      <c r="Q93" s="360"/>
      <c r="R93" s="360"/>
      <c r="S93" s="360"/>
      <c r="T93" s="361"/>
      <c r="U93" s="361"/>
      <c r="V93" s="362"/>
      <c r="W93" s="362"/>
      <c r="X93" s="362"/>
      <c r="Y93" s="350"/>
      <c r="Z93" s="350"/>
      <c r="AA93" s="350"/>
      <c r="AB93" s="350"/>
      <c r="AC93" s="350"/>
      <c r="AD93" s="351"/>
      <c r="AF93" s="50"/>
    </row>
    <row r="94" spans="1:32" ht="30.75" customHeight="1" thickBot="1">
      <c r="A94" s="352">
        <v>3</v>
      </c>
      <c r="B94" s="353"/>
      <c r="C94" s="354"/>
      <c r="D94" s="354"/>
      <c r="E94" s="354"/>
      <c r="F94" s="354"/>
      <c r="G94" s="354"/>
      <c r="H94" s="354"/>
      <c r="I94" s="354"/>
      <c r="J94" s="354"/>
      <c r="K94" s="354"/>
      <c r="L94" s="354"/>
      <c r="M94" s="354"/>
      <c r="N94" s="354"/>
      <c r="O94" s="354"/>
      <c r="P94" s="354"/>
      <c r="Q94" s="354"/>
      <c r="R94" s="354"/>
      <c r="S94" s="354"/>
      <c r="T94" s="354"/>
      <c r="U94" s="354"/>
      <c r="V94" s="355"/>
      <c r="W94" s="355"/>
      <c r="X94" s="355"/>
      <c r="Y94" s="356"/>
      <c r="Z94" s="356"/>
      <c r="AA94" s="356"/>
      <c r="AB94" s="356"/>
      <c r="AC94" s="356"/>
      <c r="AD94" s="357"/>
      <c r="AF94" s="50"/>
    </row>
  </sheetData>
  <mergeCells count="232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9:H29"/>
    <mergeCell ref="A56:E56"/>
    <mergeCell ref="A57:M57"/>
    <mergeCell ref="N57:AD57"/>
    <mergeCell ref="A58:B58"/>
    <mergeCell ref="F58:M58"/>
    <mergeCell ref="P58:Q58"/>
    <mergeCell ref="R58:U58"/>
    <mergeCell ref="V58:AD58"/>
    <mergeCell ref="I4:O4"/>
    <mergeCell ref="P4:Q4"/>
    <mergeCell ref="R4:V4"/>
    <mergeCell ref="W4:AA4"/>
    <mergeCell ref="AB4:AB5"/>
    <mergeCell ref="AC4:AC5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A64:B64"/>
    <mergeCell ref="F64:M64"/>
    <mergeCell ref="P64:Q64"/>
    <mergeCell ref="R64:U64"/>
    <mergeCell ref="V64:AD64"/>
    <mergeCell ref="R67:U67"/>
    <mergeCell ref="V67:AD67"/>
    <mergeCell ref="A68:B68"/>
    <mergeCell ref="F68:M68"/>
    <mergeCell ref="P68:Q68"/>
    <mergeCell ref="R68:U68"/>
    <mergeCell ref="V68:AD68"/>
    <mergeCell ref="A65:B65"/>
    <mergeCell ref="F65:M65"/>
    <mergeCell ref="P65:Q65"/>
    <mergeCell ref="R65:U65"/>
    <mergeCell ref="V65:AD65"/>
    <mergeCell ref="A66:B66"/>
    <mergeCell ref="F66:M66"/>
    <mergeCell ref="P66:Q66"/>
    <mergeCell ref="R66:U66"/>
    <mergeCell ref="V66:AD66"/>
    <mergeCell ref="A69:E69"/>
    <mergeCell ref="A70:B70"/>
    <mergeCell ref="F70:J70"/>
    <mergeCell ref="K70:L70"/>
    <mergeCell ref="N70:O70"/>
    <mergeCell ref="P70:Q70"/>
    <mergeCell ref="A67:B67"/>
    <mergeCell ref="F67:M67"/>
    <mergeCell ref="P67:Q67"/>
    <mergeCell ref="R70:AA70"/>
    <mergeCell ref="AB70:AD70"/>
    <mergeCell ref="A71:B71"/>
    <mergeCell ref="F71:J71"/>
    <mergeCell ref="K71:L71"/>
    <mergeCell ref="N71:O71"/>
    <mergeCell ref="P71:Q71"/>
    <mergeCell ref="R71:AA71"/>
    <mergeCell ref="AB71:AD71"/>
    <mergeCell ref="AB72:AD72"/>
    <mergeCell ref="A73:B73"/>
    <mergeCell ref="F73:J73"/>
    <mergeCell ref="K73:L73"/>
    <mergeCell ref="N73:O73"/>
    <mergeCell ref="P73:Q73"/>
    <mergeCell ref="R73:AA73"/>
    <mergeCell ref="AB73:AD73"/>
    <mergeCell ref="A72:B72"/>
    <mergeCell ref="F72:J72"/>
    <mergeCell ref="K72:L72"/>
    <mergeCell ref="N72:O72"/>
    <mergeCell ref="P72:Q72"/>
    <mergeCell ref="R72:AA72"/>
    <mergeCell ref="AB74:AD74"/>
    <mergeCell ref="A75:B75"/>
    <mergeCell ref="F75:J75"/>
    <mergeCell ref="K75:L75"/>
    <mergeCell ref="N75:O75"/>
    <mergeCell ref="P75:Q75"/>
    <mergeCell ref="R75:AA75"/>
    <mergeCell ref="AB75:AD75"/>
    <mergeCell ref="A74:B74"/>
    <mergeCell ref="F74:J74"/>
    <mergeCell ref="K74:L74"/>
    <mergeCell ref="N74:O74"/>
    <mergeCell ref="P74:Q74"/>
    <mergeCell ref="R74:AA74"/>
    <mergeCell ref="AB76:AD76"/>
    <mergeCell ref="A77:B77"/>
    <mergeCell ref="F77:J77"/>
    <mergeCell ref="K77:L77"/>
    <mergeCell ref="N77:O77"/>
    <mergeCell ref="P77:Q77"/>
    <mergeCell ref="R77:AA77"/>
    <mergeCell ref="AB77:AD77"/>
    <mergeCell ref="A76:B76"/>
    <mergeCell ref="F76:J76"/>
    <mergeCell ref="K76:L76"/>
    <mergeCell ref="N76:O76"/>
    <mergeCell ref="P76:Q76"/>
    <mergeCell ref="R76:AA76"/>
    <mergeCell ref="AB78:AD78"/>
    <mergeCell ref="A79:B79"/>
    <mergeCell ref="F79:J79"/>
    <mergeCell ref="K79:L79"/>
    <mergeCell ref="N79:O79"/>
    <mergeCell ref="P79:Q79"/>
    <mergeCell ref="R79:AA79"/>
    <mergeCell ref="AB79:AD79"/>
    <mergeCell ref="A78:B78"/>
    <mergeCell ref="F78:J78"/>
    <mergeCell ref="K78:L78"/>
    <mergeCell ref="N78:O78"/>
    <mergeCell ref="P78:Q78"/>
    <mergeCell ref="R78:AA78"/>
    <mergeCell ref="AB80:AD80"/>
    <mergeCell ref="A81:E81"/>
    <mergeCell ref="A82:B82"/>
    <mergeCell ref="F82:J82"/>
    <mergeCell ref="K82:S82"/>
    <mergeCell ref="T82:U82"/>
    <mergeCell ref="V82:W82"/>
    <mergeCell ref="X82:AD82"/>
    <mergeCell ref="A80:B80"/>
    <mergeCell ref="F80:J80"/>
    <mergeCell ref="K80:L80"/>
    <mergeCell ref="N80:O80"/>
    <mergeCell ref="P80:Q80"/>
    <mergeCell ref="R80:AA80"/>
    <mergeCell ref="A84:B84"/>
    <mergeCell ref="F84:J84"/>
    <mergeCell ref="K84:S84"/>
    <mergeCell ref="T84:U84"/>
    <mergeCell ref="V84:W84"/>
    <mergeCell ref="X84:AD84"/>
    <mergeCell ref="A83:B83"/>
    <mergeCell ref="F83:J83"/>
    <mergeCell ref="K83:S83"/>
    <mergeCell ref="T83:U83"/>
    <mergeCell ref="V83:W83"/>
    <mergeCell ref="X83:AD83"/>
    <mergeCell ref="A86:B86"/>
    <mergeCell ref="F86:J86"/>
    <mergeCell ref="K86:S86"/>
    <mergeCell ref="T86:U86"/>
    <mergeCell ref="V86:W86"/>
    <mergeCell ref="X86:AD86"/>
    <mergeCell ref="A85:B85"/>
    <mergeCell ref="F85:J85"/>
    <mergeCell ref="K85:S85"/>
    <mergeCell ref="T85:U85"/>
    <mergeCell ref="V85:W85"/>
    <mergeCell ref="X85:AD85"/>
    <mergeCell ref="V89:W89"/>
    <mergeCell ref="X89:AD89"/>
    <mergeCell ref="A88:B88"/>
    <mergeCell ref="F88:J88"/>
    <mergeCell ref="K88:S88"/>
    <mergeCell ref="T88:U88"/>
    <mergeCell ref="V88:W88"/>
    <mergeCell ref="X88:AD88"/>
    <mergeCell ref="A87:B87"/>
    <mergeCell ref="F87:J87"/>
    <mergeCell ref="K87:S87"/>
    <mergeCell ref="T87:U87"/>
    <mergeCell ref="V87:W87"/>
    <mergeCell ref="X87:AD87"/>
    <mergeCell ref="A90:E90"/>
    <mergeCell ref="A91:B91"/>
    <mergeCell ref="C91:D91"/>
    <mergeCell ref="E91:J91"/>
    <mergeCell ref="K91:S91"/>
    <mergeCell ref="T91:U91"/>
    <mergeCell ref="A89:B89"/>
    <mergeCell ref="F89:J89"/>
    <mergeCell ref="K89:S89"/>
    <mergeCell ref="T89:U89"/>
    <mergeCell ref="V91:X91"/>
    <mergeCell ref="Y91:AD91"/>
    <mergeCell ref="A92:B92"/>
    <mergeCell ref="C92:D92"/>
    <mergeCell ref="E92:J92"/>
    <mergeCell ref="K92:S92"/>
    <mergeCell ref="T92:U92"/>
    <mergeCell ref="V92:X92"/>
    <mergeCell ref="Y92:AD92"/>
    <mergeCell ref="Y93:AD93"/>
    <mergeCell ref="A94:B94"/>
    <mergeCell ref="C94:D94"/>
    <mergeCell ref="E94:J94"/>
    <mergeCell ref="K94:S94"/>
    <mergeCell ref="T94:U94"/>
    <mergeCell ref="V94:X94"/>
    <mergeCell ref="Y94:AD94"/>
    <mergeCell ref="A93:B93"/>
    <mergeCell ref="C93:D93"/>
    <mergeCell ref="E93:J93"/>
    <mergeCell ref="K93:S93"/>
    <mergeCell ref="T93:U93"/>
    <mergeCell ref="V93:X93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54" max="29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9D48D-8742-4C32-B0DA-F9BA7C90DB11}">
  <sheetPr codeName="Sheet15">
    <pageSetUpPr fitToPage="1"/>
  </sheetPr>
  <dimension ref="A1:AF93"/>
  <sheetViews>
    <sheetView view="pageBreakPreview" zoomScale="70" zoomScaleNormal="72" zoomScaleSheetLayoutView="70" workbookViewId="0">
      <selection activeCell="A16" sqref="A16:XFD16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1" bestFit="1" customWidth="1"/>
    <col min="33" max="33" width="17.625" style="50" customWidth="1"/>
    <col min="34" max="16384" width="9" style="50"/>
  </cols>
  <sheetData>
    <row r="1" spans="1:32" ht="44.25" customHeight="1">
      <c r="A1" s="461" t="s">
        <v>692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61"/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62"/>
      <c r="B3" s="462"/>
      <c r="C3" s="462"/>
      <c r="D3" s="462"/>
      <c r="E3" s="462"/>
      <c r="F3" s="462"/>
      <c r="G3" s="462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63" t="s">
        <v>0</v>
      </c>
      <c r="B4" s="465" t="s">
        <v>1</v>
      </c>
      <c r="C4" s="465" t="s">
        <v>2</v>
      </c>
      <c r="D4" s="468" t="s">
        <v>3</v>
      </c>
      <c r="E4" s="470" t="s">
        <v>4</v>
      </c>
      <c r="F4" s="468" t="s">
        <v>5</v>
      </c>
      <c r="G4" s="465" t="s">
        <v>6</v>
      </c>
      <c r="H4" s="471" t="s">
        <v>7</v>
      </c>
      <c r="I4" s="451" t="s">
        <v>8</v>
      </c>
      <c r="J4" s="452"/>
      <c r="K4" s="452"/>
      <c r="L4" s="452"/>
      <c r="M4" s="452"/>
      <c r="N4" s="452"/>
      <c r="O4" s="453"/>
      <c r="P4" s="454" t="s">
        <v>9</v>
      </c>
      <c r="Q4" s="455"/>
      <c r="R4" s="456" t="s">
        <v>10</v>
      </c>
      <c r="S4" s="457"/>
      <c r="T4" s="457"/>
      <c r="U4" s="457"/>
      <c r="V4" s="458"/>
      <c r="W4" s="457" t="s">
        <v>11</v>
      </c>
      <c r="X4" s="457"/>
      <c r="Y4" s="457"/>
      <c r="Z4" s="457"/>
      <c r="AA4" s="458"/>
      <c r="AB4" s="459" t="s">
        <v>12</v>
      </c>
      <c r="AC4" s="433" t="s">
        <v>13</v>
      </c>
      <c r="AD4" s="433" t="s">
        <v>14</v>
      </c>
      <c r="AE4" s="54"/>
    </row>
    <row r="5" spans="1:32" ht="51" customHeight="1" thickBot="1">
      <c r="A5" s="464"/>
      <c r="B5" s="466"/>
      <c r="C5" s="467"/>
      <c r="D5" s="469"/>
      <c r="E5" s="469"/>
      <c r="F5" s="469"/>
      <c r="G5" s="466"/>
      <c r="H5" s="472"/>
      <c r="I5" s="55" t="s">
        <v>15</v>
      </c>
      <c r="J5" s="56" t="s">
        <v>16</v>
      </c>
      <c r="K5" s="266" t="s">
        <v>17</v>
      </c>
      <c r="L5" s="266" t="s">
        <v>18</v>
      </c>
      <c r="M5" s="266" t="s">
        <v>19</v>
      </c>
      <c r="N5" s="266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60"/>
      <c r="AC5" s="434"/>
      <c r="AD5" s="434"/>
      <c r="AE5" s="54"/>
    </row>
    <row r="6" spans="1:32" ht="27" customHeight="1">
      <c r="A6" s="106">
        <v>1</v>
      </c>
      <c r="B6" s="11" t="s">
        <v>57</v>
      </c>
      <c r="C6" s="34" t="s">
        <v>116</v>
      </c>
      <c r="D6" s="52" t="s">
        <v>140</v>
      </c>
      <c r="E6" s="53" t="s">
        <v>392</v>
      </c>
      <c r="F6" s="30" t="s">
        <v>155</v>
      </c>
      <c r="G6" s="12">
        <v>2</v>
      </c>
      <c r="H6" s="13">
        <v>24</v>
      </c>
      <c r="I6" s="31">
        <v>5000</v>
      </c>
      <c r="J6" s="14">
        <v>5402</v>
      </c>
      <c r="K6" s="15">
        <f>L6+5402</f>
        <v>5402</v>
      </c>
      <c r="L6" s="15"/>
      <c r="M6" s="15">
        <f t="shared" ref="M6:M27" si="0">L6-N6</f>
        <v>0</v>
      </c>
      <c r="N6" s="15">
        <v>0</v>
      </c>
      <c r="O6" s="58" t="str">
        <f t="shared" ref="O6:O28" si="1">IF(L6=0,"0",N6/L6)</f>
        <v>0</v>
      </c>
      <c r="P6" s="39" t="str">
        <f t="shared" ref="P6:P27" si="2">IF(L6=0,"0",(24-Q6))</f>
        <v>0</v>
      </c>
      <c r="Q6" s="40">
        <f t="shared" ref="Q6:Q27" si="3">SUM(R6:AA6)</f>
        <v>24</v>
      </c>
      <c r="R6" s="7"/>
      <c r="S6" s="6"/>
      <c r="T6" s="16"/>
      <c r="U6" s="16"/>
      <c r="V6" s="17"/>
      <c r="W6" s="5"/>
      <c r="X6" s="16"/>
      <c r="Y6" s="16"/>
      <c r="Z6" s="16"/>
      <c r="AA6" s="18">
        <v>24</v>
      </c>
      <c r="AB6" s="8">
        <f t="shared" ref="AB6:AB27" si="4">IF(J6=0,"0",(L6/J6))</f>
        <v>0</v>
      </c>
      <c r="AC6" s="9">
        <f t="shared" ref="AC6:AC27" si="5">IF(P6=0,"0",(P6/24))</f>
        <v>0</v>
      </c>
      <c r="AD6" s="10">
        <f>AC6*AB6*(1-O6)</f>
        <v>0</v>
      </c>
      <c r="AE6" s="36">
        <f t="shared" ref="AE6:AE27" si="6">$AD$28</f>
        <v>0.6382575757575758</v>
      </c>
      <c r="AF6" s="81">
        <f t="shared" ref="AF6:AF27" si="7">A6</f>
        <v>1</v>
      </c>
    </row>
    <row r="7" spans="1:32" ht="27" customHeight="1">
      <c r="A7" s="106">
        <v>2</v>
      </c>
      <c r="B7" s="11" t="s">
        <v>57</v>
      </c>
      <c r="C7" s="34" t="s">
        <v>112</v>
      </c>
      <c r="D7" s="52" t="s">
        <v>140</v>
      </c>
      <c r="E7" s="53" t="s">
        <v>693</v>
      </c>
      <c r="F7" s="30" t="s">
        <v>139</v>
      </c>
      <c r="G7" s="12">
        <v>1</v>
      </c>
      <c r="H7" s="13">
        <v>24</v>
      </c>
      <c r="I7" s="31">
        <v>55000</v>
      </c>
      <c r="J7" s="14">
        <v>4962</v>
      </c>
      <c r="K7" s="15">
        <f>L7</f>
        <v>4962</v>
      </c>
      <c r="L7" s="15">
        <f>2401+2561</f>
        <v>4962</v>
      </c>
      <c r="M7" s="15">
        <f t="shared" si="0"/>
        <v>4962</v>
      </c>
      <c r="N7" s="15">
        <v>0</v>
      </c>
      <c r="O7" s="58">
        <f t="shared" si="1"/>
        <v>0</v>
      </c>
      <c r="P7" s="39">
        <f t="shared" si="2"/>
        <v>24</v>
      </c>
      <c r="Q7" s="40">
        <f t="shared" si="3"/>
        <v>0</v>
      </c>
      <c r="R7" s="7"/>
      <c r="S7" s="6"/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1</v>
      </c>
      <c r="AD7" s="10">
        <f t="shared" ref="AD7:AD27" si="8">AC7*AB7*(1-O7)</f>
        <v>1</v>
      </c>
      <c r="AE7" s="36">
        <f t="shared" si="6"/>
        <v>0.6382575757575758</v>
      </c>
      <c r="AF7" s="81">
        <f t="shared" si="7"/>
        <v>2</v>
      </c>
    </row>
    <row r="8" spans="1:32" ht="27" customHeight="1">
      <c r="A8" s="92">
        <v>3</v>
      </c>
      <c r="B8" s="11" t="s">
        <v>57</v>
      </c>
      <c r="C8" s="34" t="s">
        <v>461</v>
      </c>
      <c r="D8" s="52" t="s">
        <v>644</v>
      </c>
      <c r="E8" s="53" t="s">
        <v>645</v>
      </c>
      <c r="F8" s="30" t="s">
        <v>646</v>
      </c>
      <c r="G8" s="12" t="s">
        <v>647</v>
      </c>
      <c r="H8" s="13">
        <v>22</v>
      </c>
      <c r="I8" s="31">
        <v>2000</v>
      </c>
      <c r="J8" s="5">
        <v>5230</v>
      </c>
      <c r="K8" s="15">
        <f>L8+5665</f>
        <v>10895</v>
      </c>
      <c r="L8" s="15">
        <f>1944+3286</f>
        <v>5230</v>
      </c>
      <c r="M8" s="15">
        <f t="shared" si="0"/>
        <v>5230</v>
      </c>
      <c r="N8" s="15">
        <v>0</v>
      </c>
      <c r="O8" s="58">
        <f t="shared" si="1"/>
        <v>0</v>
      </c>
      <c r="P8" s="39">
        <f t="shared" si="2"/>
        <v>24</v>
      </c>
      <c r="Q8" s="40">
        <f t="shared" si="3"/>
        <v>0</v>
      </c>
      <c r="R8" s="7"/>
      <c r="S8" s="6"/>
      <c r="T8" s="16"/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1</v>
      </c>
      <c r="AD8" s="10">
        <f t="shared" si="8"/>
        <v>1</v>
      </c>
      <c r="AE8" s="36">
        <f t="shared" si="6"/>
        <v>0.6382575757575758</v>
      </c>
      <c r="AF8" s="81">
        <f t="shared" si="7"/>
        <v>3</v>
      </c>
    </row>
    <row r="9" spans="1:32" ht="27" customHeight="1">
      <c r="A9" s="92">
        <v>4</v>
      </c>
      <c r="B9" s="11" t="s">
        <v>57</v>
      </c>
      <c r="C9" s="34" t="s">
        <v>116</v>
      </c>
      <c r="D9" s="52" t="s">
        <v>284</v>
      </c>
      <c r="E9" s="53" t="s">
        <v>312</v>
      </c>
      <c r="F9" s="30" t="s">
        <v>323</v>
      </c>
      <c r="G9" s="12">
        <v>1</v>
      </c>
      <c r="H9" s="13">
        <v>24</v>
      </c>
      <c r="I9" s="7">
        <v>60000</v>
      </c>
      <c r="J9" s="14">
        <v>5164</v>
      </c>
      <c r="K9" s="15">
        <f>L9+3954+360+4890+6432+4873+5904+4751+4306+5070</f>
        <v>45704</v>
      </c>
      <c r="L9" s="15">
        <f>2534+2630</f>
        <v>5164</v>
      </c>
      <c r="M9" s="15">
        <f t="shared" si="0"/>
        <v>5164</v>
      </c>
      <c r="N9" s="15">
        <v>0</v>
      </c>
      <c r="O9" s="58">
        <f t="shared" si="1"/>
        <v>0</v>
      </c>
      <c r="P9" s="39">
        <f t="shared" si="2"/>
        <v>23</v>
      </c>
      <c r="Q9" s="40">
        <f t="shared" si="3"/>
        <v>1</v>
      </c>
      <c r="R9" s="7"/>
      <c r="S9" s="6">
        <v>1</v>
      </c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0.95833333333333337</v>
      </c>
      <c r="AD9" s="10">
        <f t="shared" si="8"/>
        <v>0.95833333333333337</v>
      </c>
      <c r="AE9" s="36">
        <f t="shared" si="6"/>
        <v>0.6382575757575758</v>
      </c>
      <c r="AF9" s="81">
        <f t="shared" si="7"/>
        <v>4</v>
      </c>
    </row>
    <row r="10" spans="1:32" ht="27" customHeight="1">
      <c r="A10" s="92">
        <v>5</v>
      </c>
      <c r="B10" s="11" t="s">
        <v>57</v>
      </c>
      <c r="C10" s="11" t="s">
        <v>112</v>
      </c>
      <c r="D10" s="52" t="s">
        <v>121</v>
      </c>
      <c r="E10" s="53" t="s">
        <v>188</v>
      </c>
      <c r="F10" s="30" t="s">
        <v>124</v>
      </c>
      <c r="G10" s="33">
        <v>1</v>
      </c>
      <c r="H10" s="35">
        <v>24</v>
      </c>
      <c r="I10" s="7">
        <v>115000</v>
      </c>
      <c r="J10" s="14">
        <v>1739</v>
      </c>
      <c r="K10" s="15">
        <f>L10+5338+5669+5744+4980+3619+1932+309+2790+5660+4715+1739</f>
        <v>42495</v>
      </c>
      <c r="L10" s="15"/>
      <c r="M10" s="15">
        <f t="shared" si="0"/>
        <v>0</v>
      </c>
      <c r="N10" s="15">
        <v>0</v>
      </c>
      <c r="O10" s="58" t="str">
        <f t="shared" si="1"/>
        <v>0</v>
      </c>
      <c r="P10" s="39" t="str">
        <f t="shared" si="2"/>
        <v>0</v>
      </c>
      <c r="Q10" s="40">
        <f t="shared" si="3"/>
        <v>24</v>
      </c>
      <c r="R10" s="7"/>
      <c r="S10" s="6">
        <v>24</v>
      </c>
      <c r="T10" s="16"/>
      <c r="U10" s="16"/>
      <c r="V10" s="17"/>
      <c r="W10" s="5"/>
      <c r="X10" s="16"/>
      <c r="Y10" s="16"/>
      <c r="Z10" s="16"/>
      <c r="AA10" s="18"/>
      <c r="AB10" s="8">
        <f t="shared" si="4"/>
        <v>0</v>
      </c>
      <c r="AC10" s="9">
        <f t="shared" si="5"/>
        <v>0</v>
      </c>
      <c r="AD10" s="10">
        <f t="shared" si="8"/>
        <v>0</v>
      </c>
      <c r="AE10" s="36">
        <f t="shared" si="6"/>
        <v>0.6382575757575758</v>
      </c>
      <c r="AF10" s="81">
        <f t="shared" si="7"/>
        <v>5</v>
      </c>
    </row>
    <row r="11" spans="1:32" ht="27" customHeight="1">
      <c r="A11" s="92">
        <v>6</v>
      </c>
      <c r="B11" s="11" t="s">
        <v>57</v>
      </c>
      <c r="C11" s="11" t="s">
        <v>127</v>
      </c>
      <c r="D11" s="52" t="s">
        <v>572</v>
      </c>
      <c r="E11" s="53" t="s">
        <v>544</v>
      </c>
      <c r="F11" s="30" t="s">
        <v>124</v>
      </c>
      <c r="G11" s="33">
        <v>4</v>
      </c>
      <c r="H11" s="35">
        <v>24</v>
      </c>
      <c r="I11" s="7">
        <v>100000</v>
      </c>
      <c r="J11" s="14">
        <v>4968</v>
      </c>
      <c r="K11" s="15">
        <f>L11+117404+13952</f>
        <v>136324</v>
      </c>
      <c r="L11" s="15">
        <f>827*4+415*4</f>
        <v>4968</v>
      </c>
      <c r="M11" s="15">
        <f t="shared" si="0"/>
        <v>4968</v>
      </c>
      <c r="N11" s="15">
        <v>0</v>
      </c>
      <c r="O11" s="58">
        <f t="shared" si="1"/>
        <v>0</v>
      </c>
      <c r="P11" s="39">
        <f t="shared" si="2"/>
        <v>4</v>
      </c>
      <c r="Q11" s="40">
        <f t="shared" si="3"/>
        <v>20</v>
      </c>
      <c r="R11" s="7"/>
      <c r="S11" s="6">
        <v>20</v>
      </c>
      <c r="T11" s="16"/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0.16666666666666666</v>
      </c>
      <c r="AD11" s="10">
        <f t="shared" si="8"/>
        <v>0.16666666666666666</v>
      </c>
      <c r="AE11" s="36">
        <f t="shared" si="6"/>
        <v>0.6382575757575758</v>
      </c>
      <c r="AF11" s="81">
        <f t="shared" si="7"/>
        <v>6</v>
      </c>
    </row>
    <row r="12" spans="1:32" ht="27" customHeight="1">
      <c r="A12" s="92">
        <v>7</v>
      </c>
      <c r="B12" s="11" t="s">
        <v>57</v>
      </c>
      <c r="C12" s="34" t="s">
        <v>112</v>
      </c>
      <c r="D12" s="52" t="s">
        <v>147</v>
      </c>
      <c r="E12" s="53" t="s">
        <v>547</v>
      </c>
      <c r="F12" s="30" t="s">
        <v>286</v>
      </c>
      <c r="G12" s="12">
        <v>1</v>
      </c>
      <c r="H12" s="13">
        <v>22</v>
      </c>
      <c r="I12" s="31">
        <v>40000</v>
      </c>
      <c r="J12" s="5">
        <v>3717</v>
      </c>
      <c r="K12" s="15">
        <f>L12+4452+3191+2676</f>
        <v>14036</v>
      </c>
      <c r="L12" s="15">
        <f>2033+1684</f>
        <v>3717</v>
      </c>
      <c r="M12" s="15">
        <f t="shared" si="0"/>
        <v>3717</v>
      </c>
      <c r="N12" s="15">
        <v>0</v>
      </c>
      <c r="O12" s="58">
        <f t="shared" si="1"/>
        <v>0</v>
      </c>
      <c r="P12" s="39">
        <f t="shared" si="2"/>
        <v>21</v>
      </c>
      <c r="Q12" s="40">
        <f t="shared" si="3"/>
        <v>3</v>
      </c>
      <c r="R12" s="7"/>
      <c r="S12" s="6">
        <v>3</v>
      </c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0.875</v>
      </c>
      <c r="AD12" s="10">
        <f t="shared" si="8"/>
        <v>0.875</v>
      </c>
      <c r="AE12" s="36">
        <f t="shared" si="6"/>
        <v>0.6382575757575758</v>
      </c>
      <c r="AF12" s="81">
        <f t="shared" si="7"/>
        <v>7</v>
      </c>
    </row>
    <row r="13" spans="1:32" ht="27" customHeight="1">
      <c r="A13" s="92">
        <v>8</v>
      </c>
      <c r="B13" s="11" t="s">
        <v>57</v>
      </c>
      <c r="C13" s="11" t="s">
        <v>127</v>
      </c>
      <c r="D13" s="52" t="s">
        <v>209</v>
      </c>
      <c r="E13" s="53" t="s">
        <v>180</v>
      </c>
      <c r="F13" s="30" t="s">
        <v>123</v>
      </c>
      <c r="G13" s="33">
        <v>1</v>
      </c>
      <c r="H13" s="35">
        <v>22</v>
      </c>
      <c r="I13" s="7">
        <v>17400</v>
      </c>
      <c r="J13" s="14">
        <v>1929</v>
      </c>
      <c r="K13" s="15">
        <f>L13+3357+4440</f>
        <v>9726</v>
      </c>
      <c r="L13" s="15">
        <f>1929</f>
        <v>1929</v>
      </c>
      <c r="M13" s="15">
        <f t="shared" si="0"/>
        <v>1929</v>
      </c>
      <c r="N13" s="15">
        <v>0</v>
      </c>
      <c r="O13" s="58">
        <f t="shared" si="1"/>
        <v>0</v>
      </c>
      <c r="P13" s="39">
        <f t="shared" si="2"/>
        <v>13</v>
      </c>
      <c r="Q13" s="40">
        <f t="shared" si="3"/>
        <v>11</v>
      </c>
      <c r="R13" s="7"/>
      <c r="S13" s="6">
        <v>11</v>
      </c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0.54166666666666663</v>
      </c>
      <c r="AD13" s="10">
        <f t="shared" si="8"/>
        <v>0.54166666666666663</v>
      </c>
      <c r="AE13" s="36">
        <f t="shared" si="6"/>
        <v>0.6382575757575758</v>
      </c>
      <c r="AF13" s="81">
        <f t="shared" si="7"/>
        <v>8</v>
      </c>
    </row>
    <row r="14" spans="1:32" ht="27" customHeight="1">
      <c r="A14" s="99">
        <v>9</v>
      </c>
      <c r="B14" s="11" t="s">
        <v>57</v>
      </c>
      <c r="C14" s="34" t="s">
        <v>112</v>
      </c>
      <c r="D14" s="52" t="s">
        <v>115</v>
      </c>
      <c r="E14" s="53" t="s">
        <v>165</v>
      </c>
      <c r="F14" s="30" t="s">
        <v>167</v>
      </c>
      <c r="G14" s="33">
        <v>1</v>
      </c>
      <c r="H14" s="35">
        <v>50</v>
      </c>
      <c r="I14" s="7">
        <v>300</v>
      </c>
      <c r="J14" s="5">
        <v>391</v>
      </c>
      <c r="K14" s="15">
        <f>L14+300</f>
        <v>300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/>
      <c r="T14" s="16"/>
      <c r="U14" s="16"/>
      <c r="V14" s="17"/>
      <c r="W14" s="5"/>
      <c r="X14" s="16"/>
      <c r="Y14" s="16"/>
      <c r="Z14" s="16"/>
      <c r="AA14" s="18">
        <v>24</v>
      </c>
      <c r="AB14" s="8">
        <f t="shared" si="4"/>
        <v>0</v>
      </c>
      <c r="AC14" s="9">
        <f t="shared" si="5"/>
        <v>0</v>
      </c>
      <c r="AD14" s="10">
        <f t="shared" si="8"/>
        <v>0</v>
      </c>
      <c r="AE14" s="36">
        <f t="shared" si="6"/>
        <v>0.6382575757575758</v>
      </c>
      <c r="AF14" s="81">
        <f t="shared" si="7"/>
        <v>9</v>
      </c>
    </row>
    <row r="15" spans="1:32" ht="27" customHeight="1">
      <c r="A15" s="106">
        <v>10</v>
      </c>
      <c r="B15" s="11" t="s">
        <v>57</v>
      </c>
      <c r="C15" s="34" t="s">
        <v>112</v>
      </c>
      <c r="D15" s="52" t="s">
        <v>140</v>
      </c>
      <c r="E15" s="53" t="s">
        <v>149</v>
      </c>
      <c r="F15" s="30" t="s">
        <v>139</v>
      </c>
      <c r="G15" s="12">
        <v>1</v>
      </c>
      <c r="H15" s="13">
        <v>24</v>
      </c>
      <c r="I15" s="31">
        <v>190000</v>
      </c>
      <c r="J15" s="14">
        <v>9948</v>
      </c>
      <c r="K15" s="15">
        <f>L15+8898+11520+11558+11486+11566+10872+10958+11534+11518+11230+7112+9722+10964+11352+11534+11138+5920+10578</f>
        <v>199408</v>
      </c>
      <c r="L15" s="15">
        <f>2205*2+2769*2</f>
        <v>9948</v>
      </c>
      <c r="M15" s="15">
        <f t="shared" si="0"/>
        <v>9948</v>
      </c>
      <c r="N15" s="15">
        <v>0</v>
      </c>
      <c r="O15" s="58">
        <f t="shared" si="1"/>
        <v>0</v>
      </c>
      <c r="P15" s="39">
        <f t="shared" si="2"/>
        <v>24</v>
      </c>
      <c r="Q15" s="40">
        <f t="shared" si="3"/>
        <v>0</v>
      </c>
      <c r="R15" s="7"/>
      <c r="S15" s="6"/>
      <c r="T15" s="16"/>
      <c r="U15" s="16"/>
      <c r="V15" s="17"/>
      <c r="W15" s="5"/>
      <c r="X15" s="16"/>
      <c r="Y15" s="16"/>
      <c r="Z15" s="16"/>
      <c r="AA15" s="18"/>
      <c r="AB15" s="8">
        <f t="shared" si="4"/>
        <v>1</v>
      </c>
      <c r="AC15" s="9">
        <f t="shared" si="5"/>
        <v>1</v>
      </c>
      <c r="AD15" s="10">
        <f t="shared" si="8"/>
        <v>1</v>
      </c>
      <c r="AE15" s="36">
        <f t="shared" si="6"/>
        <v>0.6382575757575758</v>
      </c>
      <c r="AF15" s="81">
        <f t="shared" si="7"/>
        <v>10</v>
      </c>
    </row>
    <row r="16" spans="1:32" ht="27" customHeight="1">
      <c r="A16" s="92">
        <v>11</v>
      </c>
      <c r="B16" s="11" t="s">
        <v>57</v>
      </c>
      <c r="C16" s="34" t="s">
        <v>116</v>
      </c>
      <c r="D16" s="52" t="s">
        <v>129</v>
      </c>
      <c r="E16" s="53" t="s">
        <v>178</v>
      </c>
      <c r="F16" s="30" t="s">
        <v>124</v>
      </c>
      <c r="G16" s="12">
        <v>1</v>
      </c>
      <c r="H16" s="13">
        <v>22</v>
      </c>
      <c r="I16" s="31">
        <v>90000</v>
      </c>
      <c r="J16" s="5">
        <v>5220</v>
      </c>
      <c r="K16" s="15">
        <f>L16+8120+11780+9608+2367+4983+6240+3068+8262+5992</f>
        <v>65640</v>
      </c>
      <c r="L16" s="15">
        <f>2321+2899</f>
        <v>5220</v>
      </c>
      <c r="M16" s="15">
        <f t="shared" si="0"/>
        <v>5220</v>
      </c>
      <c r="N16" s="15">
        <v>0</v>
      </c>
      <c r="O16" s="58">
        <f t="shared" si="1"/>
        <v>0</v>
      </c>
      <c r="P16" s="39">
        <f t="shared" si="2"/>
        <v>24</v>
      </c>
      <c r="Q16" s="40">
        <f t="shared" si="3"/>
        <v>0</v>
      </c>
      <c r="R16" s="7"/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1</v>
      </c>
      <c r="AD16" s="10">
        <f t="shared" si="8"/>
        <v>1</v>
      </c>
      <c r="AE16" s="36">
        <f t="shared" si="6"/>
        <v>0.6382575757575758</v>
      </c>
      <c r="AF16" s="81">
        <f t="shared" si="7"/>
        <v>11</v>
      </c>
    </row>
    <row r="17" spans="1:32" ht="27" customHeight="1">
      <c r="A17" s="106">
        <v>12</v>
      </c>
      <c r="B17" s="11" t="s">
        <v>57</v>
      </c>
      <c r="C17" s="34" t="s">
        <v>127</v>
      </c>
      <c r="D17" s="52" t="s">
        <v>129</v>
      </c>
      <c r="E17" s="53" t="s">
        <v>599</v>
      </c>
      <c r="F17" s="30" t="s">
        <v>625</v>
      </c>
      <c r="G17" s="12">
        <v>3</v>
      </c>
      <c r="H17" s="13">
        <v>24</v>
      </c>
      <c r="I17" s="7">
        <v>85000</v>
      </c>
      <c r="J17" s="14">
        <v>15855</v>
      </c>
      <c r="K17" s="15">
        <f>L17+13281+18096</f>
        <v>47232</v>
      </c>
      <c r="L17" s="15">
        <f>2341*3+2944*3</f>
        <v>15855</v>
      </c>
      <c r="M17" s="15">
        <f t="shared" si="0"/>
        <v>15855</v>
      </c>
      <c r="N17" s="15">
        <v>0</v>
      </c>
      <c r="O17" s="58">
        <f t="shared" si="1"/>
        <v>0</v>
      </c>
      <c r="P17" s="39">
        <f t="shared" si="2"/>
        <v>24</v>
      </c>
      <c r="Q17" s="40">
        <f t="shared" si="3"/>
        <v>0</v>
      </c>
      <c r="R17" s="7"/>
      <c r="S17" s="6"/>
      <c r="T17" s="16"/>
      <c r="U17" s="16"/>
      <c r="V17" s="17"/>
      <c r="W17" s="5"/>
      <c r="X17" s="16"/>
      <c r="Y17" s="16"/>
      <c r="Z17" s="16"/>
      <c r="AA17" s="18"/>
      <c r="AB17" s="8">
        <f t="shared" si="4"/>
        <v>1</v>
      </c>
      <c r="AC17" s="9">
        <f t="shared" si="5"/>
        <v>1</v>
      </c>
      <c r="AD17" s="10">
        <f t="shared" si="8"/>
        <v>1</v>
      </c>
      <c r="AE17" s="36">
        <f t="shared" si="6"/>
        <v>0.6382575757575758</v>
      </c>
      <c r="AF17" s="81">
        <f t="shared" si="7"/>
        <v>12</v>
      </c>
    </row>
    <row r="18" spans="1:32" ht="27" customHeight="1">
      <c r="A18" s="92">
        <v>13</v>
      </c>
      <c r="B18" s="11" t="s">
        <v>57</v>
      </c>
      <c r="C18" s="34" t="s">
        <v>116</v>
      </c>
      <c r="D18" s="52" t="s">
        <v>121</v>
      </c>
      <c r="E18" s="53" t="s">
        <v>694</v>
      </c>
      <c r="F18" s="30" t="s">
        <v>128</v>
      </c>
      <c r="G18" s="12">
        <v>2</v>
      </c>
      <c r="H18" s="13">
        <v>22</v>
      </c>
      <c r="I18" s="31">
        <v>5000</v>
      </c>
      <c r="J18" s="5">
        <v>5544</v>
      </c>
      <c r="K18" s="15">
        <f>L18</f>
        <v>5544</v>
      </c>
      <c r="L18" s="15">
        <f>771*2+2001*2</f>
        <v>5544</v>
      </c>
      <c r="M18" s="15">
        <f t="shared" si="0"/>
        <v>5544</v>
      </c>
      <c r="N18" s="15">
        <v>0</v>
      </c>
      <c r="O18" s="58">
        <f t="shared" si="1"/>
        <v>0</v>
      </c>
      <c r="P18" s="39">
        <f t="shared" si="2"/>
        <v>13</v>
      </c>
      <c r="Q18" s="40">
        <f t="shared" si="3"/>
        <v>11</v>
      </c>
      <c r="R18" s="7"/>
      <c r="S18" s="6"/>
      <c r="T18" s="16">
        <v>11</v>
      </c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0.54166666666666663</v>
      </c>
      <c r="AD18" s="10">
        <f t="shared" si="8"/>
        <v>0.54166666666666663</v>
      </c>
      <c r="AE18" s="36">
        <f t="shared" si="6"/>
        <v>0.6382575757575758</v>
      </c>
      <c r="AF18" s="81">
        <f t="shared" si="7"/>
        <v>13</v>
      </c>
    </row>
    <row r="19" spans="1:32" ht="27" customHeight="1">
      <c r="A19" s="92">
        <v>14</v>
      </c>
      <c r="B19" s="11" t="s">
        <v>57</v>
      </c>
      <c r="C19" s="11" t="s">
        <v>461</v>
      </c>
      <c r="D19" s="52" t="s">
        <v>577</v>
      </c>
      <c r="E19" s="53" t="s">
        <v>578</v>
      </c>
      <c r="F19" s="30" t="s">
        <v>579</v>
      </c>
      <c r="G19" s="33">
        <v>3</v>
      </c>
      <c r="H19" s="35">
        <v>24</v>
      </c>
      <c r="I19" s="7">
        <v>20000</v>
      </c>
      <c r="J19" s="14">
        <v>20784</v>
      </c>
      <c r="K19" s="15">
        <f>L19+12764+18085+23730</f>
        <v>75363</v>
      </c>
      <c r="L19" s="15">
        <f>3088*3+3840*3</f>
        <v>20784</v>
      </c>
      <c r="M19" s="15">
        <f t="shared" si="0"/>
        <v>20784</v>
      </c>
      <c r="N19" s="15">
        <v>0</v>
      </c>
      <c r="O19" s="58">
        <f t="shared" si="1"/>
        <v>0</v>
      </c>
      <c r="P19" s="39">
        <f t="shared" si="2"/>
        <v>24</v>
      </c>
      <c r="Q19" s="40">
        <f t="shared" si="3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1</v>
      </c>
      <c r="AD19" s="10">
        <f t="shared" si="8"/>
        <v>1</v>
      </c>
      <c r="AE19" s="36">
        <f t="shared" si="6"/>
        <v>0.6382575757575758</v>
      </c>
      <c r="AF19" s="81">
        <f t="shared" si="7"/>
        <v>14</v>
      </c>
    </row>
    <row r="20" spans="1:32" ht="27" customHeight="1">
      <c r="A20" s="106">
        <v>15</v>
      </c>
      <c r="B20" s="11" t="s">
        <v>57</v>
      </c>
      <c r="C20" s="11" t="s">
        <v>112</v>
      </c>
      <c r="D20" s="52" t="s">
        <v>115</v>
      </c>
      <c r="E20" s="53" t="s">
        <v>148</v>
      </c>
      <c r="F20" s="30" t="s">
        <v>138</v>
      </c>
      <c r="G20" s="33">
        <v>2</v>
      </c>
      <c r="H20" s="35">
        <v>24</v>
      </c>
      <c r="I20" s="7">
        <v>190000</v>
      </c>
      <c r="J20" s="14">
        <v>9846</v>
      </c>
      <c r="K20" s="15">
        <f>L20+2429+7472+8688+7444+11036+10988+11010+10896+8170+1188+8544+8600+10428+2136+6276+9709+8542</f>
        <v>143402</v>
      </c>
      <c r="L20" s="15">
        <f>2718*2+2205*2</f>
        <v>9846</v>
      </c>
      <c r="M20" s="15">
        <f t="shared" si="0"/>
        <v>9846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si="8"/>
        <v>1</v>
      </c>
      <c r="AE20" s="36">
        <f t="shared" si="6"/>
        <v>0.6382575757575758</v>
      </c>
      <c r="AF20" s="81">
        <f t="shared" si="7"/>
        <v>15</v>
      </c>
    </row>
    <row r="21" spans="1:32" ht="26.25" customHeight="1">
      <c r="A21" s="92">
        <v>16</v>
      </c>
      <c r="B21" s="11" t="s">
        <v>57</v>
      </c>
      <c r="C21" s="11" t="s">
        <v>113</v>
      </c>
      <c r="D21" s="52"/>
      <c r="E21" s="53" t="s">
        <v>160</v>
      </c>
      <c r="F21" s="12" t="s">
        <v>114</v>
      </c>
      <c r="G21" s="12">
        <v>4</v>
      </c>
      <c r="H21" s="35">
        <v>20</v>
      </c>
      <c r="I21" s="7">
        <v>2000000</v>
      </c>
      <c r="J21" s="14">
        <v>55912</v>
      </c>
      <c r="K21" s="15">
        <f>L21+29876+62940+54476+54396+57856+63452+64136+60836+58660+62760+62928+64084</f>
        <v>752312</v>
      </c>
      <c r="L21" s="15">
        <f>6262*4+7716*4</f>
        <v>55912</v>
      </c>
      <c r="M21" s="15">
        <f t="shared" si="0"/>
        <v>55912</v>
      </c>
      <c r="N21" s="15">
        <v>0</v>
      </c>
      <c r="O21" s="58">
        <f t="shared" si="1"/>
        <v>0</v>
      </c>
      <c r="P21" s="39">
        <f t="shared" si="2"/>
        <v>24</v>
      </c>
      <c r="Q21" s="40">
        <f t="shared" si="3"/>
        <v>0</v>
      </c>
      <c r="R21" s="7"/>
      <c r="S21" s="6"/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1</v>
      </c>
      <c r="AD21" s="10">
        <f t="shared" si="8"/>
        <v>1</v>
      </c>
      <c r="AE21" s="36">
        <f t="shared" si="6"/>
        <v>0.6382575757575758</v>
      </c>
      <c r="AF21" s="81">
        <f t="shared" si="7"/>
        <v>16</v>
      </c>
    </row>
    <row r="22" spans="1:32" ht="21.75" customHeight="1">
      <c r="A22" s="92">
        <v>31</v>
      </c>
      <c r="B22" s="11" t="s">
        <v>57</v>
      </c>
      <c r="C22" s="11" t="s">
        <v>116</v>
      </c>
      <c r="D22" s="52" t="s">
        <v>115</v>
      </c>
      <c r="E22" s="53" t="s">
        <v>174</v>
      </c>
      <c r="F22" s="12" t="s">
        <v>138</v>
      </c>
      <c r="G22" s="12">
        <v>4</v>
      </c>
      <c r="H22" s="35">
        <v>20</v>
      </c>
      <c r="I22" s="7">
        <v>50000</v>
      </c>
      <c r="J22" s="14">
        <v>21584</v>
      </c>
      <c r="K22" s="15">
        <f>L22+13424</f>
        <v>35008</v>
      </c>
      <c r="L22" s="15">
        <f>3038*4+2358*4</f>
        <v>21584</v>
      </c>
      <c r="M22" s="15">
        <f t="shared" si="0"/>
        <v>21584</v>
      </c>
      <c r="N22" s="15">
        <v>0</v>
      </c>
      <c r="O22" s="58">
        <f t="shared" si="1"/>
        <v>0</v>
      </c>
      <c r="P22" s="39">
        <f t="shared" si="2"/>
        <v>24</v>
      </c>
      <c r="Q22" s="40">
        <f t="shared" si="3"/>
        <v>0</v>
      </c>
      <c r="R22" s="7"/>
      <c r="S22" s="6"/>
      <c r="T22" s="16"/>
      <c r="U22" s="16"/>
      <c r="V22" s="17"/>
      <c r="W22" s="5"/>
      <c r="X22" s="16"/>
      <c r="Y22" s="16"/>
      <c r="Z22" s="16"/>
      <c r="AA22" s="18"/>
      <c r="AB22" s="8">
        <f t="shared" si="4"/>
        <v>1</v>
      </c>
      <c r="AC22" s="9">
        <f t="shared" si="5"/>
        <v>1</v>
      </c>
      <c r="AD22" s="10">
        <f t="shared" si="8"/>
        <v>1</v>
      </c>
      <c r="AE22" s="36">
        <f t="shared" si="6"/>
        <v>0.6382575757575758</v>
      </c>
      <c r="AF22" s="81">
        <f t="shared" si="7"/>
        <v>31</v>
      </c>
    </row>
    <row r="23" spans="1:32" ht="21.75" customHeight="1">
      <c r="A23" s="92">
        <v>32</v>
      </c>
      <c r="B23" s="11" t="s">
        <v>57</v>
      </c>
      <c r="C23" s="11"/>
      <c r="D23" s="52"/>
      <c r="E23" s="53"/>
      <c r="F23" s="12"/>
      <c r="G23" s="12"/>
      <c r="H23" s="35">
        <v>20</v>
      </c>
      <c r="I23" s="7"/>
      <c r="J23" s="14">
        <v>0</v>
      </c>
      <c r="K23" s="15">
        <f t="shared" ref="K23" si="9">L23</f>
        <v>0</v>
      </c>
      <c r="L23" s="15"/>
      <c r="M23" s="15">
        <f t="shared" si="0"/>
        <v>0</v>
      </c>
      <c r="N23" s="15">
        <v>0</v>
      </c>
      <c r="O23" s="58" t="str">
        <f t="shared" si="1"/>
        <v>0</v>
      </c>
      <c r="P23" s="39" t="str">
        <f t="shared" si="2"/>
        <v>0</v>
      </c>
      <c r="Q23" s="40">
        <f t="shared" si="3"/>
        <v>24</v>
      </c>
      <c r="R23" s="7"/>
      <c r="S23" s="6"/>
      <c r="T23" s="16"/>
      <c r="U23" s="16"/>
      <c r="V23" s="17"/>
      <c r="W23" s="5">
        <v>24</v>
      </c>
      <c r="X23" s="16"/>
      <c r="Y23" s="16"/>
      <c r="Z23" s="16"/>
      <c r="AA23" s="18"/>
      <c r="AB23" s="8" t="str">
        <f t="shared" si="4"/>
        <v>0</v>
      </c>
      <c r="AC23" s="9">
        <f t="shared" si="5"/>
        <v>0</v>
      </c>
      <c r="AD23" s="10">
        <f t="shared" si="8"/>
        <v>0</v>
      </c>
      <c r="AE23" s="36">
        <f t="shared" si="6"/>
        <v>0.6382575757575758</v>
      </c>
      <c r="AF23" s="81">
        <f t="shared" si="7"/>
        <v>32</v>
      </c>
    </row>
    <row r="24" spans="1:32" ht="21.75" customHeight="1">
      <c r="A24" s="92">
        <v>33</v>
      </c>
      <c r="B24" s="11" t="s">
        <v>57</v>
      </c>
      <c r="C24" s="11" t="s">
        <v>116</v>
      </c>
      <c r="D24" s="52" t="s">
        <v>147</v>
      </c>
      <c r="E24" s="53" t="s">
        <v>183</v>
      </c>
      <c r="F24" s="12" t="s">
        <v>124</v>
      </c>
      <c r="G24" s="12">
        <v>4</v>
      </c>
      <c r="H24" s="35">
        <v>20</v>
      </c>
      <c r="I24" s="7">
        <v>50000</v>
      </c>
      <c r="J24" s="14">
        <v>23067</v>
      </c>
      <c r="K24" s="15">
        <f>L24+16720</f>
        <v>39787</v>
      </c>
      <c r="L24" s="15">
        <f>3627*4+2853*3</f>
        <v>23067</v>
      </c>
      <c r="M24" s="15">
        <f t="shared" si="0"/>
        <v>23067</v>
      </c>
      <c r="N24" s="15">
        <v>0</v>
      </c>
      <c r="O24" s="58">
        <f t="shared" si="1"/>
        <v>0</v>
      </c>
      <c r="P24" s="39">
        <f t="shared" si="2"/>
        <v>23</v>
      </c>
      <c r="Q24" s="40">
        <f t="shared" si="3"/>
        <v>1</v>
      </c>
      <c r="R24" s="7"/>
      <c r="S24" s="6">
        <v>1</v>
      </c>
      <c r="T24" s="16"/>
      <c r="U24" s="16"/>
      <c r="V24" s="114"/>
      <c r="W24" s="5"/>
      <c r="X24" s="16"/>
      <c r="Y24" s="16"/>
      <c r="Z24" s="16"/>
      <c r="AA24" s="18"/>
      <c r="AB24" s="8">
        <f t="shared" si="4"/>
        <v>1</v>
      </c>
      <c r="AC24" s="9">
        <f t="shared" si="5"/>
        <v>0.95833333333333337</v>
      </c>
      <c r="AD24" s="10">
        <f t="shared" si="8"/>
        <v>0.95833333333333337</v>
      </c>
      <c r="AE24" s="36">
        <f t="shared" si="6"/>
        <v>0.6382575757575758</v>
      </c>
      <c r="AF24" s="81">
        <f t="shared" si="7"/>
        <v>33</v>
      </c>
    </row>
    <row r="25" spans="1:32" ht="21.75" customHeight="1">
      <c r="A25" s="92">
        <v>34</v>
      </c>
      <c r="B25" s="11" t="s">
        <v>57</v>
      </c>
      <c r="C25" s="11" t="s">
        <v>116</v>
      </c>
      <c r="D25" s="52" t="s">
        <v>129</v>
      </c>
      <c r="E25" s="53" t="s">
        <v>172</v>
      </c>
      <c r="F25" s="12" t="s">
        <v>125</v>
      </c>
      <c r="G25" s="12">
        <v>4</v>
      </c>
      <c r="H25" s="35">
        <v>20</v>
      </c>
      <c r="I25" s="7">
        <v>50000</v>
      </c>
      <c r="J25" s="14">
        <v>24432</v>
      </c>
      <c r="K25" s="15">
        <f>L25+15172</f>
        <v>39604</v>
      </c>
      <c r="L25" s="15">
        <f>3421*4+2687*4</f>
        <v>24432</v>
      </c>
      <c r="M25" s="15">
        <f t="shared" si="0"/>
        <v>24432</v>
      </c>
      <c r="N25" s="15">
        <v>0</v>
      </c>
      <c r="O25" s="58">
        <f t="shared" si="1"/>
        <v>0</v>
      </c>
      <c r="P25" s="39">
        <f t="shared" si="2"/>
        <v>24</v>
      </c>
      <c r="Q25" s="40">
        <f t="shared" si="3"/>
        <v>0</v>
      </c>
      <c r="R25" s="7"/>
      <c r="S25" s="6"/>
      <c r="T25" s="16"/>
      <c r="U25" s="16"/>
      <c r="V25" s="114"/>
      <c r="W25" s="5"/>
      <c r="X25" s="16"/>
      <c r="Y25" s="16"/>
      <c r="Z25" s="16"/>
      <c r="AA25" s="18"/>
      <c r="AB25" s="8">
        <f t="shared" si="4"/>
        <v>1</v>
      </c>
      <c r="AC25" s="9">
        <f t="shared" si="5"/>
        <v>1</v>
      </c>
      <c r="AD25" s="10">
        <f t="shared" si="8"/>
        <v>1</v>
      </c>
      <c r="AE25" s="36">
        <f t="shared" si="6"/>
        <v>0.6382575757575758</v>
      </c>
      <c r="AF25" s="81">
        <f t="shared" si="7"/>
        <v>34</v>
      </c>
    </row>
    <row r="26" spans="1:32" ht="21.75" customHeight="1">
      <c r="A26" s="92">
        <v>35</v>
      </c>
      <c r="B26" s="11" t="s">
        <v>57</v>
      </c>
      <c r="C26" s="11" t="s">
        <v>116</v>
      </c>
      <c r="D26" s="52" t="s">
        <v>121</v>
      </c>
      <c r="E26" s="53" t="s">
        <v>126</v>
      </c>
      <c r="F26" s="12" t="s">
        <v>125</v>
      </c>
      <c r="G26" s="12">
        <v>4</v>
      </c>
      <c r="H26" s="35">
        <v>20</v>
      </c>
      <c r="I26" s="7">
        <v>50000</v>
      </c>
      <c r="J26" s="14">
        <v>26944</v>
      </c>
      <c r="K26" s="15">
        <f>L26+24592+26944+21716</f>
        <v>73252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24</v>
      </c>
      <c r="R26" s="7"/>
      <c r="S26" s="6"/>
      <c r="T26" s="16"/>
      <c r="U26" s="16"/>
      <c r="V26" s="114"/>
      <c r="W26" s="5">
        <v>24</v>
      </c>
      <c r="X26" s="16"/>
      <c r="Y26" s="16"/>
      <c r="Z26" s="16"/>
      <c r="AA26" s="18"/>
      <c r="AB26" s="8">
        <f t="shared" si="4"/>
        <v>0</v>
      </c>
      <c r="AC26" s="9">
        <f t="shared" si="5"/>
        <v>0</v>
      </c>
      <c r="AD26" s="10">
        <f t="shared" si="8"/>
        <v>0</v>
      </c>
      <c r="AE26" s="36">
        <f t="shared" si="6"/>
        <v>0.6382575757575758</v>
      </c>
      <c r="AF26" s="81">
        <f t="shared" si="7"/>
        <v>35</v>
      </c>
    </row>
    <row r="27" spans="1:32" ht="21.75" customHeight="1" thickBot="1">
      <c r="A27" s="92">
        <v>36</v>
      </c>
      <c r="B27" s="11" t="s">
        <v>57</v>
      </c>
      <c r="C27" s="11" t="s">
        <v>113</v>
      </c>
      <c r="D27" s="52"/>
      <c r="E27" s="53" t="s">
        <v>182</v>
      </c>
      <c r="F27" s="12" t="s">
        <v>114</v>
      </c>
      <c r="G27" s="12">
        <v>4</v>
      </c>
      <c r="H27" s="35">
        <v>20</v>
      </c>
      <c r="I27" s="7">
        <v>1000000</v>
      </c>
      <c r="J27" s="14">
        <v>47688</v>
      </c>
      <c r="K27" s="15">
        <f>L27+28388+70816+76368+81764+83428+47688</f>
        <v>388452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24</v>
      </c>
      <c r="R27" s="7"/>
      <c r="S27" s="6"/>
      <c r="T27" s="16"/>
      <c r="U27" s="16"/>
      <c r="V27" s="114">
        <v>24</v>
      </c>
      <c r="W27" s="5"/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8"/>
        <v>0</v>
      </c>
      <c r="AE27" s="36">
        <f t="shared" si="6"/>
        <v>0.6382575757575758</v>
      </c>
      <c r="AF27" s="81">
        <f t="shared" si="7"/>
        <v>36</v>
      </c>
    </row>
    <row r="28" spans="1:32" ht="19.5" thickBot="1">
      <c r="A28" s="435" t="s">
        <v>34</v>
      </c>
      <c r="B28" s="436"/>
      <c r="C28" s="436"/>
      <c r="D28" s="436"/>
      <c r="E28" s="436"/>
      <c r="F28" s="436"/>
      <c r="G28" s="436"/>
      <c r="H28" s="437"/>
      <c r="I28" s="22">
        <f t="shared" ref="I28:N28" si="10">SUM(I6:I27)</f>
        <v>4174700</v>
      </c>
      <c r="J28" s="19">
        <f t="shared" si="10"/>
        <v>300326</v>
      </c>
      <c r="K28" s="20">
        <f t="shared" si="10"/>
        <v>2134848</v>
      </c>
      <c r="L28" s="21">
        <f t="shared" si="10"/>
        <v>218162</v>
      </c>
      <c r="M28" s="20">
        <f t="shared" si="10"/>
        <v>218162</v>
      </c>
      <c r="N28" s="21">
        <f t="shared" si="10"/>
        <v>0</v>
      </c>
      <c r="O28" s="41">
        <f t="shared" si="1"/>
        <v>0</v>
      </c>
      <c r="P28" s="42">
        <f t="shared" ref="P28:AA28" si="11">SUM(P6:P27)</f>
        <v>337</v>
      </c>
      <c r="Q28" s="43">
        <f t="shared" si="11"/>
        <v>191</v>
      </c>
      <c r="R28" s="23">
        <f t="shared" si="11"/>
        <v>0</v>
      </c>
      <c r="S28" s="24">
        <f t="shared" si="11"/>
        <v>60</v>
      </c>
      <c r="T28" s="24">
        <f t="shared" si="11"/>
        <v>11</v>
      </c>
      <c r="U28" s="24">
        <f t="shared" si="11"/>
        <v>0</v>
      </c>
      <c r="V28" s="25">
        <f t="shared" si="11"/>
        <v>24</v>
      </c>
      <c r="W28" s="26">
        <f t="shared" si="11"/>
        <v>48</v>
      </c>
      <c r="X28" s="27">
        <f t="shared" si="11"/>
        <v>0</v>
      </c>
      <c r="Y28" s="27">
        <f t="shared" si="11"/>
        <v>0</v>
      </c>
      <c r="Z28" s="27">
        <f t="shared" si="11"/>
        <v>0</v>
      </c>
      <c r="AA28" s="27">
        <f t="shared" si="11"/>
        <v>48</v>
      </c>
      <c r="AB28" s="28">
        <f>AVERAGE(AB6:AB27)</f>
        <v>0.76190476190476186</v>
      </c>
      <c r="AC28" s="4">
        <f>AVERAGE(AC6:AC27)</f>
        <v>0.6382575757575758</v>
      </c>
      <c r="AD28" s="4">
        <f>AVERAGE(AD6:AD27)</f>
        <v>0.6382575757575758</v>
      </c>
      <c r="AE28" s="29"/>
    </row>
    <row r="29" spans="1:32">
      <c r="T29" s="50" t="s">
        <v>130</v>
      </c>
    </row>
    <row r="30" spans="1:32" ht="18.75">
      <c r="A30" s="2"/>
      <c r="B30" s="2" t="s">
        <v>35</v>
      </c>
      <c r="C30" s="2"/>
      <c r="D30" s="2"/>
      <c r="E30" s="2"/>
      <c r="F30" s="2"/>
      <c r="G30" s="2"/>
      <c r="H30" s="3"/>
      <c r="I30" s="3"/>
      <c r="J30" s="2"/>
      <c r="K30" s="2"/>
      <c r="L30" s="2"/>
      <c r="M30" s="2"/>
      <c r="N30" s="2" t="s">
        <v>36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1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 t="s">
        <v>131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F39" s="82"/>
    </row>
    <row r="40" spans="1:32" ht="14.2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F40" s="50"/>
    </row>
    <row r="41" spans="1:32" ht="14.2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F41" s="50"/>
    </row>
    <row r="42" spans="1:32" ht="14.2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50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27">
      <c r="A45" s="59"/>
      <c r="B45" s="59"/>
      <c r="C45" s="59"/>
      <c r="D45" s="59"/>
      <c r="E45" s="59"/>
      <c r="F45" s="37"/>
      <c r="G45" s="37"/>
      <c r="H45" s="38"/>
      <c r="I45" s="38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F45" s="50"/>
    </row>
    <row r="46" spans="1:32" ht="29.25" customHeight="1">
      <c r="A46" s="60"/>
      <c r="B46" s="60"/>
      <c r="C46" s="61"/>
      <c r="D46" s="61"/>
      <c r="E46" s="61"/>
      <c r="F46" s="60"/>
      <c r="G46" s="60"/>
      <c r="H46" s="60"/>
      <c r="I46" s="60"/>
      <c r="J46" s="60"/>
      <c r="K46" s="60"/>
      <c r="L46" s="60"/>
      <c r="M46" s="61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29.25" customHeight="1">
      <c r="A49" s="60"/>
      <c r="B49" s="60"/>
      <c r="C49" s="62"/>
      <c r="D49" s="61"/>
      <c r="E49" s="61"/>
      <c r="F49" s="60"/>
      <c r="G49" s="60"/>
      <c r="H49" s="60"/>
      <c r="I49" s="60"/>
      <c r="J49" s="60"/>
      <c r="K49" s="60"/>
      <c r="L49" s="60"/>
      <c r="M49" s="62"/>
      <c r="N49" s="60"/>
      <c r="O49" s="60"/>
      <c r="P49" s="63"/>
      <c r="Q49" s="63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14.2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F54" s="50"/>
    </row>
    <row r="55" spans="1:32" ht="36" thickBot="1">
      <c r="A55" s="438" t="s">
        <v>45</v>
      </c>
      <c r="B55" s="438"/>
      <c r="C55" s="438"/>
      <c r="D55" s="438"/>
      <c r="E55" s="438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F55" s="50"/>
    </row>
    <row r="56" spans="1:32" ht="26.25" thickBot="1">
      <c r="A56" s="439" t="s">
        <v>695</v>
      </c>
      <c r="B56" s="440"/>
      <c r="C56" s="440"/>
      <c r="D56" s="440"/>
      <c r="E56" s="440"/>
      <c r="F56" s="440"/>
      <c r="G56" s="440"/>
      <c r="H56" s="440"/>
      <c r="I56" s="440"/>
      <c r="J56" s="440"/>
      <c r="K56" s="440"/>
      <c r="L56" s="440"/>
      <c r="M56" s="441"/>
      <c r="N56" s="442" t="s">
        <v>702</v>
      </c>
      <c r="O56" s="443"/>
      <c r="P56" s="443"/>
      <c r="Q56" s="443"/>
      <c r="R56" s="443"/>
      <c r="S56" s="443"/>
      <c r="T56" s="443"/>
      <c r="U56" s="443"/>
      <c r="V56" s="443"/>
      <c r="W56" s="443"/>
      <c r="X56" s="443"/>
      <c r="Y56" s="443"/>
      <c r="Z56" s="443"/>
      <c r="AA56" s="443"/>
      <c r="AB56" s="443"/>
      <c r="AC56" s="443"/>
      <c r="AD56" s="444"/>
    </row>
    <row r="57" spans="1:32" ht="27" customHeight="1">
      <c r="A57" s="445" t="s">
        <v>2</v>
      </c>
      <c r="B57" s="446"/>
      <c r="C57" s="267" t="s">
        <v>46</v>
      </c>
      <c r="D57" s="267" t="s">
        <v>47</v>
      </c>
      <c r="E57" s="267" t="s">
        <v>107</v>
      </c>
      <c r="F57" s="447" t="s">
        <v>106</v>
      </c>
      <c r="G57" s="448"/>
      <c r="H57" s="448"/>
      <c r="I57" s="448"/>
      <c r="J57" s="448"/>
      <c r="K57" s="448"/>
      <c r="L57" s="448"/>
      <c r="M57" s="449"/>
      <c r="N57" s="67" t="s">
        <v>110</v>
      </c>
      <c r="O57" s="267" t="s">
        <v>46</v>
      </c>
      <c r="P57" s="447" t="s">
        <v>47</v>
      </c>
      <c r="Q57" s="450"/>
      <c r="R57" s="447" t="s">
        <v>38</v>
      </c>
      <c r="S57" s="448"/>
      <c r="T57" s="448"/>
      <c r="U57" s="450"/>
      <c r="V57" s="447" t="s">
        <v>48</v>
      </c>
      <c r="W57" s="448"/>
      <c r="X57" s="448"/>
      <c r="Y57" s="448"/>
      <c r="Z57" s="448"/>
      <c r="AA57" s="448"/>
      <c r="AB57" s="448"/>
      <c r="AC57" s="448"/>
      <c r="AD57" s="449"/>
    </row>
    <row r="58" spans="1:32" ht="27" customHeight="1">
      <c r="A58" s="415" t="s">
        <v>127</v>
      </c>
      <c r="B58" s="416"/>
      <c r="C58" s="279" t="s">
        <v>151</v>
      </c>
      <c r="D58" s="279" t="s">
        <v>572</v>
      </c>
      <c r="E58" s="279" t="s">
        <v>544</v>
      </c>
      <c r="F58" s="417" t="s">
        <v>696</v>
      </c>
      <c r="G58" s="418"/>
      <c r="H58" s="418"/>
      <c r="I58" s="418"/>
      <c r="J58" s="418"/>
      <c r="K58" s="418"/>
      <c r="L58" s="418"/>
      <c r="M58" s="419"/>
      <c r="N58" s="268" t="s">
        <v>116</v>
      </c>
      <c r="O58" s="275" t="s">
        <v>240</v>
      </c>
      <c r="P58" s="430" t="s">
        <v>141</v>
      </c>
      <c r="Q58" s="431"/>
      <c r="R58" s="430" t="s">
        <v>703</v>
      </c>
      <c r="S58" s="432"/>
      <c r="T58" s="432"/>
      <c r="U58" s="431"/>
      <c r="V58" s="417" t="s">
        <v>122</v>
      </c>
      <c r="W58" s="418"/>
      <c r="X58" s="418"/>
      <c r="Y58" s="418"/>
      <c r="Z58" s="418"/>
      <c r="AA58" s="418"/>
      <c r="AB58" s="418"/>
      <c r="AC58" s="418"/>
      <c r="AD58" s="419"/>
    </row>
    <row r="59" spans="1:32" ht="27" customHeight="1">
      <c r="A59" s="415" t="s">
        <v>112</v>
      </c>
      <c r="B59" s="416"/>
      <c r="C59" s="272" t="s">
        <v>265</v>
      </c>
      <c r="D59" s="272" t="s">
        <v>140</v>
      </c>
      <c r="E59" s="272" t="s">
        <v>693</v>
      </c>
      <c r="F59" s="473" t="s">
        <v>122</v>
      </c>
      <c r="G59" s="474"/>
      <c r="H59" s="474"/>
      <c r="I59" s="474"/>
      <c r="J59" s="474"/>
      <c r="K59" s="474"/>
      <c r="L59" s="474"/>
      <c r="M59" s="475"/>
      <c r="N59" s="268" t="s">
        <v>127</v>
      </c>
      <c r="O59" s="275" t="s">
        <v>151</v>
      </c>
      <c r="P59" s="430" t="s">
        <v>572</v>
      </c>
      <c r="Q59" s="431"/>
      <c r="R59" s="430" t="s">
        <v>544</v>
      </c>
      <c r="S59" s="432"/>
      <c r="T59" s="432"/>
      <c r="U59" s="431"/>
      <c r="V59" s="417" t="s">
        <v>153</v>
      </c>
      <c r="W59" s="418"/>
      <c r="X59" s="418"/>
      <c r="Y59" s="418"/>
      <c r="Z59" s="418"/>
      <c r="AA59" s="418"/>
      <c r="AB59" s="418"/>
      <c r="AC59" s="418"/>
      <c r="AD59" s="419"/>
    </row>
    <row r="60" spans="1:32" ht="27" customHeight="1">
      <c r="A60" s="415" t="s">
        <v>655</v>
      </c>
      <c r="B60" s="416"/>
      <c r="C60" s="272" t="s">
        <v>656</v>
      </c>
      <c r="D60" s="272" t="s">
        <v>657</v>
      </c>
      <c r="E60" s="272" t="s">
        <v>653</v>
      </c>
      <c r="F60" s="417" t="s">
        <v>153</v>
      </c>
      <c r="G60" s="418"/>
      <c r="H60" s="418"/>
      <c r="I60" s="418"/>
      <c r="J60" s="418"/>
      <c r="K60" s="418"/>
      <c r="L60" s="418"/>
      <c r="M60" s="419"/>
      <c r="N60" s="268" t="s">
        <v>705</v>
      </c>
      <c r="O60" s="275" t="s">
        <v>706</v>
      </c>
      <c r="P60" s="430" t="s">
        <v>707</v>
      </c>
      <c r="Q60" s="431"/>
      <c r="R60" s="430" t="s">
        <v>704</v>
      </c>
      <c r="S60" s="432"/>
      <c r="T60" s="432"/>
      <c r="U60" s="431"/>
      <c r="V60" s="417" t="s">
        <v>153</v>
      </c>
      <c r="W60" s="418"/>
      <c r="X60" s="418"/>
      <c r="Y60" s="418"/>
      <c r="Z60" s="418"/>
      <c r="AA60" s="418"/>
      <c r="AB60" s="418"/>
      <c r="AC60" s="418"/>
      <c r="AD60" s="419"/>
    </row>
    <row r="61" spans="1:32" ht="27" customHeight="1">
      <c r="A61" s="429" t="s">
        <v>116</v>
      </c>
      <c r="B61" s="420"/>
      <c r="C61" s="269" t="s">
        <v>697</v>
      </c>
      <c r="D61" s="269" t="s">
        <v>115</v>
      </c>
      <c r="E61" s="269" t="s">
        <v>698</v>
      </c>
      <c r="F61" s="473" t="s">
        <v>309</v>
      </c>
      <c r="G61" s="474"/>
      <c r="H61" s="474"/>
      <c r="I61" s="474"/>
      <c r="J61" s="474"/>
      <c r="K61" s="474"/>
      <c r="L61" s="474"/>
      <c r="M61" s="475"/>
      <c r="N61" s="268" t="s">
        <v>116</v>
      </c>
      <c r="O61" s="275" t="s">
        <v>709</v>
      </c>
      <c r="P61" s="430" t="s">
        <v>710</v>
      </c>
      <c r="Q61" s="431"/>
      <c r="R61" s="430" t="s">
        <v>708</v>
      </c>
      <c r="S61" s="432"/>
      <c r="T61" s="432"/>
      <c r="U61" s="431"/>
      <c r="V61" s="417" t="s">
        <v>122</v>
      </c>
      <c r="W61" s="418"/>
      <c r="X61" s="418"/>
      <c r="Y61" s="418"/>
      <c r="Z61" s="418"/>
      <c r="AA61" s="418"/>
      <c r="AB61" s="418"/>
      <c r="AC61" s="418"/>
      <c r="AD61" s="419"/>
    </row>
    <row r="62" spans="1:32" ht="27" customHeight="1">
      <c r="A62" s="429" t="s">
        <v>116</v>
      </c>
      <c r="B62" s="420"/>
      <c r="C62" s="269" t="s">
        <v>663</v>
      </c>
      <c r="D62" s="269" t="s">
        <v>121</v>
      </c>
      <c r="E62" s="269" t="s">
        <v>694</v>
      </c>
      <c r="F62" s="473" t="s">
        <v>122</v>
      </c>
      <c r="G62" s="474"/>
      <c r="H62" s="474"/>
      <c r="I62" s="474"/>
      <c r="J62" s="474"/>
      <c r="K62" s="474"/>
      <c r="L62" s="474"/>
      <c r="M62" s="475"/>
      <c r="N62" s="268" t="s">
        <v>705</v>
      </c>
      <c r="O62" s="275" t="s">
        <v>697</v>
      </c>
      <c r="P62" s="430" t="s">
        <v>712</v>
      </c>
      <c r="Q62" s="431"/>
      <c r="R62" s="430" t="s">
        <v>711</v>
      </c>
      <c r="S62" s="432"/>
      <c r="T62" s="432"/>
      <c r="U62" s="431"/>
      <c r="V62" s="417" t="s">
        <v>122</v>
      </c>
      <c r="W62" s="418"/>
      <c r="X62" s="418"/>
      <c r="Y62" s="418"/>
      <c r="Z62" s="418"/>
      <c r="AA62" s="418"/>
      <c r="AB62" s="418"/>
      <c r="AC62" s="418"/>
      <c r="AD62" s="419"/>
    </row>
    <row r="63" spans="1:32" ht="27" customHeight="1">
      <c r="A63" s="415" t="s">
        <v>116</v>
      </c>
      <c r="B63" s="416"/>
      <c r="C63" s="279" t="s">
        <v>675</v>
      </c>
      <c r="D63" s="279" t="s">
        <v>493</v>
      </c>
      <c r="E63" s="280" t="s">
        <v>671</v>
      </c>
      <c r="F63" s="473" t="s">
        <v>699</v>
      </c>
      <c r="G63" s="474"/>
      <c r="H63" s="474"/>
      <c r="I63" s="474"/>
      <c r="J63" s="474"/>
      <c r="K63" s="474"/>
      <c r="L63" s="474"/>
      <c r="M63" s="475"/>
      <c r="N63" s="268" t="s">
        <v>116</v>
      </c>
      <c r="O63" s="275" t="s">
        <v>714</v>
      </c>
      <c r="P63" s="430" t="s">
        <v>715</v>
      </c>
      <c r="Q63" s="431"/>
      <c r="R63" s="430" t="s">
        <v>713</v>
      </c>
      <c r="S63" s="432"/>
      <c r="T63" s="432"/>
      <c r="U63" s="431"/>
      <c r="V63" s="417" t="s">
        <v>122</v>
      </c>
      <c r="W63" s="418"/>
      <c r="X63" s="418"/>
      <c r="Y63" s="418"/>
      <c r="Z63" s="418"/>
      <c r="AA63" s="418"/>
      <c r="AB63" s="418"/>
      <c r="AC63" s="418"/>
      <c r="AD63" s="419"/>
    </row>
    <row r="64" spans="1:32" ht="27" customHeight="1">
      <c r="A64" s="415" t="s">
        <v>127</v>
      </c>
      <c r="B64" s="416"/>
      <c r="C64" s="272" t="s">
        <v>701</v>
      </c>
      <c r="D64" s="272"/>
      <c r="E64" s="269" t="s">
        <v>700</v>
      </c>
      <c r="F64" s="417" t="s">
        <v>153</v>
      </c>
      <c r="G64" s="418"/>
      <c r="H64" s="418"/>
      <c r="I64" s="418"/>
      <c r="J64" s="418"/>
      <c r="K64" s="418"/>
      <c r="L64" s="418"/>
      <c r="M64" s="419"/>
      <c r="N64" s="268"/>
      <c r="O64" s="275"/>
      <c r="P64" s="430"/>
      <c r="Q64" s="431"/>
      <c r="R64" s="430"/>
      <c r="S64" s="432"/>
      <c r="T64" s="432"/>
      <c r="U64" s="431"/>
      <c r="V64" s="417"/>
      <c r="W64" s="418"/>
      <c r="X64" s="418"/>
      <c r="Y64" s="418"/>
      <c r="Z64" s="418"/>
      <c r="AA64" s="418"/>
      <c r="AB64" s="418"/>
      <c r="AC64" s="418"/>
      <c r="AD64" s="419"/>
    </row>
    <row r="65" spans="1:32" ht="27" customHeight="1">
      <c r="A65" s="415"/>
      <c r="B65" s="416"/>
      <c r="C65" s="272"/>
      <c r="D65" s="272"/>
      <c r="E65" s="269"/>
      <c r="F65" s="473"/>
      <c r="G65" s="474"/>
      <c r="H65" s="474"/>
      <c r="I65" s="474"/>
      <c r="J65" s="474"/>
      <c r="K65" s="474"/>
      <c r="L65" s="474"/>
      <c r="M65" s="475"/>
      <c r="N65" s="268"/>
      <c r="O65" s="275"/>
      <c r="P65" s="430"/>
      <c r="Q65" s="431"/>
      <c r="R65" s="430"/>
      <c r="S65" s="432"/>
      <c r="T65" s="432"/>
      <c r="U65" s="431"/>
      <c r="V65" s="417"/>
      <c r="W65" s="418"/>
      <c r="X65" s="418"/>
      <c r="Y65" s="418"/>
      <c r="Z65" s="418"/>
      <c r="AA65" s="418"/>
      <c r="AB65" s="418"/>
      <c r="AC65" s="418"/>
      <c r="AD65" s="419"/>
    </row>
    <row r="66" spans="1:32" ht="27" customHeight="1">
      <c r="A66" s="415"/>
      <c r="B66" s="416"/>
      <c r="C66" s="272"/>
      <c r="D66" s="272"/>
      <c r="E66" s="269"/>
      <c r="F66" s="473"/>
      <c r="G66" s="474"/>
      <c r="H66" s="474"/>
      <c r="I66" s="474"/>
      <c r="J66" s="474"/>
      <c r="K66" s="474"/>
      <c r="L66" s="474"/>
      <c r="M66" s="475"/>
      <c r="N66" s="268"/>
      <c r="O66" s="275"/>
      <c r="P66" s="420"/>
      <c r="Q66" s="420"/>
      <c r="R66" s="420"/>
      <c r="S66" s="420"/>
      <c r="T66" s="420"/>
      <c r="U66" s="420"/>
      <c r="V66" s="417"/>
      <c r="W66" s="418"/>
      <c r="X66" s="418"/>
      <c r="Y66" s="418"/>
      <c r="Z66" s="418"/>
      <c r="AA66" s="418"/>
      <c r="AB66" s="418"/>
      <c r="AC66" s="418"/>
      <c r="AD66" s="419"/>
      <c r="AF66" s="81">
        <f>8*3000</f>
        <v>24000</v>
      </c>
    </row>
    <row r="67" spans="1:32" ht="27" customHeight="1" thickBot="1">
      <c r="A67" s="421"/>
      <c r="B67" s="422"/>
      <c r="C67" s="270"/>
      <c r="D67" s="271"/>
      <c r="E67" s="270"/>
      <c r="F67" s="423"/>
      <c r="G67" s="424"/>
      <c r="H67" s="424"/>
      <c r="I67" s="424"/>
      <c r="J67" s="424"/>
      <c r="K67" s="424"/>
      <c r="L67" s="424"/>
      <c r="M67" s="425"/>
      <c r="N67" s="105"/>
      <c r="O67" s="97"/>
      <c r="P67" s="426"/>
      <c r="Q67" s="426"/>
      <c r="R67" s="426"/>
      <c r="S67" s="426"/>
      <c r="T67" s="426"/>
      <c r="U67" s="426"/>
      <c r="V67" s="427"/>
      <c r="W67" s="427"/>
      <c r="X67" s="427"/>
      <c r="Y67" s="427"/>
      <c r="Z67" s="427"/>
      <c r="AA67" s="427"/>
      <c r="AB67" s="427"/>
      <c r="AC67" s="427"/>
      <c r="AD67" s="428"/>
      <c r="AF67" s="81">
        <f>16*3000</f>
        <v>48000</v>
      </c>
    </row>
    <row r="68" spans="1:32" ht="27.75" thickBot="1">
      <c r="A68" s="413" t="s">
        <v>716</v>
      </c>
      <c r="B68" s="413"/>
      <c r="C68" s="413"/>
      <c r="D68" s="413"/>
      <c r="E68" s="413"/>
      <c r="F68" s="37"/>
      <c r="G68" s="37"/>
      <c r="H68" s="38"/>
      <c r="I68" s="38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F68" s="81">
        <v>24000</v>
      </c>
    </row>
    <row r="69" spans="1:32" ht="29.25" customHeight="1" thickBot="1">
      <c r="A69" s="414" t="s">
        <v>111</v>
      </c>
      <c r="B69" s="411"/>
      <c r="C69" s="273" t="s">
        <v>2</v>
      </c>
      <c r="D69" s="273" t="s">
        <v>37</v>
      </c>
      <c r="E69" s="273" t="s">
        <v>3</v>
      </c>
      <c r="F69" s="411" t="s">
        <v>109</v>
      </c>
      <c r="G69" s="411"/>
      <c r="H69" s="411"/>
      <c r="I69" s="411"/>
      <c r="J69" s="411"/>
      <c r="K69" s="411" t="s">
        <v>39</v>
      </c>
      <c r="L69" s="411"/>
      <c r="M69" s="273" t="s">
        <v>40</v>
      </c>
      <c r="N69" s="411" t="s">
        <v>41</v>
      </c>
      <c r="O69" s="411"/>
      <c r="P69" s="408" t="s">
        <v>42</v>
      </c>
      <c r="Q69" s="410"/>
      <c r="R69" s="408" t="s">
        <v>43</v>
      </c>
      <c r="S69" s="409"/>
      <c r="T69" s="409"/>
      <c r="U69" s="409"/>
      <c r="V69" s="409"/>
      <c r="W69" s="409"/>
      <c r="X69" s="409"/>
      <c r="Y69" s="409"/>
      <c r="Z69" s="409"/>
      <c r="AA69" s="410"/>
      <c r="AB69" s="411" t="s">
        <v>44</v>
      </c>
      <c r="AC69" s="411"/>
      <c r="AD69" s="412"/>
      <c r="AF69" s="81">
        <f>SUM(AF66:AF68)</f>
        <v>96000</v>
      </c>
    </row>
    <row r="70" spans="1:32" ht="25.5" customHeight="1">
      <c r="A70" s="399">
        <v>1</v>
      </c>
      <c r="B70" s="400"/>
      <c r="C70" s="98" t="s">
        <v>116</v>
      </c>
      <c r="D70" s="277"/>
      <c r="E70" s="274" t="s">
        <v>140</v>
      </c>
      <c r="F70" s="401" t="s">
        <v>604</v>
      </c>
      <c r="G70" s="391"/>
      <c r="H70" s="391"/>
      <c r="I70" s="391"/>
      <c r="J70" s="391"/>
      <c r="K70" s="391" t="s">
        <v>162</v>
      </c>
      <c r="L70" s="391"/>
      <c r="M70" s="51" t="s">
        <v>222</v>
      </c>
      <c r="N70" s="402" t="s">
        <v>143</v>
      </c>
      <c r="O70" s="402"/>
      <c r="P70" s="403"/>
      <c r="Q70" s="403"/>
      <c r="R70" s="404" t="s">
        <v>717</v>
      </c>
      <c r="S70" s="404"/>
      <c r="T70" s="404"/>
      <c r="U70" s="404"/>
      <c r="V70" s="404"/>
      <c r="W70" s="404"/>
      <c r="X70" s="404"/>
      <c r="Y70" s="404"/>
      <c r="Z70" s="404"/>
      <c r="AA70" s="404"/>
      <c r="AB70" s="391"/>
      <c r="AC70" s="391"/>
      <c r="AD70" s="392"/>
      <c r="AF70" s="50"/>
    </row>
    <row r="71" spans="1:32" ht="25.5" customHeight="1">
      <c r="A71" s="399">
        <v>2</v>
      </c>
      <c r="B71" s="400"/>
      <c r="C71" s="98" t="s">
        <v>655</v>
      </c>
      <c r="D71" s="277"/>
      <c r="E71" s="274" t="s">
        <v>422</v>
      </c>
      <c r="F71" s="401" t="s">
        <v>419</v>
      </c>
      <c r="G71" s="391"/>
      <c r="H71" s="391"/>
      <c r="I71" s="391"/>
      <c r="J71" s="391"/>
      <c r="K71" s="391" t="s">
        <v>718</v>
      </c>
      <c r="L71" s="391"/>
      <c r="M71" s="51" t="s">
        <v>617</v>
      </c>
      <c r="N71" s="402" t="s">
        <v>388</v>
      </c>
      <c r="O71" s="402"/>
      <c r="P71" s="403">
        <v>30</v>
      </c>
      <c r="Q71" s="403"/>
      <c r="R71" s="404"/>
      <c r="S71" s="404"/>
      <c r="T71" s="404"/>
      <c r="U71" s="404"/>
      <c r="V71" s="404"/>
      <c r="W71" s="404"/>
      <c r="X71" s="404"/>
      <c r="Y71" s="404"/>
      <c r="Z71" s="404"/>
      <c r="AA71" s="404"/>
      <c r="AB71" s="391"/>
      <c r="AC71" s="391"/>
      <c r="AD71" s="392"/>
      <c r="AF71" s="50"/>
    </row>
    <row r="72" spans="1:32" ht="25.5" customHeight="1">
      <c r="A72" s="399">
        <v>3</v>
      </c>
      <c r="B72" s="400"/>
      <c r="C72" s="98"/>
      <c r="D72" s="277"/>
      <c r="E72" s="274"/>
      <c r="F72" s="401"/>
      <c r="G72" s="391"/>
      <c r="H72" s="391"/>
      <c r="I72" s="391"/>
      <c r="J72" s="391"/>
      <c r="K72" s="391"/>
      <c r="L72" s="391"/>
      <c r="M72" s="51"/>
      <c r="N72" s="402"/>
      <c r="O72" s="402"/>
      <c r="P72" s="403"/>
      <c r="Q72" s="403"/>
      <c r="R72" s="404"/>
      <c r="S72" s="404"/>
      <c r="T72" s="404"/>
      <c r="U72" s="404"/>
      <c r="V72" s="404"/>
      <c r="W72" s="404"/>
      <c r="X72" s="404"/>
      <c r="Y72" s="404"/>
      <c r="Z72" s="404"/>
      <c r="AA72" s="404"/>
      <c r="AB72" s="391"/>
      <c r="AC72" s="391"/>
      <c r="AD72" s="392"/>
      <c r="AF72" s="50"/>
    </row>
    <row r="73" spans="1:32" ht="25.5" customHeight="1">
      <c r="A73" s="399">
        <v>4</v>
      </c>
      <c r="B73" s="400"/>
      <c r="C73" s="98"/>
      <c r="D73" s="277"/>
      <c r="E73" s="274"/>
      <c r="F73" s="405"/>
      <c r="G73" s="406"/>
      <c r="H73" s="406"/>
      <c r="I73" s="406"/>
      <c r="J73" s="407"/>
      <c r="K73" s="391"/>
      <c r="L73" s="391"/>
      <c r="M73" s="51"/>
      <c r="N73" s="402"/>
      <c r="O73" s="402"/>
      <c r="P73" s="403"/>
      <c r="Q73" s="403"/>
      <c r="R73" s="404"/>
      <c r="S73" s="404"/>
      <c r="T73" s="404"/>
      <c r="U73" s="404"/>
      <c r="V73" s="404"/>
      <c r="W73" s="404"/>
      <c r="X73" s="404"/>
      <c r="Y73" s="404"/>
      <c r="Z73" s="404"/>
      <c r="AA73" s="404"/>
      <c r="AB73" s="391"/>
      <c r="AC73" s="391"/>
      <c r="AD73" s="392"/>
      <c r="AF73" s="50"/>
    </row>
    <row r="74" spans="1:32" ht="25.5" customHeight="1">
      <c r="A74" s="399">
        <v>5</v>
      </c>
      <c r="B74" s="400"/>
      <c r="C74" s="98"/>
      <c r="D74" s="277"/>
      <c r="E74" s="274"/>
      <c r="F74" s="405"/>
      <c r="G74" s="406"/>
      <c r="H74" s="406"/>
      <c r="I74" s="406"/>
      <c r="J74" s="407"/>
      <c r="K74" s="391"/>
      <c r="L74" s="391"/>
      <c r="M74" s="51"/>
      <c r="N74" s="402"/>
      <c r="O74" s="402"/>
      <c r="P74" s="403"/>
      <c r="Q74" s="403"/>
      <c r="R74" s="404"/>
      <c r="S74" s="404"/>
      <c r="T74" s="404"/>
      <c r="U74" s="404"/>
      <c r="V74" s="404"/>
      <c r="W74" s="404"/>
      <c r="X74" s="404"/>
      <c r="Y74" s="404"/>
      <c r="Z74" s="404"/>
      <c r="AA74" s="404"/>
      <c r="AB74" s="391"/>
      <c r="AC74" s="391"/>
      <c r="AD74" s="392"/>
      <c r="AF74" s="50"/>
    </row>
    <row r="75" spans="1:32" ht="25.5" customHeight="1">
      <c r="A75" s="399">
        <v>6</v>
      </c>
      <c r="B75" s="400"/>
      <c r="C75" s="98"/>
      <c r="D75" s="277"/>
      <c r="E75" s="274"/>
      <c r="F75" s="405"/>
      <c r="G75" s="406"/>
      <c r="H75" s="406"/>
      <c r="I75" s="406"/>
      <c r="J75" s="407"/>
      <c r="K75" s="391"/>
      <c r="L75" s="391"/>
      <c r="M75" s="51"/>
      <c r="N75" s="402"/>
      <c r="O75" s="402"/>
      <c r="P75" s="403"/>
      <c r="Q75" s="403"/>
      <c r="R75" s="404"/>
      <c r="S75" s="404"/>
      <c r="T75" s="404"/>
      <c r="U75" s="404"/>
      <c r="V75" s="404"/>
      <c r="W75" s="404"/>
      <c r="X75" s="404"/>
      <c r="Y75" s="404"/>
      <c r="Z75" s="404"/>
      <c r="AA75" s="404"/>
      <c r="AB75" s="391"/>
      <c r="AC75" s="391"/>
      <c r="AD75" s="392"/>
      <c r="AF75" s="50"/>
    </row>
    <row r="76" spans="1:32" ht="25.5" customHeight="1">
      <c r="A76" s="399">
        <v>7</v>
      </c>
      <c r="B76" s="400"/>
      <c r="C76" s="98"/>
      <c r="D76" s="277"/>
      <c r="E76" s="274"/>
      <c r="F76" s="405"/>
      <c r="G76" s="406"/>
      <c r="H76" s="406"/>
      <c r="I76" s="406"/>
      <c r="J76" s="407"/>
      <c r="K76" s="391"/>
      <c r="L76" s="391"/>
      <c r="M76" s="51"/>
      <c r="N76" s="402"/>
      <c r="O76" s="402"/>
      <c r="P76" s="403"/>
      <c r="Q76" s="403"/>
      <c r="R76" s="404"/>
      <c r="S76" s="404"/>
      <c r="T76" s="404"/>
      <c r="U76" s="404"/>
      <c r="V76" s="404"/>
      <c r="W76" s="404"/>
      <c r="X76" s="404"/>
      <c r="Y76" s="404"/>
      <c r="Z76" s="404"/>
      <c r="AA76" s="404"/>
      <c r="AB76" s="391"/>
      <c r="AC76" s="391"/>
      <c r="AD76" s="392"/>
      <c r="AF76" s="50"/>
    </row>
    <row r="77" spans="1:32" ht="25.5" customHeight="1">
      <c r="A77" s="399">
        <v>8</v>
      </c>
      <c r="B77" s="400"/>
      <c r="C77" s="98"/>
      <c r="D77" s="277"/>
      <c r="E77" s="274"/>
      <c r="F77" s="401"/>
      <c r="G77" s="391"/>
      <c r="H77" s="391"/>
      <c r="I77" s="391"/>
      <c r="J77" s="391"/>
      <c r="K77" s="391"/>
      <c r="L77" s="391"/>
      <c r="M77" s="51"/>
      <c r="N77" s="402"/>
      <c r="O77" s="402"/>
      <c r="P77" s="403"/>
      <c r="Q77" s="403"/>
      <c r="R77" s="404"/>
      <c r="S77" s="404"/>
      <c r="T77" s="404"/>
      <c r="U77" s="404"/>
      <c r="V77" s="404"/>
      <c r="W77" s="404"/>
      <c r="X77" s="404"/>
      <c r="Y77" s="404"/>
      <c r="Z77" s="404"/>
      <c r="AA77" s="404"/>
      <c r="AB77" s="391"/>
      <c r="AC77" s="391"/>
      <c r="AD77" s="392"/>
      <c r="AF77" s="50"/>
    </row>
    <row r="78" spans="1:32" ht="25.5" customHeight="1">
      <c r="A78" s="399">
        <v>9</v>
      </c>
      <c r="B78" s="400"/>
      <c r="C78" s="98"/>
      <c r="D78" s="277"/>
      <c r="E78" s="274"/>
      <c r="F78" s="401"/>
      <c r="G78" s="391"/>
      <c r="H78" s="391"/>
      <c r="I78" s="391"/>
      <c r="J78" s="391"/>
      <c r="K78" s="391"/>
      <c r="L78" s="391"/>
      <c r="M78" s="51"/>
      <c r="N78" s="402"/>
      <c r="O78" s="402"/>
      <c r="P78" s="403"/>
      <c r="Q78" s="403"/>
      <c r="R78" s="404"/>
      <c r="S78" s="404"/>
      <c r="T78" s="404"/>
      <c r="U78" s="404"/>
      <c r="V78" s="404"/>
      <c r="W78" s="404"/>
      <c r="X78" s="404"/>
      <c r="Y78" s="404"/>
      <c r="Z78" s="404"/>
      <c r="AA78" s="404"/>
      <c r="AB78" s="391"/>
      <c r="AC78" s="391"/>
      <c r="AD78" s="392"/>
      <c r="AF78" s="50"/>
    </row>
    <row r="79" spans="1:32" ht="25.5" customHeight="1">
      <c r="A79" s="399">
        <v>10</v>
      </c>
      <c r="B79" s="400"/>
      <c r="C79" s="98"/>
      <c r="D79" s="277"/>
      <c r="E79" s="274"/>
      <c r="F79" s="401"/>
      <c r="G79" s="391"/>
      <c r="H79" s="391"/>
      <c r="I79" s="391"/>
      <c r="J79" s="391"/>
      <c r="K79" s="391"/>
      <c r="L79" s="391"/>
      <c r="M79" s="51"/>
      <c r="N79" s="402"/>
      <c r="O79" s="402"/>
      <c r="P79" s="403"/>
      <c r="Q79" s="403"/>
      <c r="R79" s="404"/>
      <c r="S79" s="404"/>
      <c r="T79" s="404"/>
      <c r="U79" s="404"/>
      <c r="V79" s="404"/>
      <c r="W79" s="404"/>
      <c r="X79" s="404"/>
      <c r="Y79" s="404"/>
      <c r="Z79" s="404"/>
      <c r="AA79" s="404"/>
      <c r="AB79" s="391"/>
      <c r="AC79" s="391"/>
      <c r="AD79" s="392"/>
      <c r="AF79" s="50"/>
    </row>
    <row r="80" spans="1:32" ht="26.25" customHeight="1" thickBot="1">
      <c r="A80" s="371" t="s">
        <v>719</v>
      </c>
      <c r="B80" s="371"/>
      <c r="C80" s="371"/>
      <c r="D80" s="371"/>
      <c r="E80" s="371"/>
      <c r="F80" s="37"/>
      <c r="G80" s="37"/>
      <c r="H80" s="38"/>
      <c r="I80" s="38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F80" s="50"/>
    </row>
    <row r="81" spans="1:32" ht="23.25" thickBot="1">
      <c r="A81" s="393" t="s">
        <v>111</v>
      </c>
      <c r="B81" s="394"/>
      <c r="C81" s="276" t="s">
        <v>2</v>
      </c>
      <c r="D81" s="276" t="s">
        <v>37</v>
      </c>
      <c r="E81" s="276" t="s">
        <v>120</v>
      </c>
      <c r="F81" s="373" t="s">
        <v>38</v>
      </c>
      <c r="G81" s="373"/>
      <c r="H81" s="373"/>
      <c r="I81" s="373"/>
      <c r="J81" s="373"/>
      <c r="K81" s="395" t="s">
        <v>58</v>
      </c>
      <c r="L81" s="396"/>
      <c r="M81" s="396"/>
      <c r="N81" s="396"/>
      <c r="O81" s="396"/>
      <c r="P81" s="396"/>
      <c r="Q81" s="396"/>
      <c r="R81" s="396"/>
      <c r="S81" s="397"/>
      <c r="T81" s="373" t="s">
        <v>49</v>
      </c>
      <c r="U81" s="373"/>
      <c r="V81" s="395" t="s">
        <v>50</v>
      </c>
      <c r="W81" s="397"/>
      <c r="X81" s="396" t="s">
        <v>51</v>
      </c>
      <c r="Y81" s="396"/>
      <c r="Z81" s="396"/>
      <c r="AA81" s="396"/>
      <c r="AB81" s="396"/>
      <c r="AC81" s="396"/>
      <c r="AD81" s="398"/>
      <c r="AF81" s="50"/>
    </row>
    <row r="82" spans="1:32" ht="33.75" customHeight="1">
      <c r="A82" s="365">
        <v>1</v>
      </c>
      <c r="B82" s="366"/>
      <c r="C82" s="278"/>
      <c r="D82" s="278"/>
      <c r="E82" s="65"/>
      <c r="F82" s="380"/>
      <c r="G82" s="381"/>
      <c r="H82" s="381"/>
      <c r="I82" s="381"/>
      <c r="J82" s="382"/>
      <c r="K82" s="383"/>
      <c r="L82" s="384"/>
      <c r="M82" s="384"/>
      <c r="N82" s="384"/>
      <c r="O82" s="384"/>
      <c r="P82" s="384"/>
      <c r="Q82" s="384"/>
      <c r="R82" s="384"/>
      <c r="S82" s="385"/>
      <c r="T82" s="386"/>
      <c r="U82" s="387"/>
      <c r="V82" s="388"/>
      <c r="W82" s="388"/>
      <c r="X82" s="389"/>
      <c r="Y82" s="389"/>
      <c r="Z82" s="389"/>
      <c r="AA82" s="389"/>
      <c r="AB82" s="389"/>
      <c r="AC82" s="389"/>
      <c r="AD82" s="390"/>
      <c r="AF82" s="50"/>
    </row>
    <row r="83" spans="1:32" ht="30" customHeight="1">
      <c r="A83" s="358">
        <f>A82+1</f>
        <v>2</v>
      </c>
      <c r="B83" s="359"/>
      <c r="C83" s="277"/>
      <c r="D83" s="277"/>
      <c r="E83" s="32"/>
      <c r="F83" s="359"/>
      <c r="G83" s="359"/>
      <c r="H83" s="359"/>
      <c r="I83" s="359"/>
      <c r="J83" s="359"/>
      <c r="K83" s="374"/>
      <c r="L83" s="375"/>
      <c r="M83" s="375"/>
      <c r="N83" s="375"/>
      <c r="O83" s="375"/>
      <c r="P83" s="375"/>
      <c r="Q83" s="375"/>
      <c r="R83" s="375"/>
      <c r="S83" s="376"/>
      <c r="T83" s="377"/>
      <c r="U83" s="377"/>
      <c r="V83" s="377"/>
      <c r="W83" s="377"/>
      <c r="X83" s="378"/>
      <c r="Y83" s="378"/>
      <c r="Z83" s="378"/>
      <c r="AA83" s="378"/>
      <c r="AB83" s="378"/>
      <c r="AC83" s="378"/>
      <c r="AD83" s="379"/>
      <c r="AF83" s="50"/>
    </row>
    <row r="84" spans="1:32" ht="30" customHeight="1">
      <c r="A84" s="358">
        <f t="shared" ref="A84:A88" si="12">A83+1</f>
        <v>3</v>
      </c>
      <c r="B84" s="359"/>
      <c r="C84" s="277"/>
      <c r="D84" s="277"/>
      <c r="E84" s="32"/>
      <c r="F84" s="359"/>
      <c r="G84" s="359"/>
      <c r="H84" s="359"/>
      <c r="I84" s="359"/>
      <c r="J84" s="359"/>
      <c r="K84" s="374"/>
      <c r="L84" s="375"/>
      <c r="M84" s="375"/>
      <c r="N84" s="375"/>
      <c r="O84" s="375"/>
      <c r="P84" s="375"/>
      <c r="Q84" s="375"/>
      <c r="R84" s="375"/>
      <c r="S84" s="376"/>
      <c r="T84" s="377"/>
      <c r="U84" s="377"/>
      <c r="V84" s="377"/>
      <c r="W84" s="377"/>
      <c r="X84" s="378"/>
      <c r="Y84" s="378"/>
      <c r="Z84" s="378"/>
      <c r="AA84" s="378"/>
      <c r="AB84" s="378"/>
      <c r="AC84" s="378"/>
      <c r="AD84" s="379"/>
      <c r="AF84" s="50"/>
    </row>
    <row r="85" spans="1:32" ht="30" customHeight="1">
      <c r="A85" s="358">
        <f t="shared" si="12"/>
        <v>4</v>
      </c>
      <c r="B85" s="359"/>
      <c r="C85" s="277"/>
      <c r="D85" s="277"/>
      <c r="E85" s="32"/>
      <c r="F85" s="359"/>
      <c r="G85" s="359"/>
      <c r="H85" s="359"/>
      <c r="I85" s="359"/>
      <c r="J85" s="359"/>
      <c r="K85" s="374"/>
      <c r="L85" s="375"/>
      <c r="M85" s="375"/>
      <c r="N85" s="375"/>
      <c r="O85" s="375"/>
      <c r="P85" s="375"/>
      <c r="Q85" s="375"/>
      <c r="R85" s="375"/>
      <c r="S85" s="376"/>
      <c r="T85" s="377"/>
      <c r="U85" s="377"/>
      <c r="V85" s="377"/>
      <c r="W85" s="377"/>
      <c r="X85" s="378"/>
      <c r="Y85" s="378"/>
      <c r="Z85" s="378"/>
      <c r="AA85" s="378"/>
      <c r="AB85" s="378"/>
      <c r="AC85" s="378"/>
      <c r="AD85" s="379"/>
      <c r="AF85" s="50"/>
    </row>
    <row r="86" spans="1:32" ht="30" customHeight="1">
      <c r="A86" s="358">
        <f t="shared" si="12"/>
        <v>5</v>
      </c>
      <c r="B86" s="359"/>
      <c r="C86" s="277"/>
      <c r="D86" s="277"/>
      <c r="E86" s="32"/>
      <c r="F86" s="359"/>
      <c r="G86" s="359"/>
      <c r="H86" s="359"/>
      <c r="I86" s="359"/>
      <c r="J86" s="359"/>
      <c r="K86" s="374"/>
      <c r="L86" s="375"/>
      <c r="M86" s="375"/>
      <c r="N86" s="375"/>
      <c r="O86" s="375"/>
      <c r="P86" s="375"/>
      <c r="Q86" s="375"/>
      <c r="R86" s="375"/>
      <c r="S86" s="376"/>
      <c r="T86" s="377"/>
      <c r="U86" s="377"/>
      <c r="V86" s="377"/>
      <c r="W86" s="377"/>
      <c r="X86" s="378"/>
      <c r="Y86" s="378"/>
      <c r="Z86" s="378"/>
      <c r="AA86" s="378"/>
      <c r="AB86" s="378"/>
      <c r="AC86" s="378"/>
      <c r="AD86" s="379"/>
      <c r="AF86" s="50"/>
    </row>
    <row r="87" spans="1:32" ht="30" customHeight="1">
      <c r="A87" s="358">
        <f t="shared" si="12"/>
        <v>6</v>
      </c>
      <c r="B87" s="359"/>
      <c r="C87" s="277"/>
      <c r="D87" s="277"/>
      <c r="E87" s="32"/>
      <c r="F87" s="359"/>
      <c r="G87" s="359"/>
      <c r="H87" s="359"/>
      <c r="I87" s="359"/>
      <c r="J87" s="359"/>
      <c r="K87" s="374"/>
      <c r="L87" s="375"/>
      <c r="M87" s="375"/>
      <c r="N87" s="375"/>
      <c r="O87" s="375"/>
      <c r="P87" s="375"/>
      <c r="Q87" s="375"/>
      <c r="R87" s="375"/>
      <c r="S87" s="376"/>
      <c r="T87" s="377"/>
      <c r="U87" s="377"/>
      <c r="V87" s="377"/>
      <c r="W87" s="377"/>
      <c r="X87" s="378"/>
      <c r="Y87" s="378"/>
      <c r="Z87" s="378"/>
      <c r="AA87" s="378"/>
      <c r="AB87" s="378"/>
      <c r="AC87" s="378"/>
      <c r="AD87" s="379"/>
      <c r="AF87" s="50"/>
    </row>
    <row r="88" spans="1:32" ht="30" customHeight="1">
      <c r="A88" s="358">
        <f t="shared" si="12"/>
        <v>7</v>
      </c>
      <c r="B88" s="359"/>
      <c r="C88" s="277"/>
      <c r="D88" s="277"/>
      <c r="E88" s="32"/>
      <c r="F88" s="359"/>
      <c r="G88" s="359"/>
      <c r="H88" s="359"/>
      <c r="I88" s="359"/>
      <c r="J88" s="359"/>
      <c r="K88" s="374"/>
      <c r="L88" s="375"/>
      <c r="M88" s="375"/>
      <c r="N88" s="375"/>
      <c r="O88" s="375"/>
      <c r="P88" s="375"/>
      <c r="Q88" s="375"/>
      <c r="R88" s="375"/>
      <c r="S88" s="376"/>
      <c r="T88" s="377"/>
      <c r="U88" s="377"/>
      <c r="V88" s="377"/>
      <c r="W88" s="377"/>
      <c r="X88" s="378"/>
      <c r="Y88" s="378"/>
      <c r="Z88" s="378"/>
      <c r="AA88" s="378"/>
      <c r="AB88" s="378"/>
      <c r="AC88" s="378"/>
      <c r="AD88" s="379"/>
      <c r="AF88" s="50"/>
    </row>
    <row r="89" spans="1:32" ht="36" thickBot="1">
      <c r="A89" s="371" t="s">
        <v>720</v>
      </c>
      <c r="B89" s="371"/>
      <c r="C89" s="371"/>
      <c r="D89" s="371"/>
      <c r="E89" s="371"/>
      <c r="F89" s="37"/>
      <c r="G89" s="37"/>
      <c r="H89" s="38"/>
      <c r="I89" s="38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F89" s="50"/>
    </row>
    <row r="90" spans="1:32" ht="30.75" customHeight="1" thickBot="1">
      <c r="A90" s="372" t="s">
        <v>111</v>
      </c>
      <c r="B90" s="373"/>
      <c r="C90" s="363" t="s">
        <v>52</v>
      </c>
      <c r="D90" s="363"/>
      <c r="E90" s="363" t="s">
        <v>53</v>
      </c>
      <c r="F90" s="363"/>
      <c r="G90" s="363"/>
      <c r="H90" s="363"/>
      <c r="I90" s="363"/>
      <c r="J90" s="363"/>
      <c r="K90" s="363" t="s">
        <v>54</v>
      </c>
      <c r="L90" s="363"/>
      <c r="M90" s="363"/>
      <c r="N90" s="363"/>
      <c r="O90" s="363"/>
      <c r="P90" s="363"/>
      <c r="Q90" s="363"/>
      <c r="R90" s="363"/>
      <c r="S90" s="363"/>
      <c r="T90" s="363" t="s">
        <v>55</v>
      </c>
      <c r="U90" s="363"/>
      <c r="V90" s="363" t="s">
        <v>56</v>
      </c>
      <c r="W90" s="363"/>
      <c r="X90" s="363"/>
      <c r="Y90" s="363" t="s">
        <v>51</v>
      </c>
      <c r="Z90" s="363"/>
      <c r="AA90" s="363"/>
      <c r="AB90" s="363"/>
      <c r="AC90" s="363"/>
      <c r="AD90" s="364"/>
      <c r="AF90" s="50"/>
    </row>
    <row r="91" spans="1:32" ht="30.75" customHeight="1">
      <c r="A91" s="365">
        <v>1</v>
      </c>
      <c r="B91" s="366"/>
      <c r="C91" s="367"/>
      <c r="D91" s="367"/>
      <c r="E91" s="367"/>
      <c r="F91" s="367"/>
      <c r="G91" s="367"/>
      <c r="H91" s="367"/>
      <c r="I91" s="367"/>
      <c r="J91" s="367"/>
      <c r="K91" s="367"/>
      <c r="L91" s="367"/>
      <c r="M91" s="367"/>
      <c r="N91" s="367"/>
      <c r="O91" s="367"/>
      <c r="P91" s="367"/>
      <c r="Q91" s="367"/>
      <c r="R91" s="367"/>
      <c r="S91" s="367"/>
      <c r="T91" s="367"/>
      <c r="U91" s="367"/>
      <c r="V91" s="368"/>
      <c r="W91" s="368"/>
      <c r="X91" s="368"/>
      <c r="Y91" s="369"/>
      <c r="Z91" s="369"/>
      <c r="AA91" s="369"/>
      <c r="AB91" s="369"/>
      <c r="AC91" s="369"/>
      <c r="AD91" s="370"/>
      <c r="AF91" s="50"/>
    </row>
    <row r="92" spans="1:32" ht="30.75" customHeight="1">
      <c r="A92" s="358">
        <v>2</v>
      </c>
      <c r="B92" s="359"/>
      <c r="C92" s="360"/>
      <c r="D92" s="360"/>
      <c r="E92" s="360"/>
      <c r="F92" s="360"/>
      <c r="G92" s="360"/>
      <c r="H92" s="360"/>
      <c r="I92" s="360"/>
      <c r="J92" s="360"/>
      <c r="K92" s="360"/>
      <c r="L92" s="360"/>
      <c r="M92" s="360"/>
      <c r="N92" s="360"/>
      <c r="O92" s="360"/>
      <c r="P92" s="360"/>
      <c r="Q92" s="360"/>
      <c r="R92" s="360"/>
      <c r="S92" s="360"/>
      <c r="T92" s="361"/>
      <c r="U92" s="361"/>
      <c r="V92" s="362"/>
      <c r="W92" s="362"/>
      <c r="X92" s="362"/>
      <c r="Y92" s="350"/>
      <c r="Z92" s="350"/>
      <c r="AA92" s="350"/>
      <c r="AB92" s="350"/>
      <c r="AC92" s="350"/>
      <c r="AD92" s="351"/>
      <c r="AF92" s="50"/>
    </row>
    <row r="93" spans="1:32" ht="30.75" customHeight="1" thickBot="1">
      <c r="A93" s="352">
        <v>3</v>
      </c>
      <c r="B93" s="353"/>
      <c r="C93" s="354"/>
      <c r="D93" s="354"/>
      <c r="E93" s="354"/>
      <c r="F93" s="354"/>
      <c r="G93" s="354"/>
      <c r="H93" s="354"/>
      <c r="I93" s="354"/>
      <c r="J93" s="354"/>
      <c r="K93" s="354"/>
      <c r="L93" s="354"/>
      <c r="M93" s="354"/>
      <c r="N93" s="354"/>
      <c r="O93" s="354"/>
      <c r="P93" s="354"/>
      <c r="Q93" s="354"/>
      <c r="R93" s="354"/>
      <c r="S93" s="354"/>
      <c r="T93" s="354"/>
      <c r="U93" s="354"/>
      <c r="V93" s="355"/>
      <c r="W93" s="355"/>
      <c r="X93" s="355"/>
      <c r="Y93" s="356"/>
      <c r="Z93" s="356"/>
      <c r="AA93" s="356"/>
      <c r="AB93" s="356"/>
      <c r="AC93" s="356"/>
      <c r="AD93" s="357"/>
      <c r="AF93" s="50"/>
    </row>
  </sheetData>
  <mergeCells count="232">
    <mergeCell ref="Y92:AD92"/>
    <mergeCell ref="A93:B93"/>
    <mergeCell ref="C93:D93"/>
    <mergeCell ref="E93:J93"/>
    <mergeCell ref="K93:S93"/>
    <mergeCell ref="T93:U93"/>
    <mergeCell ref="V93:X93"/>
    <mergeCell ref="Y93:AD93"/>
    <mergeCell ref="A92:B92"/>
    <mergeCell ref="C92:D92"/>
    <mergeCell ref="E92:J92"/>
    <mergeCell ref="K92:S92"/>
    <mergeCell ref="T92:U92"/>
    <mergeCell ref="V92:X92"/>
    <mergeCell ref="V90:X90"/>
    <mergeCell ref="Y90:AD90"/>
    <mergeCell ref="A91:B91"/>
    <mergeCell ref="C91:D91"/>
    <mergeCell ref="E91:J91"/>
    <mergeCell ref="K91:S91"/>
    <mergeCell ref="T91:U91"/>
    <mergeCell ref="V91:X91"/>
    <mergeCell ref="Y91:AD91"/>
    <mergeCell ref="A89:E89"/>
    <mergeCell ref="A90:B90"/>
    <mergeCell ref="C90:D90"/>
    <mergeCell ref="E90:J90"/>
    <mergeCell ref="K90:S90"/>
    <mergeCell ref="T90:U90"/>
    <mergeCell ref="A88:B88"/>
    <mergeCell ref="F88:J88"/>
    <mergeCell ref="K88:S88"/>
    <mergeCell ref="T88:U88"/>
    <mergeCell ref="V88:W88"/>
    <mergeCell ref="X88:AD88"/>
    <mergeCell ref="A87:B87"/>
    <mergeCell ref="F87:J87"/>
    <mergeCell ref="K87:S87"/>
    <mergeCell ref="T87:U87"/>
    <mergeCell ref="V87:W87"/>
    <mergeCell ref="X87:AD87"/>
    <mergeCell ref="A86:B86"/>
    <mergeCell ref="F86:J86"/>
    <mergeCell ref="K86:S86"/>
    <mergeCell ref="T86:U86"/>
    <mergeCell ref="V86:W86"/>
    <mergeCell ref="X86:AD86"/>
    <mergeCell ref="A85:B85"/>
    <mergeCell ref="F85:J85"/>
    <mergeCell ref="K85:S85"/>
    <mergeCell ref="T85:U85"/>
    <mergeCell ref="V85:W85"/>
    <mergeCell ref="X85:AD85"/>
    <mergeCell ref="A84:B84"/>
    <mergeCell ref="F84:J84"/>
    <mergeCell ref="K84:S84"/>
    <mergeCell ref="T84:U84"/>
    <mergeCell ref="V84:W84"/>
    <mergeCell ref="X84:AD84"/>
    <mergeCell ref="A83:B83"/>
    <mergeCell ref="F83:J83"/>
    <mergeCell ref="K83:S83"/>
    <mergeCell ref="T83:U83"/>
    <mergeCell ref="V83:W83"/>
    <mergeCell ref="X83:AD83"/>
    <mergeCell ref="A82:B82"/>
    <mergeCell ref="F82:J82"/>
    <mergeCell ref="K82:S82"/>
    <mergeCell ref="T82:U82"/>
    <mergeCell ref="V82:W82"/>
    <mergeCell ref="X82:AD82"/>
    <mergeCell ref="AB79:AD79"/>
    <mergeCell ref="A80:E80"/>
    <mergeCell ref="A81:B81"/>
    <mergeCell ref="F81:J81"/>
    <mergeCell ref="K81:S81"/>
    <mergeCell ref="T81:U81"/>
    <mergeCell ref="V81:W81"/>
    <mergeCell ref="X81:AD81"/>
    <mergeCell ref="A79:B79"/>
    <mergeCell ref="F79:J79"/>
    <mergeCell ref="K79:L79"/>
    <mergeCell ref="N79:O79"/>
    <mergeCell ref="P79:Q79"/>
    <mergeCell ref="R79:AA79"/>
    <mergeCell ref="AB77:AD77"/>
    <mergeCell ref="A78:B78"/>
    <mergeCell ref="F78:J78"/>
    <mergeCell ref="K78:L78"/>
    <mergeCell ref="N78:O78"/>
    <mergeCell ref="P78:Q78"/>
    <mergeCell ref="R78:AA78"/>
    <mergeCell ref="AB78:AD78"/>
    <mergeCell ref="A77:B77"/>
    <mergeCell ref="F77:J77"/>
    <mergeCell ref="K77:L77"/>
    <mergeCell ref="N77:O77"/>
    <mergeCell ref="P77:Q77"/>
    <mergeCell ref="R77:AA77"/>
    <mergeCell ref="AB75:AD75"/>
    <mergeCell ref="A76:B76"/>
    <mergeCell ref="F76:J76"/>
    <mergeCell ref="K76:L76"/>
    <mergeCell ref="N76:O76"/>
    <mergeCell ref="P76:Q76"/>
    <mergeCell ref="R76:AA76"/>
    <mergeCell ref="AB76:AD76"/>
    <mergeCell ref="A75:B75"/>
    <mergeCell ref="F75:J75"/>
    <mergeCell ref="K75:L75"/>
    <mergeCell ref="N75:O75"/>
    <mergeCell ref="P75:Q75"/>
    <mergeCell ref="R75:AA75"/>
    <mergeCell ref="AB73:AD73"/>
    <mergeCell ref="A74:B74"/>
    <mergeCell ref="F74:J74"/>
    <mergeCell ref="K74:L74"/>
    <mergeCell ref="N74:O74"/>
    <mergeCell ref="P74:Q74"/>
    <mergeCell ref="R74:AA74"/>
    <mergeCell ref="AB74:AD74"/>
    <mergeCell ref="A73:B73"/>
    <mergeCell ref="F73:J73"/>
    <mergeCell ref="K73:L73"/>
    <mergeCell ref="N73:O73"/>
    <mergeCell ref="P73:Q73"/>
    <mergeCell ref="R73:AA73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R69:AA69"/>
    <mergeCell ref="AB69:AD69"/>
    <mergeCell ref="A70:B70"/>
    <mergeCell ref="F70:J70"/>
    <mergeCell ref="K70:L70"/>
    <mergeCell ref="N70:O70"/>
    <mergeCell ref="P70:Q70"/>
    <mergeCell ref="R70:AA70"/>
    <mergeCell ref="AB70:AD70"/>
    <mergeCell ref="A68:E68"/>
    <mergeCell ref="A69:B69"/>
    <mergeCell ref="F69:J69"/>
    <mergeCell ref="K69:L69"/>
    <mergeCell ref="N69:O69"/>
    <mergeCell ref="P69:Q69"/>
    <mergeCell ref="A66:B66"/>
    <mergeCell ref="F66:M66"/>
    <mergeCell ref="P66:Q66"/>
    <mergeCell ref="R66:U66"/>
    <mergeCell ref="V66:AD66"/>
    <mergeCell ref="A67:B67"/>
    <mergeCell ref="F67:M67"/>
    <mergeCell ref="P67:Q67"/>
    <mergeCell ref="R67:U67"/>
    <mergeCell ref="V67:AD67"/>
    <mergeCell ref="A64:B64"/>
    <mergeCell ref="F64:M64"/>
    <mergeCell ref="P64:Q64"/>
    <mergeCell ref="R64:U64"/>
    <mergeCell ref="V64:AD64"/>
    <mergeCell ref="A65:B65"/>
    <mergeCell ref="F65:M65"/>
    <mergeCell ref="P65:Q65"/>
    <mergeCell ref="R65:U65"/>
    <mergeCell ref="V65:AD65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D4:AD5"/>
    <mergeCell ref="A28:H28"/>
    <mergeCell ref="A55:E55"/>
    <mergeCell ref="A56:M56"/>
    <mergeCell ref="N56:AD56"/>
    <mergeCell ref="A57:B57"/>
    <mergeCell ref="F57:M57"/>
    <mergeCell ref="P57:Q57"/>
    <mergeCell ref="R57:U57"/>
    <mergeCell ref="V57:AD57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r:id="rId1"/>
  <rowBreaks count="1" manualBreakCount="1">
    <brk id="53" max="29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7B21F-8917-40DD-ACD2-C761D64444E3}">
  <sheetPr codeName="Sheet16">
    <pageSetUpPr fitToPage="1"/>
  </sheetPr>
  <dimension ref="A1:AF94"/>
  <sheetViews>
    <sheetView view="pageBreakPreview" zoomScale="70" zoomScaleNormal="72" zoomScaleSheetLayoutView="70" workbookViewId="0">
      <selection activeCell="E17" sqref="E17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1" bestFit="1" customWidth="1"/>
    <col min="33" max="33" width="17.625" style="50" customWidth="1"/>
    <col min="34" max="16384" width="9" style="50"/>
  </cols>
  <sheetData>
    <row r="1" spans="1:32" ht="44.25" customHeight="1">
      <c r="A1" s="461" t="s">
        <v>721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61"/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62"/>
      <c r="B3" s="462"/>
      <c r="C3" s="462"/>
      <c r="D3" s="462"/>
      <c r="E3" s="462"/>
      <c r="F3" s="462"/>
      <c r="G3" s="462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63" t="s">
        <v>0</v>
      </c>
      <c r="B4" s="465" t="s">
        <v>1</v>
      </c>
      <c r="C4" s="465" t="s">
        <v>2</v>
      </c>
      <c r="D4" s="468" t="s">
        <v>3</v>
      </c>
      <c r="E4" s="470" t="s">
        <v>4</v>
      </c>
      <c r="F4" s="468" t="s">
        <v>5</v>
      </c>
      <c r="G4" s="465" t="s">
        <v>6</v>
      </c>
      <c r="H4" s="471" t="s">
        <v>7</v>
      </c>
      <c r="I4" s="451" t="s">
        <v>8</v>
      </c>
      <c r="J4" s="452"/>
      <c r="K4" s="452"/>
      <c r="L4" s="452"/>
      <c r="M4" s="452"/>
      <c r="N4" s="452"/>
      <c r="O4" s="453"/>
      <c r="P4" s="454" t="s">
        <v>9</v>
      </c>
      <c r="Q4" s="455"/>
      <c r="R4" s="456" t="s">
        <v>10</v>
      </c>
      <c r="S4" s="457"/>
      <c r="T4" s="457"/>
      <c r="U4" s="457"/>
      <c r="V4" s="458"/>
      <c r="W4" s="457" t="s">
        <v>11</v>
      </c>
      <c r="X4" s="457"/>
      <c r="Y4" s="457"/>
      <c r="Z4" s="457"/>
      <c r="AA4" s="458"/>
      <c r="AB4" s="459" t="s">
        <v>12</v>
      </c>
      <c r="AC4" s="433" t="s">
        <v>13</v>
      </c>
      <c r="AD4" s="433" t="s">
        <v>14</v>
      </c>
      <c r="AE4" s="54"/>
    </row>
    <row r="5" spans="1:32" ht="51" customHeight="1" thickBot="1">
      <c r="A5" s="464"/>
      <c r="B5" s="466"/>
      <c r="C5" s="467"/>
      <c r="D5" s="469"/>
      <c r="E5" s="469"/>
      <c r="F5" s="469"/>
      <c r="G5" s="466"/>
      <c r="H5" s="472"/>
      <c r="I5" s="55" t="s">
        <v>15</v>
      </c>
      <c r="J5" s="56" t="s">
        <v>16</v>
      </c>
      <c r="K5" s="281" t="s">
        <v>17</v>
      </c>
      <c r="L5" s="281" t="s">
        <v>18</v>
      </c>
      <c r="M5" s="281" t="s">
        <v>19</v>
      </c>
      <c r="N5" s="281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60"/>
      <c r="AC5" s="434"/>
      <c r="AD5" s="434"/>
      <c r="AE5" s="54"/>
    </row>
    <row r="6" spans="1:32" ht="27" customHeight="1">
      <c r="A6" s="106">
        <v>1</v>
      </c>
      <c r="B6" s="11" t="s">
        <v>57</v>
      </c>
      <c r="C6" s="34" t="s">
        <v>116</v>
      </c>
      <c r="D6" s="52" t="s">
        <v>140</v>
      </c>
      <c r="E6" s="53" t="s">
        <v>604</v>
      </c>
      <c r="F6" s="30" t="s">
        <v>162</v>
      </c>
      <c r="G6" s="12">
        <v>1</v>
      </c>
      <c r="H6" s="13">
        <v>24</v>
      </c>
      <c r="I6" s="31">
        <v>800</v>
      </c>
      <c r="J6" s="14">
        <v>844</v>
      </c>
      <c r="K6" s="15">
        <f>L6</f>
        <v>844</v>
      </c>
      <c r="L6" s="15">
        <f>50+794</f>
        <v>844</v>
      </c>
      <c r="M6" s="15">
        <f t="shared" ref="M6:M28" si="0">L6-N6</f>
        <v>844</v>
      </c>
      <c r="N6" s="15">
        <v>0</v>
      </c>
      <c r="O6" s="58">
        <f t="shared" ref="O6:O29" si="1">IF(L6=0,"0",N6/L6)</f>
        <v>0</v>
      </c>
      <c r="P6" s="39">
        <f t="shared" ref="P6:P28" si="2">IF(L6=0,"0",(24-Q6))</f>
        <v>5</v>
      </c>
      <c r="Q6" s="40">
        <f t="shared" ref="Q6:Q28" si="3">SUM(R6:AA6)</f>
        <v>19</v>
      </c>
      <c r="R6" s="7"/>
      <c r="S6" s="6">
        <v>2</v>
      </c>
      <c r="T6" s="16"/>
      <c r="U6" s="16"/>
      <c r="V6" s="17"/>
      <c r="W6" s="5">
        <v>17</v>
      </c>
      <c r="X6" s="16"/>
      <c r="Y6" s="16"/>
      <c r="Z6" s="16"/>
      <c r="AA6" s="18"/>
      <c r="AB6" s="8">
        <f t="shared" ref="AB6:AB28" si="4">IF(J6=0,"0",(L6/J6))</f>
        <v>1</v>
      </c>
      <c r="AC6" s="9">
        <f t="shared" ref="AC6:AC28" si="5">IF(P6=0,"0",(P6/24))</f>
        <v>0.20833333333333334</v>
      </c>
      <c r="AD6" s="10">
        <f>AC6*AB6*(1-O6)</f>
        <v>0.20833333333333334</v>
      </c>
      <c r="AE6" s="36">
        <f t="shared" ref="AE6:AE28" si="6">$AD$29</f>
        <v>0.58876811594202916</v>
      </c>
      <c r="AF6" s="81">
        <f t="shared" ref="AF6:AF28" si="7">A6</f>
        <v>1</v>
      </c>
    </row>
    <row r="7" spans="1:32" ht="27" customHeight="1">
      <c r="A7" s="106">
        <v>2</v>
      </c>
      <c r="B7" s="11" t="s">
        <v>57</v>
      </c>
      <c r="C7" s="34" t="s">
        <v>112</v>
      </c>
      <c r="D7" s="52" t="s">
        <v>140</v>
      </c>
      <c r="E7" s="53" t="s">
        <v>315</v>
      </c>
      <c r="F7" s="30" t="s">
        <v>139</v>
      </c>
      <c r="G7" s="12">
        <v>1</v>
      </c>
      <c r="H7" s="13">
        <v>24</v>
      </c>
      <c r="I7" s="31">
        <v>55000</v>
      </c>
      <c r="J7" s="14">
        <v>5479</v>
      </c>
      <c r="K7" s="15">
        <f>L7+4962</f>
        <v>10441</v>
      </c>
      <c r="L7" s="15">
        <f>2967+2512</f>
        <v>5479</v>
      </c>
      <c r="M7" s="15">
        <f t="shared" si="0"/>
        <v>5479</v>
      </c>
      <c r="N7" s="15">
        <v>0</v>
      </c>
      <c r="O7" s="58">
        <f t="shared" si="1"/>
        <v>0</v>
      </c>
      <c r="P7" s="39">
        <f t="shared" si="2"/>
        <v>24</v>
      </c>
      <c r="Q7" s="40">
        <f t="shared" si="3"/>
        <v>0</v>
      </c>
      <c r="R7" s="7"/>
      <c r="S7" s="6"/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1</v>
      </c>
      <c r="AD7" s="10">
        <f t="shared" ref="AD7:AD28" si="8">AC7*AB7*(1-O7)</f>
        <v>1</v>
      </c>
      <c r="AE7" s="36">
        <f t="shared" si="6"/>
        <v>0.58876811594202916</v>
      </c>
      <c r="AF7" s="81">
        <f t="shared" si="7"/>
        <v>2</v>
      </c>
    </row>
    <row r="8" spans="1:32" ht="27" customHeight="1">
      <c r="A8" s="92">
        <v>3</v>
      </c>
      <c r="B8" s="11" t="s">
        <v>57</v>
      </c>
      <c r="C8" s="34" t="s">
        <v>116</v>
      </c>
      <c r="D8" s="52" t="s">
        <v>141</v>
      </c>
      <c r="E8" s="53" t="s">
        <v>722</v>
      </c>
      <c r="F8" s="30" t="s">
        <v>128</v>
      </c>
      <c r="G8" s="12">
        <v>4</v>
      </c>
      <c r="H8" s="13">
        <v>22</v>
      </c>
      <c r="I8" s="31">
        <v>10000</v>
      </c>
      <c r="J8" s="5">
        <v>10320</v>
      </c>
      <c r="K8" s="15">
        <f>L8</f>
        <v>10320</v>
      </c>
      <c r="L8" s="15">
        <f>2580*4</f>
        <v>10320</v>
      </c>
      <c r="M8" s="15">
        <f t="shared" si="0"/>
        <v>10320</v>
      </c>
      <c r="N8" s="15">
        <v>0</v>
      </c>
      <c r="O8" s="58">
        <f t="shared" si="1"/>
        <v>0</v>
      </c>
      <c r="P8" s="39">
        <f t="shared" si="2"/>
        <v>11</v>
      </c>
      <c r="Q8" s="40">
        <f t="shared" si="3"/>
        <v>13</v>
      </c>
      <c r="R8" s="7"/>
      <c r="S8" s="6"/>
      <c r="T8" s="16"/>
      <c r="U8" s="16"/>
      <c r="V8" s="17"/>
      <c r="W8" s="5">
        <v>13</v>
      </c>
      <c r="X8" s="16"/>
      <c r="Y8" s="16"/>
      <c r="Z8" s="16"/>
      <c r="AA8" s="18"/>
      <c r="AB8" s="8">
        <f t="shared" si="4"/>
        <v>1</v>
      </c>
      <c r="AC8" s="9">
        <f t="shared" si="5"/>
        <v>0.45833333333333331</v>
      </c>
      <c r="AD8" s="10">
        <f t="shared" si="8"/>
        <v>0.45833333333333331</v>
      </c>
      <c r="AE8" s="36">
        <f t="shared" si="6"/>
        <v>0.58876811594202916</v>
      </c>
      <c r="AF8" s="81">
        <f t="shared" si="7"/>
        <v>3</v>
      </c>
    </row>
    <row r="9" spans="1:32" ht="27" customHeight="1">
      <c r="A9" s="92">
        <v>3</v>
      </c>
      <c r="B9" s="11" t="s">
        <v>57</v>
      </c>
      <c r="C9" s="34" t="s">
        <v>116</v>
      </c>
      <c r="D9" s="52" t="s">
        <v>147</v>
      </c>
      <c r="E9" s="53" t="s">
        <v>723</v>
      </c>
      <c r="F9" s="30" t="s">
        <v>128</v>
      </c>
      <c r="G9" s="12">
        <v>2</v>
      </c>
      <c r="H9" s="13">
        <v>22</v>
      </c>
      <c r="I9" s="31">
        <v>5000</v>
      </c>
      <c r="J9" s="5">
        <v>6400</v>
      </c>
      <c r="K9" s="15">
        <f>L9</f>
        <v>6400</v>
      </c>
      <c r="L9" s="15">
        <f>3066*2+134*2</f>
        <v>6400</v>
      </c>
      <c r="M9" s="15">
        <f t="shared" ref="M9" si="9">L9-N9</f>
        <v>6400</v>
      </c>
      <c r="N9" s="15">
        <v>0</v>
      </c>
      <c r="O9" s="58">
        <f t="shared" ref="O9" si="10">IF(L9=0,"0",N9/L9)</f>
        <v>0</v>
      </c>
      <c r="P9" s="39">
        <f t="shared" ref="P9" si="11">IF(L9=0,"0",(24-Q9))</f>
        <v>12</v>
      </c>
      <c r="Q9" s="40">
        <f t="shared" ref="Q9" si="12">SUM(R9:AA9)</f>
        <v>12</v>
      </c>
      <c r="R9" s="7"/>
      <c r="S9" s="6"/>
      <c r="T9" s="16">
        <v>12</v>
      </c>
      <c r="U9" s="16"/>
      <c r="V9" s="17"/>
      <c r="W9" s="5"/>
      <c r="X9" s="16"/>
      <c r="Y9" s="16"/>
      <c r="Z9" s="16"/>
      <c r="AA9" s="18"/>
      <c r="AB9" s="8">
        <f t="shared" ref="AB9" si="13">IF(J9=0,"0",(L9/J9))</f>
        <v>1</v>
      </c>
      <c r="AC9" s="9">
        <f t="shared" ref="AC9" si="14">IF(P9=0,"0",(P9/24))</f>
        <v>0.5</v>
      </c>
      <c r="AD9" s="10">
        <f t="shared" ref="AD9" si="15">AC9*AB9*(1-O9)</f>
        <v>0.5</v>
      </c>
      <c r="AE9" s="36">
        <f t="shared" si="6"/>
        <v>0.58876811594202916</v>
      </c>
      <c r="AF9" s="81">
        <f t="shared" ref="AF9" si="16">A9</f>
        <v>3</v>
      </c>
    </row>
    <row r="10" spans="1:32" ht="27" customHeight="1">
      <c r="A10" s="92">
        <v>4</v>
      </c>
      <c r="B10" s="11" t="s">
        <v>57</v>
      </c>
      <c r="C10" s="34" t="s">
        <v>116</v>
      </c>
      <c r="D10" s="52" t="s">
        <v>284</v>
      </c>
      <c r="E10" s="53" t="s">
        <v>312</v>
      </c>
      <c r="F10" s="30" t="s">
        <v>323</v>
      </c>
      <c r="G10" s="12">
        <v>1</v>
      </c>
      <c r="H10" s="13">
        <v>24</v>
      </c>
      <c r="I10" s="7">
        <v>60000</v>
      </c>
      <c r="J10" s="14">
        <v>5544</v>
      </c>
      <c r="K10" s="15">
        <f>L10+3954+360+4890+6432+4873+5904+4751+4306+5070+5164</f>
        <v>51248</v>
      </c>
      <c r="L10" s="15">
        <f>2676+2868</f>
        <v>5544</v>
      </c>
      <c r="M10" s="15">
        <f t="shared" si="0"/>
        <v>5544</v>
      </c>
      <c r="N10" s="15">
        <v>0</v>
      </c>
      <c r="O10" s="58">
        <f t="shared" si="1"/>
        <v>0</v>
      </c>
      <c r="P10" s="39">
        <f t="shared" si="2"/>
        <v>23</v>
      </c>
      <c r="Q10" s="40">
        <f t="shared" si="3"/>
        <v>1</v>
      </c>
      <c r="R10" s="7"/>
      <c r="S10" s="6">
        <v>1</v>
      </c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0.95833333333333337</v>
      </c>
      <c r="AD10" s="10">
        <f t="shared" si="8"/>
        <v>0.95833333333333337</v>
      </c>
      <c r="AE10" s="36">
        <f t="shared" si="6"/>
        <v>0.58876811594202916</v>
      </c>
      <c r="AF10" s="81">
        <f t="shared" si="7"/>
        <v>4</v>
      </c>
    </row>
    <row r="11" spans="1:32" ht="27" customHeight="1">
      <c r="A11" s="92">
        <v>5</v>
      </c>
      <c r="B11" s="11" t="s">
        <v>57</v>
      </c>
      <c r="C11" s="11" t="s">
        <v>112</v>
      </c>
      <c r="D11" s="52" t="s">
        <v>121</v>
      </c>
      <c r="E11" s="53" t="s">
        <v>188</v>
      </c>
      <c r="F11" s="30" t="s">
        <v>124</v>
      </c>
      <c r="G11" s="33">
        <v>1</v>
      </c>
      <c r="H11" s="35">
        <v>24</v>
      </c>
      <c r="I11" s="7">
        <v>115000</v>
      </c>
      <c r="J11" s="14">
        <v>3127</v>
      </c>
      <c r="K11" s="15">
        <f>L11+5338+5669+5744+4980+3619+1932+309+2790+5660+4715+1739</f>
        <v>45622</v>
      </c>
      <c r="L11" s="15">
        <f>2906+221</f>
        <v>3127</v>
      </c>
      <c r="M11" s="15">
        <f t="shared" si="0"/>
        <v>3127</v>
      </c>
      <c r="N11" s="15">
        <v>0</v>
      </c>
      <c r="O11" s="58">
        <f t="shared" si="1"/>
        <v>0</v>
      </c>
      <c r="P11" s="39">
        <f t="shared" si="2"/>
        <v>14</v>
      </c>
      <c r="Q11" s="40">
        <f t="shared" si="3"/>
        <v>10</v>
      </c>
      <c r="R11" s="7"/>
      <c r="S11" s="6">
        <v>10</v>
      </c>
      <c r="T11" s="16"/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0.58333333333333337</v>
      </c>
      <c r="AD11" s="10">
        <f t="shared" si="8"/>
        <v>0.58333333333333337</v>
      </c>
      <c r="AE11" s="36">
        <f t="shared" si="6"/>
        <v>0.58876811594202916</v>
      </c>
      <c r="AF11" s="81">
        <f t="shared" si="7"/>
        <v>5</v>
      </c>
    </row>
    <row r="12" spans="1:32" ht="27" customHeight="1">
      <c r="A12" s="92">
        <v>6</v>
      </c>
      <c r="B12" s="11" t="s">
        <v>57</v>
      </c>
      <c r="C12" s="11" t="s">
        <v>127</v>
      </c>
      <c r="D12" s="52" t="s">
        <v>572</v>
      </c>
      <c r="E12" s="53" t="s">
        <v>544</v>
      </c>
      <c r="F12" s="30" t="s">
        <v>124</v>
      </c>
      <c r="G12" s="33">
        <v>4</v>
      </c>
      <c r="H12" s="35">
        <v>24</v>
      </c>
      <c r="I12" s="7">
        <v>100000</v>
      </c>
      <c r="J12" s="14">
        <v>4968</v>
      </c>
      <c r="K12" s="15">
        <f>L12+117404+13952+4968</f>
        <v>136324</v>
      </c>
      <c r="L12" s="15"/>
      <c r="M12" s="15">
        <f t="shared" si="0"/>
        <v>0</v>
      </c>
      <c r="N12" s="15">
        <v>0</v>
      </c>
      <c r="O12" s="58" t="str">
        <f t="shared" si="1"/>
        <v>0</v>
      </c>
      <c r="P12" s="39" t="str">
        <f t="shared" si="2"/>
        <v>0</v>
      </c>
      <c r="Q12" s="40">
        <f t="shared" si="3"/>
        <v>24</v>
      </c>
      <c r="R12" s="7"/>
      <c r="S12" s="6">
        <v>24</v>
      </c>
      <c r="T12" s="16"/>
      <c r="U12" s="16"/>
      <c r="V12" s="17"/>
      <c r="W12" s="5"/>
      <c r="X12" s="16"/>
      <c r="Y12" s="16"/>
      <c r="Z12" s="16"/>
      <c r="AA12" s="18"/>
      <c r="AB12" s="8">
        <f t="shared" si="4"/>
        <v>0</v>
      </c>
      <c r="AC12" s="9">
        <f t="shared" si="5"/>
        <v>0</v>
      </c>
      <c r="AD12" s="10">
        <f t="shared" si="8"/>
        <v>0</v>
      </c>
      <c r="AE12" s="36">
        <f t="shared" si="6"/>
        <v>0.58876811594202916</v>
      </c>
      <c r="AF12" s="81">
        <f t="shared" si="7"/>
        <v>6</v>
      </c>
    </row>
    <row r="13" spans="1:32" ht="27" customHeight="1">
      <c r="A13" s="92">
        <v>7</v>
      </c>
      <c r="B13" s="11" t="s">
        <v>57</v>
      </c>
      <c r="C13" s="34" t="s">
        <v>112</v>
      </c>
      <c r="D13" s="52" t="s">
        <v>147</v>
      </c>
      <c r="E13" s="53" t="s">
        <v>547</v>
      </c>
      <c r="F13" s="30" t="s">
        <v>286</v>
      </c>
      <c r="G13" s="12">
        <v>1</v>
      </c>
      <c r="H13" s="13">
        <v>22</v>
      </c>
      <c r="I13" s="31">
        <v>40000</v>
      </c>
      <c r="J13" s="5">
        <v>4759</v>
      </c>
      <c r="K13" s="15">
        <f>L13+4452+3191+2676+3717</f>
        <v>18795</v>
      </c>
      <c r="L13" s="15">
        <f>2562+2197</f>
        <v>4759</v>
      </c>
      <c r="M13" s="15">
        <f t="shared" si="0"/>
        <v>4759</v>
      </c>
      <c r="N13" s="15">
        <v>0</v>
      </c>
      <c r="O13" s="58">
        <f t="shared" si="1"/>
        <v>0</v>
      </c>
      <c r="P13" s="39">
        <f t="shared" si="2"/>
        <v>24</v>
      </c>
      <c r="Q13" s="40">
        <f t="shared" si="3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1</v>
      </c>
      <c r="AD13" s="10">
        <f t="shared" si="8"/>
        <v>1</v>
      </c>
      <c r="AE13" s="36">
        <f t="shared" si="6"/>
        <v>0.58876811594202916</v>
      </c>
      <c r="AF13" s="81">
        <f t="shared" si="7"/>
        <v>7</v>
      </c>
    </row>
    <row r="14" spans="1:32" ht="27" customHeight="1">
      <c r="A14" s="92">
        <v>8</v>
      </c>
      <c r="B14" s="11" t="s">
        <v>57</v>
      </c>
      <c r="C14" s="11" t="s">
        <v>127</v>
      </c>
      <c r="D14" s="52" t="s">
        <v>209</v>
      </c>
      <c r="E14" s="53" t="s">
        <v>180</v>
      </c>
      <c r="F14" s="30" t="s">
        <v>123</v>
      </c>
      <c r="G14" s="33">
        <v>1</v>
      </c>
      <c r="H14" s="35">
        <v>22</v>
      </c>
      <c r="I14" s="7">
        <v>17400</v>
      </c>
      <c r="J14" s="14">
        <v>1975</v>
      </c>
      <c r="K14" s="15">
        <f>L14+3357+4440+1929</f>
        <v>11701</v>
      </c>
      <c r="L14" s="15">
        <v>1975</v>
      </c>
      <c r="M14" s="15">
        <f t="shared" si="0"/>
        <v>1975</v>
      </c>
      <c r="N14" s="15">
        <v>0</v>
      </c>
      <c r="O14" s="58">
        <f t="shared" si="1"/>
        <v>0</v>
      </c>
      <c r="P14" s="39">
        <f t="shared" si="2"/>
        <v>10</v>
      </c>
      <c r="Q14" s="40">
        <f t="shared" si="3"/>
        <v>14</v>
      </c>
      <c r="R14" s="7"/>
      <c r="S14" s="6">
        <v>14</v>
      </c>
      <c r="T14" s="16"/>
      <c r="U14" s="16"/>
      <c r="V14" s="17"/>
      <c r="W14" s="5"/>
      <c r="X14" s="16"/>
      <c r="Y14" s="16"/>
      <c r="Z14" s="16"/>
      <c r="AA14" s="18"/>
      <c r="AB14" s="8">
        <f t="shared" si="4"/>
        <v>1</v>
      </c>
      <c r="AC14" s="9">
        <f t="shared" si="5"/>
        <v>0.41666666666666669</v>
      </c>
      <c r="AD14" s="10">
        <f t="shared" si="8"/>
        <v>0.41666666666666669</v>
      </c>
      <c r="AE14" s="36">
        <f t="shared" si="6"/>
        <v>0.58876811594202916</v>
      </c>
      <c r="AF14" s="81">
        <f t="shared" si="7"/>
        <v>8</v>
      </c>
    </row>
    <row r="15" spans="1:32" ht="27" customHeight="1">
      <c r="A15" s="99">
        <v>9</v>
      </c>
      <c r="B15" s="11" t="s">
        <v>57</v>
      </c>
      <c r="C15" s="34" t="s">
        <v>112</v>
      </c>
      <c r="D15" s="52" t="s">
        <v>115</v>
      </c>
      <c r="E15" s="53" t="s">
        <v>165</v>
      </c>
      <c r="F15" s="30" t="s">
        <v>167</v>
      </c>
      <c r="G15" s="33">
        <v>1</v>
      </c>
      <c r="H15" s="35">
        <v>50</v>
      </c>
      <c r="I15" s="7">
        <v>300</v>
      </c>
      <c r="J15" s="5">
        <v>391</v>
      </c>
      <c r="K15" s="15">
        <f>L15+300</f>
        <v>300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/>
      <c r="T15" s="16"/>
      <c r="U15" s="16"/>
      <c r="V15" s="17"/>
      <c r="W15" s="5"/>
      <c r="X15" s="16"/>
      <c r="Y15" s="16"/>
      <c r="Z15" s="16"/>
      <c r="AA15" s="18">
        <v>24</v>
      </c>
      <c r="AB15" s="8">
        <f t="shared" si="4"/>
        <v>0</v>
      </c>
      <c r="AC15" s="9">
        <f t="shared" si="5"/>
        <v>0</v>
      </c>
      <c r="AD15" s="10">
        <f t="shared" si="8"/>
        <v>0</v>
      </c>
      <c r="AE15" s="36">
        <f t="shared" si="6"/>
        <v>0.58876811594202916</v>
      </c>
      <c r="AF15" s="81">
        <f t="shared" si="7"/>
        <v>9</v>
      </c>
    </row>
    <row r="16" spans="1:32" ht="27" customHeight="1">
      <c r="A16" s="106">
        <v>10</v>
      </c>
      <c r="B16" s="11" t="s">
        <v>57</v>
      </c>
      <c r="C16" s="34" t="s">
        <v>112</v>
      </c>
      <c r="D16" s="52" t="s">
        <v>140</v>
      </c>
      <c r="E16" s="53" t="s">
        <v>149</v>
      </c>
      <c r="F16" s="30" t="s">
        <v>139</v>
      </c>
      <c r="G16" s="12">
        <v>1</v>
      </c>
      <c r="H16" s="13">
        <v>24</v>
      </c>
      <c r="I16" s="31">
        <v>190000</v>
      </c>
      <c r="J16" s="14">
        <v>2950</v>
      </c>
      <c r="K16" s="15">
        <f>L16+8898+11520+11558+11486+11566+10872+10958+11534+11518+11230+7112+9722+10964+11352+11534+11138+5920+10578+9948</f>
        <v>202358</v>
      </c>
      <c r="L16" s="15">
        <f>1475*2</f>
        <v>2950</v>
      </c>
      <c r="M16" s="15">
        <f t="shared" si="0"/>
        <v>2950</v>
      </c>
      <c r="N16" s="15">
        <v>0</v>
      </c>
      <c r="O16" s="58">
        <f t="shared" si="1"/>
        <v>0</v>
      </c>
      <c r="P16" s="39">
        <f t="shared" si="2"/>
        <v>7</v>
      </c>
      <c r="Q16" s="40">
        <f t="shared" si="3"/>
        <v>17</v>
      </c>
      <c r="R16" s="7"/>
      <c r="S16" s="6">
        <v>17</v>
      </c>
      <c r="T16" s="16"/>
      <c r="U16" s="16"/>
      <c r="V16" s="17"/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0.29166666666666669</v>
      </c>
      <c r="AD16" s="10">
        <f t="shared" si="8"/>
        <v>0.29166666666666669</v>
      </c>
      <c r="AE16" s="36">
        <f t="shared" si="6"/>
        <v>0.58876811594202916</v>
      </c>
      <c r="AF16" s="81">
        <f t="shared" si="7"/>
        <v>10</v>
      </c>
    </row>
    <row r="17" spans="1:32" ht="27" customHeight="1">
      <c r="A17" s="92">
        <v>11</v>
      </c>
      <c r="B17" s="11" t="s">
        <v>57</v>
      </c>
      <c r="C17" s="34" t="s">
        <v>116</v>
      </c>
      <c r="D17" s="52" t="s">
        <v>129</v>
      </c>
      <c r="E17" s="53" t="s">
        <v>724</v>
      </c>
      <c r="F17" s="30" t="s">
        <v>128</v>
      </c>
      <c r="G17" s="12">
        <v>2</v>
      </c>
      <c r="H17" s="13">
        <v>22</v>
      </c>
      <c r="I17" s="31">
        <v>5000</v>
      </c>
      <c r="J17" s="5">
        <v>9076</v>
      </c>
      <c r="K17" s="15">
        <f>L17</f>
        <v>9076</v>
      </c>
      <c r="L17" s="15">
        <f>2953*2+1585*2</f>
        <v>9076</v>
      </c>
      <c r="M17" s="15">
        <f t="shared" si="0"/>
        <v>9076</v>
      </c>
      <c r="N17" s="15">
        <v>0</v>
      </c>
      <c r="O17" s="58">
        <f t="shared" si="1"/>
        <v>0</v>
      </c>
      <c r="P17" s="39">
        <f t="shared" si="2"/>
        <v>22</v>
      </c>
      <c r="Q17" s="40">
        <f t="shared" si="3"/>
        <v>2</v>
      </c>
      <c r="R17" s="7"/>
      <c r="S17" s="6"/>
      <c r="T17" s="16"/>
      <c r="U17" s="16"/>
      <c r="V17" s="17"/>
      <c r="W17" s="5">
        <v>2</v>
      </c>
      <c r="X17" s="16"/>
      <c r="Y17" s="16"/>
      <c r="Z17" s="16"/>
      <c r="AA17" s="18"/>
      <c r="AB17" s="8">
        <f t="shared" si="4"/>
        <v>1</v>
      </c>
      <c r="AC17" s="9">
        <f t="shared" si="5"/>
        <v>0.91666666666666663</v>
      </c>
      <c r="AD17" s="10">
        <f t="shared" si="8"/>
        <v>0.91666666666666663</v>
      </c>
      <c r="AE17" s="36">
        <f t="shared" si="6"/>
        <v>0.58876811594202916</v>
      </c>
      <c r="AF17" s="81">
        <f t="shared" si="7"/>
        <v>11</v>
      </c>
    </row>
    <row r="18" spans="1:32" ht="27" customHeight="1">
      <c r="A18" s="106">
        <v>12</v>
      </c>
      <c r="B18" s="11" t="s">
        <v>57</v>
      </c>
      <c r="C18" s="34" t="s">
        <v>127</v>
      </c>
      <c r="D18" s="52" t="s">
        <v>129</v>
      </c>
      <c r="E18" s="53" t="s">
        <v>599</v>
      </c>
      <c r="F18" s="30" t="s">
        <v>625</v>
      </c>
      <c r="G18" s="12">
        <v>3</v>
      </c>
      <c r="H18" s="13">
        <v>24</v>
      </c>
      <c r="I18" s="7">
        <v>85000</v>
      </c>
      <c r="J18" s="14">
        <v>16785</v>
      </c>
      <c r="K18" s="15">
        <f>L18+13281+18096+15855</f>
        <v>64017</v>
      </c>
      <c r="L18" s="15">
        <f>2925*3+2670*3</f>
        <v>16785</v>
      </c>
      <c r="M18" s="15">
        <f t="shared" si="0"/>
        <v>16785</v>
      </c>
      <c r="N18" s="15">
        <v>0</v>
      </c>
      <c r="O18" s="58">
        <f t="shared" si="1"/>
        <v>0</v>
      </c>
      <c r="P18" s="39">
        <f t="shared" si="2"/>
        <v>24</v>
      </c>
      <c r="Q18" s="40">
        <f t="shared" si="3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1</v>
      </c>
      <c r="AD18" s="10">
        <f t="shared" si="8"/>
        <v>1</v>
      </c>
      <c r="AE18" s="36">
        <f t="shared" si="6"/>
        <v>0.58876811594202916</v>
      </c>
      <c r="AF18" s="81">
        <f t="shared" si="7"/>
        <v>12</v>
      </c>
    </row>
    <row r="19" spans="1:32" ht="27" customHeight="1">
      <c r="A19" s="92">
        <v>13</v>
      </c>
      <c r="B19" s="11" t="s">
        <v>57</v>
      </c>
      <c r="C19" s="34" t="s">
        <v>112</v>
      </c>
      <c r="D19" s="52" t="s">
        <v>115</v>
      </c>
      <c r="E19" s="53" t="s">
        <v>711</v>
      </c>
      <c r="F19" s="30" t="s">
        <v>286</v>
      </c>
      <c r="G19" s="12">
        <v>1</v>
      </c>
      <c r="H19" s="13">
        <v>22</v>
      </c>
      <c r="I19" s="31">
        <v>3000</v>
      </c>
      <c r="J19" s="5">
        <v>2735</v>
      </c>
      <c r="K19" s="15">
        <f>L19</f>
        <v>2735</v>
      </c>
      <c r="L19" s="15">
        <f>308+2427</f>
        <v>2735</v>
      </c>
      <c r="M19" s="15">
        <f t="shared" si="0"/>
        <v>2735</v>
      </c>
      <c r="N19" s="15">
        <v>0</v>
      </c>
      <c r="O19" s="58">
        <f t="shared" si="1"/>
        <v>0</v>
      </c>
      <c r="P19" s="39">
        <f t="shared" si="2"/>
        <v>16</v>
      </c>
      <c r="Q19" s="40">
        <f t="shared" si="3"/>
        <v>8</v>
      </c>
      <c r="R19" s="7"/>
      <c r="S19" s="6">
        <v>8</v>
      </c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0.66666666666666663</v>
      </c>
      <c r="AD19" s="10">
        <f t="shared" si="8"/>
        <v>0.66666666666666663</v>
      </c>
      <c r="AE19" s="36">
        <f t="shared" si="6"/>
        <v>0.58876811594202916</v>
      </c>
      <c r="AF19" s="81">
        <f t="shared" si="7"/>
        <v>13</v>
      </c>
    </row>
    <row r="20" spans="1:32" ht="27" customHeight="1">
      <c r="A20" s="92">
        <v>14</v>
      </c>
      <c r="B20" s="11" t="s">
        <v>57</v>
      </c>
      <c r="C20" s="11" t="s">
        <v>116</v>
      </c>
      <c r="D20" s="52" t="s">
        <v>715</v>
      </c>
      <c r="E20" s="53" t="s">
        <v>713</v>
      </c>
      <c r="F20" s="30" t="s">
        <v>286</v>
      </c>
      <c r="G20" s="33">
        <v>1</v>
      </c>
      <c r="H20" s="35">
        <v>24</v>
      </c>
      <c r="I20" s="7">
        <v>6000</v>
      </c>
      <c r="J20" s="14">
        <v>4725</v>
      </c>
      <c r="K20" s="15">
        <f>L20</f>
        <v>4725</v>
      </c>
      <c r="L20" s="15">
        <f>2117+2608</f>
        <v>4725</v>
      </c>
      <c r="M20" s="15">
        <f t="shared" si="0"/>
        <v>4725</v>
      </c>
      <c r="N20" s="15">
        <v>0</v>
      </c>
      <c r="O20" s="58">
        <f t="shared" si="1"/>
        <v>0</v>
      </c>
      <c r="P20" s="39">
        <f t="shared" si="2"/>
        <v>23</v>
      </c>
      <c r="Q20" s="40">
        <f t="shared" si="3"/>
        <v>1</v>
      </c>
      <c r="R20" s="7"/>
      <c r="S20" s="6"/>
      <c r="T20" s="16">
        <v>1</v>
      </c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0.95833333333333337</v>
      </c>
      <c r="AD20" s="10">
        <f t="shared" si="8"/>
        <v>0.95833333333333337</v>
      </c>
      <c r="AE20" s="36">
        <f t="shared" si="6"/>
        <v>0.58876811594202916</v>
      </c>
      <c r="AF20" s="81">
        <f t="shared" si="7"/>
        <v>14</v>
      </c>
    </row>
    <row r="21" spans="1:32" ht="27" customHeight="1">
      <c r="A21" s="106">
        <v>15</v>
      </c>
      <c r="B21" s="11" t="s">
        <v>57</v>
      </c>
      <c r="C21" s="11" t="s">
        <v>112</v>
      </c>
      <c r="D21" s="52" t="s">
        <v>115</v>
      </c>
      <c r="E21" s="53" t="s">
        <v>148</v>
      </c>
      <c r="F21" s="30" t="s">
        <v>138</v>
      </c>
      <c r="G21" s="33">
        <v>2</v>
      </c>
      <c r="H21" s="35">
        <v>24</v>
      </c>
      <c r="I21" s="7">
        <v>190000</v>
      </c>
      <c r="J21" s="14">
        <v>6657</v>
      </c>
      <c r="K21" s="15">
        <f>L21+2429+7472+8688+7444+11036+10988+11010+10896+8170+1188+8544+8600+10428+2136+6276+9709+8542+9846</f>
        <v>150059</v>
      </c>
      <c r="L21" s="15">
        <f>823*2+1309+1851*2</f>
        <v>6657</v>
      </c>
      <c r="M21" s="15">
        <f t="shared" si="0"/>
        <v>6657</v>
      </c>
      <c r="N21" s="15">
        <v>0</v>
      </c>
      <c r="O21" s="58">
        <f t="shared" si="1"/>
        <v>0</v>
      </c>
      <c r="P21" s="39">
        <f t="shared" si="2"/>
        <v>20</v>
      </c>
      <c r="Q21" s="40">
        <f t="shared" si="3"/>
        <v>4</v>
      </c>
      <c r="R21" s="7"/>
      <c r="S21" s="6">
        <v>4</v>
      </c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0.83333333333333337</v>
      </c>
      <c r="AD21" s="10">
        <f t="shared" si="8"/>
        <v>0.83333333333333337</v>
      </c>
      <c r="AE21" s="36">
        <f t="shared" si="6"/>
        <v>0.58876811594202916</v>
      </c>
      <c r="AF21" s="81">
        <f t="shared" si="7"/>
        <v>15</v>
      </c>
    </row>
    <row r="22" spans="1:32" ht="26.25" customHeight="1">
      <c r="A22" s="92">
        <v>16</v>
      </c>
      <c r="B22" s="11" t="s">
        <v>57</v>
      </c>
      <c r="C22" s="11" t="s">
        <v>113</v>
      </c>
      <c r="D22" s="52"/>
      <c r="E22" s="53" t="s">
        <v>160</v>
      </c>
      <c r="F22" s="12" t="s">
        <v>114</v>
      </c>
      <c r="G22" s="12">
        <v>4</v>
      </c>
      <c r="H22" s="35">
        <v>20</v>
      </c>
      <c r="I22" s="7">
        <v>2000000</v>
      </c>
      <c r="J22" s="14">
        <v>44824</v>
      </c>
      <c r="K22" s="15">
        <f>L22+29876+62940+54476+54396+57856+63452+64136+60836+58660+62760+62928+64084+55912</f>
        <v>797136</v>
      </c>
      <c r="L22" s="15">
        <f>7689*4+3517*4</f>
        <v>44824</v>
      </c>
      <c r="M22" s="15">
        <f t="shared" si="0"/>
        <v>44824</v>
      </c>
      <c r="N22" s="15">
        <v>0</v>
      </c>
      <c r="O22" s="58">
        <f t="shared" si="1"/>
        <v>0</v>
      </c>
      <c r="P22" s="39">
        <f t="shared" si="2"/>
        <v>18</v>
      </c>
      <c r="Q22" s="40">
        <f t="shared" si="3"/>
        <v>6</v>
      </c>
      <c r="R22" s="7"/>
      <c r="S22" s="6">
        <v>6</v>
      </c>
      <c r="T22" s="16"/>
      <c r="U22" s="16"/>
      <c r="V22" s="17"/>
      <c r="W22" s="5"/>
      <c r="X22" s="16"/>
      <c r="Y22" s="16"/>
      <c r="Z22" s="16"/>
      <c r="AA22" s="18"/>
      <c r="AB22" s="8">
        <f t="shared" si="4"/>
        <v>1</v>
      </c>
      <c r="AC22" s="9">
        <f t="shared" si="5"/>
        <v>0.75</v>
      </c>
      <c r="AD22" s="10">
        <f t="shared" si="8"/>
        <v>0.75</v>
      </c>
      <c r="AE22" s="36">
        <f t="shared" si="6"/>
        <v>0.58876811594202916</v>
      </c>
      <c r="AF22" s="81">
        <f t="shared" si="7"/>
        <v>16</v>
      </c>
    </row>
    <row r="23" spans="1:32" ht="21.75" customHeight="1">
      <c r="A23" s="92">
        <v>31</v>
      </c>
      <c r="B23" s="11" t="s">
        <v>57</v>
      </c>
      <c r="C23" s="11" t="s">
        <v>116</v>
      </c>
      <c r="D23" s="52" t="s">
        <v>115</v>
      </c>
      <c r="E23" s="53" t="s">
        <v>174</v>
      </c>
      <c r="F23" s="12" t="s">
        <v>138</v>
      </c>
      <c r="G23" s="12">
        <v>4</v>
      </c>
      <c r="H23" s="35">
        <v>20</v>
      </c>
      <c r="I23" s="7">
        <v>50000</v>
      </c>
      <c r="J23" s="14">
        <v>22708</v>
      </c>
      <c r="K23" s="15">
        <f>L23+13424+21584</f>
        <v>57716</v>
      </c>
      <c r="L23" s="15">
        <f>2393*4+3284*4</f>
        <v>22708</v>
      </c>
      <c r="M23" s="15">
        <f t="shared" si="0"/>
        <v>22708</v>
      </c>
      <c r="N23" s="15">
        <v>0</v>
      </c>
      <c r="O23" s="58">
        <f t="shared" si="1"/>
        <v>0</v>
      </c>
      <c r="P23" s="39">
        <f t="shared" si="2"/>
        <v>24</v>
      </c>
      <c r="Q23" s="40">
        <f t="shared" si="3"/>
        <v>0</v>
      </c>
      <c r="R23" s="7"/>
      <c r="S23" s="6"/>
      <c r="T23" s="16"/>
      <c r="U23" s="16"/>
      <c r="V23" s="17"/>
      <c r="W23" s="5"/>
      <c r="X23" s="16"/>
      <c r="Y23" s="16"/>
      <c r="Z23" s="16"/>
      <c r="AA23" s="18"/>
      <c r="AB23" s="8">
        <f t="shared" si="4"/>
        <v>1</v>
      </c>
      <c r="AC23" s="9">
        <f t="shared" si="5"/>
        <v>1</v>
      </c>
      <c r="AD23" s="10">
        <f t="shared" si="8"/>
        <v>1</v>
      </c>
      <c r="AE23" s="36">
        <f t="shared" si="6"/>
        <v>0.58876811594202916</v>
      </c>
      <c r="AF23" s="81">
        <f t="shared" si="7"/>
        <v>31</v>
      </c>
    </row>
    <row r="24" spans="1:32" ht="21.75" customHeight="1">
      <c r="A24" s="92">
        <v>32</v>
      </c>
      <c r="B24" s="11" t="s">
        <v>57</v>
      </c>
      <c r="C24" s="11"/>
      <c r="D24" s="52"/>
      <c r="E24" s="53"/>
      <c r="F24" s="12"/>
      <c r="G24" s="12"/>
      <c r="H24" s="35">
        <v>20</v>
      </c>
      <c r="I24" s="7"/>
      <c r="J24" s="14">
        <v>0</v>
      </c>
      <c r="K24" s="15">
        <f t="shared" ref="K24" si="17">L24</f>
        <v>0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7"/>
      <c r="W24" s="5">
        <v>24</v>
      </c>
      <c r="X24" s="16"/>
      <c r="Y24" s="16"/>
      <c r="Z24" s="16"/>
      <c r="AA24" s="18"/>
      <c r="AB24" s="8" t="str">
        <f t="shared" si="4"/>
        <v>0</v>
      </c>
      <c r="AC24" s="9">
        <f t="shared" si="5"/>
        <v>0</v>
      </c>
      <c r="AD24" s="10">
        <f t="shared" si="8"/>
        <v>0</v>
      </c>
      <c r="AE24" s="36">
        <f t="shared" si="6"/>
        <v>0.58876811594202916</v>
      </c>
      <c r="AF24" s="81">
        <f t="shared" si="7"/>
        <v>32</v>
      </c>
    </row>
    <row r="25" spans="1:32" ht="21.75" customHeight="1">
      <c r="A25" s="92">
        <v>33</v>
      </c>
      <c r="B25" s="11" t="s">
        <v>57</v>
      </c>
      <c r="C25" s="11" t="s">
        <v>116</v>
      </c>
      <c r="D25" s="52" t="s">
        <v>147</v>
      </c>
      <c r="E25" s="53" t="s">
        <v>183</v>
      </c>
      <c r="F25" s="12" t="s">
        <v>124</v>
      </c>
      <c r="G25" s="12">
        <v>3</v>
      </c>
      <c r="H25" s="35">
        <v>20</v>
      </c>
      <c r="I25" s="7">
        <v>50000</v>
      </c>
      <c r="J25" s="14">
        <v>20250</v>
      </c>
      <c r="K25" s="15">
        <f>L25+16720+23067</f>
        <v>60037</v>
      </c>
      <c r="L25" s="15">
        <f>2847*3+3903*3</f>
        <v>20250</v>
      </c>
      <c r="M25" s="15">
        <f t="shared" si="0"/>
        <v>20250</v>
      </c>
      <c r="N25" s="15">
        <v>0</v>
      </c>
      <c r="O25" s="58">
        <f t="shared" si="1"/>
        <v>0</v>
      </c>
      <c r="P25" s="39">
        <f t="shared" si="2"/>
        <v>24</v>
      </c>
      <c r="Q25" s="40">
        <f t="shared" si="3"/>
        <v>0</v>
      </c>
      <c r="R25" s="7"/>
      <c r="S25" s="6"/>
      <c r="T25" s="16"/>
      <c r="U25" s="16"/>
      <c r="V25" s="114"/>
      <c r="W25" s="5"/>
      <c r="X25" s="16"/>
      <c r="Y25" s="16"/>
      <c r="Z25" s="16"/>
      <c r="AA25" s="18"/>
      <c r="AB25" s="8">
        <f t="shared" si="4"/>
        <v>1</v>
      </c>
      <c r="AC25" s="9">
        <f t="shared" si="5"/>
        <v>1</v>
      </c>
      <c r="AD25" s="10">
        <f t="shared" si="8"/>
        <v>1</v>
      </c>
      <c r="AE25" s="36">
        <f t="shared" si="6"/>
        <v>0.58876811594202916</v>
      </c>
      <c r="AF25" s="81">
        <f t="shared" si="7"/>
        <v>33</v>
      </c>
    </row>
    <row r="26" spans="1:32" ht="21.75" customHeight="1">
      <c r="A26" s="92">
        <v>34</v>
      </c>
      <c r="B26" s="11" t="s">
        <v>57</v>
      </c>
      <c r="C26" s="11" t="s">
        <v>116</v>
      </c>
      <c r="D26" s="52" t="s">
        <v>129</v>
      </c>
      <c r="E26" s="53" t="s">
        <v>172</v>
      </c>
      <c r="F26" s="12" t="s">
        <v>125</v>
      </c>
      <c r="G26" s="12">
        <v>4</v>
      </c>
      <c r="H26" s="35">
        <v>20</v>
      </c>
      <c r="I26" s="7">
        <v>50000</v>
      </c>
      <c r="J26" s="14">
        <v>25280</v>
      </c>
      <c r="K26" s="15">
        <f>L26+15172+24432</f>
        <v>64884</v>
      </c>
      <c r="L26" s="15">
        <f>2732*4+3588*4</f>
        <v>25280</v>
      </c>
      <c r="M26" s="15">
        <f t="shared" si="0"/>
        <v>25280</v>
      </c>
      <c r="N26" s="15">
        <v>0</v>
      </c>
      <c r="O26" s="58">
        <f t="shared" si="1"/>
        <v>0</v>
      </c>
      <c r="P26" s="39">
        <f t="shared" si="2"/>
        <v>24</v>
      </c>
      <c r="Q26" s="40">
        <f t="shared" si="3"/>
        <v>0</v>
      </c>
      <c r="R26" s="7"/>
      <c r="S26" s="6"/>
      <c r="T26" s="16"/>
      <c r="U26" s="16"/>
      <c r="V26" s="114"/>
      <c r="W26" s="5"/>
      <c r="X26" s="16"/>
      <c r="Y26" s="16"/>
      <c r="Z26" s="16"/>
      <c r="AA26" s="18"/>
      <c r="AB26" s="8">
        <f t="shared" si="4"/>
        <v>1</v>
      </c>
      <c r="AC26" s="9">
        <f t="shared" si="5"/>
        <v>1</v>
      </c>
      <c r="AD26" s="10">
        <f t="shared" si="8"/>
        <v>1</v>
      </c>
      <c r="AE26" s="36">
        <f t="shared" si="6"/>
        <v>0.58876811594202916</v>
      </c>
      <c r="AF26" s="81">
        <f t="shared" si="7"/>
        <v>34</v>
      </c>
    </row>
    <row r="27" spans="1:32" ht="21.75" customHeight="1">
      <c r="A27" s="92">
        <v>35</v>
      </c>
      <c r="B27" s="11" t="s">
        <v>57</v>
      </c>
      <c r="C27" s="11" t="s">
        <v>116</v>
      </c>
      <c r="D27" s="52" t="s">
        <v>121</v>
      </c>
      <c r="E27" s="53" t="s">
        <v>126</v>
      </c>
      <c r="F27" s="12" t="s">
        <v>125</v>
      </c>
      <c r="G27" s="12">
        <v>4</v>
      </c>
      <c r="H27" s="35">
        <v>20</v>
      </c>
      <c r="I27" s="7">
        <v>50000</v>
      </c>
      <c r="J27" s="14">
        <v>26944</v>
      </c>
      <c r="K27" s="15">
        <f>L27+24592+26944+21716</f>
        <v>73252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24</v>
      </c>
      <c r="R27" s="7"/>
      <c r="S27" s="6"/>
      <c r="T27" s="16"/>
      <c r="U27" s="16"/>
      <c r="V27" s="114"/>
      <c r="W27" s="5">
        <v>24</v>
      </c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8"/>
        <v>0</v>
      </c>
      <c r="AE27" s="36">
        <f t="shared" si="6"/>
        <v>0.58876811594202916</v>
      </c>
      <c r="AF27" s="81">
        <f t="shared" si="7"/>
        <v>35</v>
      </c>
    </row>
    <row r="28" spans="1:32" ht="21.75" customHeight="1" thickBot="1">
      <c r="A28" s="92">
        <v>36</v>
      </c>
      <c r="B28" s="11" t="s">
        <v>57</v>
      </c>
      <c r="C28" s="11" t="s">
        <v>113</v>
      </c>
      <c r="D28" s="52"/>
      <c r="E28" s="53" t="s">
        <v>182</v>
      </c>
      <c r="F28" s="12" t="s">
        <v>114</v>
      </c>
      <c r="G28" s="12">
        <v>4</v>
      </c>
      <c r="H28" s="35">
        <v>20</v>
      </c>
      <c r="I28" s="7">
        <v>1000000</v>
      </c>
      <c r="J28" s="14">
        <v>47688</v>
      </c>
      <c r="K28" s="15">
        <f>L28+28388+70816+76368+81764+83428+47688</f>
        <v>388452</v>
      </c>
      <c r="L28" s="15"/>
      <c r="M28" s="15">
        <f t="shared" si="0"/>
        <v>0</v>
      </c>
      <c r="N28" s="15">
        <v>0</v>
      </c>
      <c r="O28" s="58" t="str">
        <f t="shared" si="1"/>
        <v>0</v>
      </c>
      <c r="P28" s="39" t="str">
        <f t="shared" si="2"/>
        <v>0</v>
      </c>
      <c r="Q28" s="40">
        <f t="shared" si="3"/>
        <v>24</v>
      </c>
      <c r="R28" s="7"/>
      <c r="S28" s="6"/>
      <c r="T28" s="16"/>
      <c r="U28" s="16"/>
      <c r="V28" s="114">
        <v>24</v>
      </c>
      <c r="W28" s="5"/>
      <c r="X28" s="16"/>
      <c r="Y28" s="16"/>
      <c r="Z28" s="16"/>
      <c r="AA28" s="18"/>
      <c r="AB28" s="8">
        <f t="shared" si="4"/>
        <v>0</v>
      </c>
      <c r="AC28" s="9">
        <f t="shared" si="5"/>
        <v>0</v>
      </c>
      <c r="AD28" s="10">
        <f t="shared" si="8"/>
        <v>0</v>
      </c>
      <c r="AE28" s="36">
        <f t="shared" si="6"/>
        <v>0.58876811594202916</v>
      </c>
      <c r="AF28" s="81">
        <f t="shared" si="7"/>
        <v>36</v>
      </c>
    </row>
    <row r="29" spans="1:32" ht="19.5" thickBot="1">
      <c r="A29" s="435" t="s">
        <v>34</v>
      </c>
      <c r="B29" s="436"/>
      <c r="C29" s="436"/>
      <c r="D29" s="436"/>
      <c r="E29" s="436"/>
      <c r="F29" s="436"/>
      <c r="G29" s="436"/>
      <c r="H29" s="437"/>
      <c r="I29" s="22">
        <f t="shared" ref="I29:N29" si="18">SUM(I6:I28)</f>
        <v>4082500</v>
      </c>
      <c r="J29" s="19">
        <f t="shared" si="18"/>
        <v>274429</v>
      </c>
      <c r="K29" s="20">
        <f t="shared" si="18"/>
        <v>2166442</v>
      </c>
      <c r="L29" s="21">
        <f t="shared" si="18"/>
        <v>194438</v>
      </c>
      <c r="M29" s="20">
        <f t="shared" si="18"/>
        <v>194438</v>
      </c>
      <c r="N29" s="21">
        <f t="shared" si="18"/>
        <v>0</v>
      </c>
      <c r="O29" s="41">
        <f t="shared" si="1"/>
        <v>0</v>
      </c>
      <c r="P29" s="42">
        <f t="shared" ref="P29:AA29" si="19">SUM(P6:P28)</f>
        <v>325</v>
      </c>
      <c r="Q29" s="43">
        <f t="shared" si="19"/>
        <v>227</v>
      </c>
      <c r="R29" s="23">
        <f t="shared" si="19"/>
        <v>0</v>
      </c>
      <c r="S29" s="24">
        <f t="shared" si="19"/>
        <v>86</v>
      </c>
      <c r="T29" s="24">
        <f t="shared" si="19"/>
        <v>13</v>
      </c>
      <c r="U29" s="24">
        <f t="shared" si="19"/>
        <v>0</v>
      </c>
      <c r="V29" s="25">
        <f t="shared" si="19"/>
        <v>24</v>
      </c>
      <c r="W29" s="26">
        <f t="shared" si="19"/>
        <v>80</v>
      </c>
      <c r="X29" s="27">
        <f t="shared" si="19"/>
        <v>0</v>
      </c>
      <c r="Y29" s="27">
        <f t="shared" si="19"/>
        <v>0</v>
      </c>
      <c r="Z29" s="27">
        <f t="shared" si="19"/>
        <v>0</v>
      </c>
      <c r="AA29" s="27">
        <f t="shared" si="19"/>
        <v>24</v>
      </c>
      <c r="AB29" s="28">
        <f>AVERAGE(AB6:AB28)</f>
        <v>0.81818181818181823</v>
      </c>
      <c r="AC29" s="4">
        <f>AVERAGE(AC6:AC28)</f>
        <v>0.58876811594202916</v>
      </c>
      <c r="AD29" s="4">
        <f>AVERAGE(AD6:AD28)</f>
        <v>0.58876811594202916</v>
      </c>
      <c r="AE29" s="29"/>
    </row>
    <row r="30" spans="1:32">
      <c r="T30" s="50" t="s">
        <v>130</v>
      </c>
    </row>
    <row r="31" spans="1:32" ht="18.75">
      <c r="A31" s="2"/>
      <c r="B31" s="2" t="s">
        <v>35</v>
      </c>
      <c r="C31" s="2"/>
      <c r="D31" s="2"/>
      <c r="E31" s="2"/>
      <c r="F31" s="2"/>
      <c r="G31" s="2"/>
      <c r="H31" s="3"/>
      <c r="I31" s="3"/>
      <c r="J31" s="2"/>
      <c r="K31" s="2"/>
      <c r="L31" s="2"/>
      <c r="M31" s="2"/>
      <c r="N31" s="2" t="s">
        <v>36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1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 t="s">
        <v>131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F40" s="82"/>
    </row>
    <row r="41" spans="1:32" ht="14.2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F41" s="50"/>
    </row>
    <row r="42" spans="1:32" ht="14.2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50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14.2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F45" s="50"/>
    </row>
    <row r="46" spans="1:32" ht="27">
      <c r="A46" s="59"/>
      <c r="B46" s="59"/>
      <c r="C46" s="59"/>
      <c r="D46" s="59"/>
      <c r="E46" s="59"/>
      <c r="F46" s="37"/>
      <c r="G46" s="37"/>
      <c r="H46" s="38"/>
      <c r="I46" s="38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F46" s="50"/>
    </row>
    <row r="47" spans="1:32" ht="29.25" customHeight="1">
      <c r="A47" s="60"/>
      <c r="B47" s="60"/>
      <c r="C47" s="61"/>
      <c r="D47" s="61"/>
      <c r="E47" s="61"/>
      <c r="F47" s="60"/>
      <c r="G47" s="60"/>
      <c r="H47" s="60"/>
      <c r="I47" s="60"/>
      <c r="J47" s="60"/>
      <c r="K47" s="60"/>
      <c r="L47" s="60"/>
      <c r="M47" s="61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29.25" customHeight="1">
      <c r="A49" s="60"/>
      <c r="B49" s="60"/>
      <c r="C49" s="62"/>
      <c r="D49" s="61"/>
      <c r="E49" s="61"/>
      <c r="F49" s="60"/>
      <c r="G49" s="60"/>
      <c r="H49" s="60"/>
      <c r="I49" s="60"/>
      <c r="J49" s="60"/>
      <c r="K49" s="60"/>
      <c r="L49" s="60"/>
      <c r="M49" s="62"/>
      <c r="N49" s="60"/>
      <c r="O49" s="60"/>
      <c r="P49" s="63"/>
      <c r="Q49" s="63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29.25" customHeight="1">
      <c r="A54" s="60"/>
      <c r="B54" s="60"/>
      <c r="C54" s="62"/>
      <c r="D54" s="61"/>
      <c r="E54" s="61"/>
      <c r="F54" s="60"/>
      <c r="G54" s="60"/>
      <c r="H54" s="60"/>
      <c r="I54" s="60"/>
      <c r="J54" s="60"/>
      <c r="K54" s="60"/>
      <c r="L54" s="60"/>
      <c r="M54" s="62"/>
      <c r="N54" s="60"/>
      <c r="O54" s="60"/>
      <c r="P54" s="63"/>
      <c r="Q54" s="63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0"/>
      <c r="AC54" s="60"/>
      <c r="AD54" s="60"/>
      <c r="AF54" s="50"/>
    </row>
    <row r="55" spans="1:32" ht="14.25" customHeight="1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F55" s="50"/>
    </row>
    <row r="56" spans="1:32" ht="36" thickBot="1">
      <c r="A56" s="438" t="s">
        <v>45</v>
      </c>
      <c r="B56" s="438"/>
      <c r="C56" s="438"/>
      <c r="D56" s="438"/>
      <c r="E56" s="438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F56" s="50"/>
    </row>
    <row r="57" spans="1:32" ht="26.25" thickBot="1">
      <c r="A57" s="439" t="s">
        <v>725</v>
      </c>
      <c r="B57" s="440"/>
      <c r="C57" s="440"/>
      <c r="D57" s="440"/>
      <c r="E57" s="440"/>
      <c r="F57" s="440"/>
      <c r="G57" s="440"/>
      <c r="H57" s="440"/>
      <c r="I57" s="440"/>
      <c r="J57" s="440"/>
      <c r="K57" s="440"/>
      <c r="L57" s="440"/>
      <c r="M57" s="441"/>
      <c r="N57" s="442" t="s">
        <v>736</v>
      </c>
      <c r="O57" s="443"/>
      <c r="P57" s="443"/>
      <c r="Q57" s="443"/>
      <c r="R57" s="443"/>
      <c r="S57" s="443"/>
      <c r="T57" s="443"/>
      <c r="U57" s="443"/>
      <c r="V57" s="443"/>
      <c r="W57" s="443"/>
      <c r="X57" s="443"/>
      <c r="Y57" s="443"/>
      <c r="Z57" s="443"/>
      <c r="AA57" s="443"/>
      <c r="AB57" s="443"/>
      <c r="AC57" s="443"/>
      <c r="AD57" s="444"/>
    </row>
    <row r="58" spans="1:32" ht="27" customHeight="1">
      <c r="A58" s="445" t="s">
        <v>2</v>
      </c>
      <c r="B58" s="446"/>
      <c r="C58" s="282" t="s">
        <v>46</v>
      </c>
      <c r="D58" s="282" t="s">
        <v>47</v>
      </c>
      <c r="E58" s="282" t="s">
        <v>107</v>
      </c>
      <c r="F58" s="447" t="s">
        <v>106</v>
      </c>
      <c r="G58" s="448"/>
      <c r="H58" s="448"/>
      <c r="I58" s="448"/>
      <c r="J58" s="448"/>
      <c r="K58" s="448"/>
      <c r="L58" s="448"/>
      <c r="M58" s="449"/>
      <c r="N58" s="67" t="s">
        <v>110</v>
      </c>
      <c r="O58" s="282" t="s">
        <v>46</v>
      </c>
      <c r="P58" s="447" t="s">
        <v>47</v>
      </c>
      <c r="Q58" s="450"/>
      <c r="R58" s="447" t="s">
        <v>38</v>
      </c>
      <c r="S58" s="448"/>
      <c r="T58" s="448"/>
      <c r="U58" s="450"/>
      <c r="V58" s="447" t="s">
        <v>48</v>
      </c>
      <c r="W58" s="448"/>
      <c r="X58" s="448"/>
      <c r="Y58" s="448"/>
      <c r="Z58" s="448"/>
      <c r="AA58" s="448"/>
      <c r="AB58" s="448"/>
      <c r="AC58" s="448"/>
      <c r="AD58" s="449"/>
    </row>
    <row r="59" spans="1:32" ht="27" customHeight="1">
      <c r="A59" s="415" t="s">
        <v>116</v>
      </c>
      <c r="B59" s="416"/>
      <c r="C59" s="287" t="s">
        <v>143</v>
      </c>
      <c r="D59" s="287" t="s">
        <v>140</v>
      </c>
      <c r="E59" s="287" t="s">
        <v>726</v>
      </c>
      <c r="F59" s="417" t="s">
        <v>727</v>
      </c>
      <c r="G59" s="418"/>
      <c r="H59" s="418"/>
      <c r="I59" s="418"/>
      <c r="J59" s="418"/>
      <c r="K59" s="418"/>
      <c r="L59" s="418"/>
      <c r="M59" s="419"/>
      <c r="N59" s="283" t="s">
        <v>116</v>
      </c>
      <c r="O59" s="290" t="s">
        <v>240</v>
      </c>
      <c r="P59" s="430" t="s">
        <v>284</v>
      </c>
      <c r="Q59" s="431"/>
      <c r="R59" s="430" t="s">
        <v>737</v>
      </c>
      <c r="S59" s="432"/>
      <c r="T59" s="432"/>
      <c r="U59" s="431"/>
      <c r="V59" s="417" t="s">
        <v>122</v>
      </c>
      <c r="W59" s="418"/>
      <c r="X59" s="418"/>
      <c r="Y59" s="418"/>
      <c r="Z59" s="418"/>
      <c r="AA59" s="418"/>
      <c r="AB59" s="418"/>
      <c r="AC59" s="418"/>
      <c r="AD59" s="419"/>
    </row>
    <row r="60" spans="1:32" ht="27" customHeight="1">
      <c r="A60" s="415" t="s">
        <v>116</v>
      </c>
      <c r="B60" s="416"/>
      <c r="C60" s="287" t="s">
        <v>240</v>
      </c>
      <c r="D60" s="287" t="s">
        <v>141</v>
      </c>
      <c r="E60" s="287" t="s">
        <v>722</v>
      </c>
      <c r="F60" s="473" t="s">
        <v>122</v>
      </c>
      <c r="G60" s="474"/>
      <c r="H60" s="474"/>
      <c r="I60" s="474"/>
      <c r="J60" s="474"/>
      <c r="K60" s="474"/>
      <c r="L60" s="474"/>
      <c r="M60" s="475"/>
      <c r="N60" s="283" t="s">
        <v>127</v>
      </c>
      <c r="O60" s="290" t="s">
        <v>151</v>
      </c>
      <c r="P60" s="430" t="s">
        <v>572</v>
      </c>
      <c r="Q60" s="431"/>
      <c r="R60" s="430" t="s">
        <v>544</v>
      </c>
      <c r="S60" s="432"/>
      <c r="T60" s="432"/>
      <c r="U60" s="431"/>
      <c r="V60" s="417" t="s">
        <v>153</v>
      </c>
      <c r="W60" s="418"/>
      <c r="X60" s="418"/>
      <c r="Y60" s="418"/>
      <c r="Z60" s="418"/>
      <c r="AA60" s="418"/>
      <c r="AB60" s="418"/>
      <c r="AC60" s="418"/>
      <c r="AD60" s="419"/>
    </row>
    <row r="61" spans="1:32" ht="27" customHeight="1">
      <c r="A61" s="415" t="s">
        <v>116</v>
      </c>
      <c r="B61" s="416"/>
      <c r="C61" s="287" t="s">
        <v>240</v>
      </c>
      <c r="D61" s="287" t="s">
        <v>729</v>
      </c>
      <c r="E61" s="287" t="s">
        <v>728</v>
      </c>
      <c r="F61" s="473" t="s">
        <v>122</v>
      </c>
      <c r="G61" s="474"/>
      <c r="H61" s="474"/>
      <c r="I61" s="474"/>
      <c r="J61" s="474"/>
      <c r="K61" s="474"/>
      <c r="L61" s="474"/>
      <c r="M61" s="475"/>
      <c r="N61" s="283" t="s">
        <v>739</v>
      </c>
      <c r="O61" s="290" t="s">
        <v>741</v>
      </c>
      <c r="P61" s="430" t="s">
        <v>742</v>
      </c>
      <c r="Q61" s="431"/>
      <c r="R61" s="430" t="s">
        <v>738</v>
      </c>
      <c r="S61" s="432"/>
      <c r="T61" s="432"/>
      <c r="U61" s="431"/>
      <c r="V61" s="417" t="s">
        <v>122</v>
      </c>
      <c r="W61" s="418"/>
      <c r="X61" s="418"/>
      <c r="Y61" s="418"/>
      <c r="Z61" s="418"/>
      <c r="AA61" s="418"/>
      <c r="AB61" s="418"/>
      <c r="AC61" s="418"/>
      <c r="AD61" s="419"/>
    </row>
    <row r="62" spans="1:32" ht="27" customHeight="1">
      <c r="A62" s="429" t="s">
        <v>112</v>
      </c>
      <c r="B62" s="420"/>
      <c r="C62" s="284" t="s">
        <v>150</v>
      </c>
      <c r="D62" s="284" t="s">
        <v>121</v>
      </c>
      <c r="E62" s="284" t="s">
        <v>188</v>
      </c>
      <c r="F62" s="417" t="s">
        <v>153</v>
      </c>
      <c r="G62" s="418"/>
      <c r="H62" s="418"/>
      <c r="I62" s="418"/>
      <c r="J62" s="418"/>
      <c r="K62" s="418"/>
      <c r="L62" s="418"/>
      <c r="M62" s="419"/>
      <c r="N62" s="283" t="s">
        <v>116</v>
      </c>
      <c r="O62" s="290" t="s">
        <v>740</v>
      </c>
      <c r="P62" s="430" t="s">
        <v>744</v>
      </c>
      <c r="Q62" s="431"/>
      <c r="R62" s="430" t="s">
        <v>743</v>
      </c>
      <c r="S62" s="432"/>
      <c r="T62" s="432"/>
      <c r="U62" s="431"/>
      <c r="V62" s="417" t="s">
        <v>153</v>
      </c>
      <c r="W62" s="418"/>
      <c r="X62" s="418"/>
      <c r="Y62" s="418"/>
      <c r="Z62" s="418"/>
      <c r="AA62" s="418"/>
      <c r="AB62" s="418"/>
      <c r="AC62" s="418"/>
      <c r="AD62" s="419"/>
    </row>
    <row r="63" spans="1:32" ht="27" customHeight="1">
      <c r="A63" s="429" t="s">
        <v>116</v>
      </c>
      <c r="B63" s="420"/>
      <c r="C63" s="284" t="s">
        <v>187</v>
      </c>
      <c r="D63" s="284" t="s">
        <v>129</v>
      </c>
      <c r="E63" s="284" t="s">
        <v>708</v>
      </c>
      <c r="F63" s="473" t="s">
        <v>122</v>
      </c>
      <c r="G63" s="474"/>
      <c r="H63" s="474"/>
      <c r="I63" s="474"/>
      <c r="J63" s="474"/>
      <c r="K63" s="474"/>
      <c r="L63" s="474"/>
      <c r="M63" s="475"/>
      <c r="N63" s="283" t="s">
        <v>739</v>
      </c>
      <c r="O63" s="290" t="s">
        <v>735</v>
      </c>
      <c r="P63" s="430" t="s">
        <v>744</v>
      </c>
      <c r="Q63" s="431"/>
      <c r="R63" s="430" t="s">
        <v>733</v>
      </c>
      <c r="S63" s="432"/>
      <c r="T63" s="432"/>
      <c r="U63" s="431"/>
      <c r="V63" s="417" t="s">
        <v>153</v>
      </c>
      <c r="W63" s="418"/>
      <c r="X63" s="418"/>
      <c r="Y63" s="418"/>
      <c r="Z63" s="418"/>
      <c r="AA63" s="418"/>
      <c r="AB63" s="418"/>
      <c r="AC63" s="418"/>
      <c r="AD63" s="419"/>
    </row>
    <row r="64" spans="1:32" ht="27" customHeight="1">
      <c r="A64" s="415" t="s">
        <v>112</v>
      </c>
      <c r="B64" s="416"/>
      <c r="C64" s="287" t="s">
        <v>388</v>
      </c>
      <c r="D64" s="287" t="s">
        <v>115</v>
      </c>
      <c r="E64" s="284" t="s">
        <v>711</v>
      </c>
      <c r="F64" s="473" t="s">
        <v>298</v>
      </c>
      <c r="G64" s="474"/>
      <c r="H64" s="474"/>
      <c r="I64" s="474"/>
      <c r="J64" s="474"/>
      <c r="K64" s="474"/>
      <c r="L64" s="474"/>
      <c r="M64" s="475"/>
      <c r="N64" s="283"/>
      <c r="O64" s="290"/>
      <c r="P64" s="430"/>
      <c r="Q64" s="431"/>
      <c r="R64" s="430"/>
      <c r="S64" s="432"/>
      <c r="T64" s="432"/>
      <c r="U64" s="431"/>
      <c r="V64" s="417"/>
      <c r="W64" s="418"/>
      <c r="X64" s="418"/>
      <c r="Y64" s="418"/>
      <c r="Z64" s="418"/>
      <c r="AA64" s="418"/>
      <c r="AB64" s="418"/>
      <c r="AC64" s="418"/>
      <c r="AD64" s="419"/>
    </row>
    <row r="65" spans="1:32" ht="27" customHeight="1">
      <c r="A65" s="415" t="s">
        <v>112</v>
      </c>
      <c r="B65" s="416"/>
      <c r="C65" s="287" t="s">
        <v>731</v>
      </c>
      <c r="D65" s="287" t="s">
        <v>732</v>
      </c>
      <c r="E65" s="284" t="s">
        <v>730</v>
      </c>
      <c r="F65" s="473" t="s">
        <v>122</v>
      </c>
      <c r="G65" s="474"/>
      <c r="H65" s="474"/>
      <c r="I65" s="474"/>
      <c r="J65" s="474"/>
      <c r="K65" s="474"/>
      <c r="L65" s="474"/>
      <c r="M65" s="475"/>
      <c r="N65" s="283"/>
      <c r="O65" s="290"/>
      <c r="P65" s="430"/>
      <c r="Q65" s="431"/>
      <c r="R65" s="430"/>
      <c r="S65" s="432"/>
      <c r="T65" s="432"/>
      <c r="U65" s="431"/>
      <c r="V65" s="417"/>
      <c r="W65" s="418"/>
      <c r="X65" s="418"/>
      <c r="Y65" s="418"/>
      <c r="Z65" s="418"/>
      <c r="AA65" s="418"/>
      <c r="AB65" s="418"/>
      <c r="AC65" s="418"/>
      <c r="AD65" s="419"/>
    </row>
    <row r="66" spans="1:32" ht="27" customHeight="1">
      <c r="A66" s="415" t="s">
        <v>112</v>
      </c>
      <c r="B66" s="416"/>
      <c r="C66" s="287" t="s">
        <v>735</v>
      </c>
      <c r="D66" s="287" t="s">
        <v>115</v>
      </c>
      <c r="E66" s="284" t="s">
        <v>733</v>
      </c>
      <c r="F66" s="473" t="s">
        <v>734</v>
      </c>
      <c r="G66" s="474"/>
      <c r="H66" s="474"/>
      <c r="I66" s="474"/>
      <c r="J66" s="474"/>
      <c r="K66" s="474"/>
      <c r="L66" s="474"/>
      <c r="M66" s="475"/>
      <c r="N66" s="283"/>
      <c r="O66" s="290"/>
      <c r="P66" s="430"/>
      <c r="Q66" s="431"/>
      <c r="R66" s="430"/>
      <c r="S66" s="432"/>
      <c r="T66" s="432"/>
      <c r="U66" s="431"/>
      <c r="V66" s="417"/>
      <c r="W66" s="418"/>
      <c r="X66" s="418"/>
      <c r="Y66" s="418"/>
      <c r="Z66" s="418"/>
      <c r="AA66" s="418"/>
      <c r="AB66" s="418"/>
      <c r="AC66" s="418"/>
      <c r="AD66" s="419"/>
    </row>
    <row r="67" spans="1:32" ht="27" customHeight="1">
      <c r="A67" s="415"/>
      <c r="B67" s="416"/>
      <c r="C67" s="287"/>
      <c r="D67" s="287"/>
      <c r="E67" s="284"/>
      <c r="F67" s="473"/>
      <c r="G67" s="474"/>
      <c r="H67" s="474"/>
      <c r="I67" s="474"/>
      <c r="J67" s="474"/>
      <c r="K67" s="474"/>
      <c r="L67" s="474"/>
      <c r="M67" s="475"/>
      <c r="N67" s="283"/>
      <c r="O67" s="290"/>
      <c r="P67" s="420"/>
      <c r="Q67" s="420"/>
      <c r="R67" s="420"/>
      <c r="S67" s="420"/>
      <c r="T67" s="420"/>
      <c r="U67" s="420"/>
      <c r="V67" s="417"/>
      <c r="W67" s="418"/>
      <c r="X67" s="418"/>
      <c r="Y67" s="418"/>
      <c r="Z67" s="418"/>
      <c r="AA67" s="418"/>
      <c r="AB67" s="418"/>
      <c r="AC67" s="418"/>
      <c r="AD67" s="419"/>
      <c r="AF67" s="81">
        <f>8*3000</f>
        <v>24000</v>
      </c>
    </row>
    <row r="68" spans="1:32" ht="27" customHeight="1" thickBot="1">
      <c r="A68" s="421"/>
      <c r="B68" s="422"/>
      <c r="C68" s="285"/>
      <c r="D68" s="286"/>
      <c r="E68" s="285"/>
      <c r="F68" s="423"/>
      <c r="G68" s="424"/>
      <c r="H68" s="424"/>
      <c r="I68" s="424"/>
      <c r="J68" s="424"/>
      <c r="K68" s="424"/>
      <c r="L68" s="424"/>
      <c r="M68" s="425"/>
      <c r="N68" s="105"/>
      <c r="O68" s="97"/>
      <c r="P68" s="426"/>
      <c r="Q68" s="426"/>
      <c r="R68" s="426"/>
      <c r="S68" s="426"/>
      <c r="T68" s="426"/>
      <c r="U68" s="426"/>
      <c r="V68" s="427"/>
      <c r="W68" s="427"/>
      <c r="X68" s="427"/>
      <c r="Y68" s="427"/>
      <c r="Z68" s="427"/>
      <c r="AA68" s="427"/>
      <c r="AB68" s="427"/>
      <c r="AC68" s="427"/>
      <c r="AD68" s="428"/>
      <c r="AF68" s="81">
        <f>16*3000</f>
        <v>48000</v>
      </c>
    </row>
    <row r="69" spans="1:32" ht="27.75" thickBot="1">
      <c r="A69" s="413" t="s">
        <v>745</v>
      </c>
      <c r="B69" s="413"/>
      <c r="C69" s="413"/>
      <c r="D69" s="413"/>
      <c r="E69" s="413"/>
      <c r="F69" s="37"/>
      <c r="G69" s="37"/>
      <c r="H69" s="38"/>
      <c r="I69" s="38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F69" s="81">
        <v>24000</v>
      </c>
    </row>
    <row r="70" spans="1:32" ht="29.25" customHeight="1" thickBot="1">
      <c r="A70" s="414" t="s">
        <v>111</v>
      </c>
      <c r="B70" s="411"/>
      <c r="C70" s="288" t="s">
        <v>2</v>
      </c>
      <c r="D70" s="288" t="s">
        <v>37</v>
      </c>
      <c r="E70" s="288" t="s">
        <v>3</v>
      </c>
      <c r="F70" s="411" t="s">
        <v>109</v>
      </c>
      <c r="G70" s="411"/>
      <c r="H70" s="411"/>
      <c r="I70" s="411"/>
      <c r="J70" s="411"/>
      <c r="K70" s="411" t="s">
        <v>39</v>
      </c>
      <c r="L70" s="411"/>
      <c r="M70" s="288" t="s">
        <v>40</v>
      </c>
      <c r="N70" s="411" t="s">
        <v>41</v>
      </c>
      <c r="O70" s="411"/>
      <c r="P70" s="408" t="s">
        <v>42</v>
      </c>
      <c r="Q70" s="410"/>
      <c r="R70" s="408" t="s">
        <v>43</v>
      </c>
      <c r="S70" s="409"/>
      <c r="T70" s="409"/>
      <c r="U70" s="409"/>
      <c r="V70" s="409"/>
      <c r="W70" s="409"/>
      <c r="X70" s="409"/>
      <c r="Y70" s="409"/>
      <c r="Z70" s="409"/>
      <c r="AA70" s="410"/>
      <c r="AB70" s="411" t="s">
        <v>44</v>
      </c>
      <c r="AC70" s="411"/>
      <c r="AD70" s="412"/>
      <c r="AF70" s="81">
        <f>SUM(AF67:AF69)</f>
        <v>96000</v>
      </c>
    </row>
    <row r="71" spans="1:32" ht="25.5" customHeight="1">
      <c r="A71" s="399">
        <v>1</v>
      </c>
      <c r="B71" s="400"/>
      <c r="C71" s="98" t="s">
        <v>116</v>
      </c>
      <c r="D71" s="292"/>
      <c r="E71" s="289" t="s">
        <v>140</v>
      </c>
      <c r="F71" s="401" t="s">
        <v>604</v>
      </c>
      <c r="G71" s="391"/>
      <c r="H71" s="391"/>
      <c r="I71" s="391"/>
      <c r="J71" s="391"/>
      <c r="K71" s="391" t="s">
        <v>162</v>
      </c>
      <c r="L71" s="391"/>
      <c r="M71" s="51" t="s">
        <v>222</v>
      </c>
      <c r="N71" s="402" t="s">
        <v>143</v>
      </c>
      <c r="O71" s="402"/>
      <c r="P71" s="403">
        <v>50</v>
      </c>
      <c r="Q71" s="403"/>
      <c r="R71" s="404"/>
      <c r="S71" s="404"/>
      <c r="T71" s="404"/>
      <c r="U71" s="404"/>
      <c r="V71" s="404"/>
      <c r="W71" s="404"/>
      <c r="X71" s="404"/>
      <c r="Y71" s="404"/>
      <c r="Z71" s="404"/>
      <c r="AA71" s="404"/>
      <c r="AB71" s="391"/>
      <c r="AC71" s="391"/>
      <c r="AD71" s="392"/>
      <c r="AF71" s="50"/>
    </row>
    <row r="72" spans="1:32" ht="25.5" customHeight="1">
      <c r="A72" s="399">
        <v>2</v>
      </c>
      <c r="B72" s="400"/>
      <c r="C72" s="98" t="s">
        <v>112</v>
      </c>
      <c r="D72" s="292"/>
      <c r="E72" s="289" t="s">
        <v>422</v>
      </c>
      <c r="F72" s="401" t="s">
        <v>419</v>
      </c>
      <c r="G72" s="391"/>
      <c r="H72" s="391"/>
      <c r="I72" s="391"/>
      <c r="J72" s="391"/>
      <c r="K72" s="391" t="s">
        <v>746</v>
      </c>
      <c r="L72" s="391"/>
      <c r="M72" s="51" t="s">
        <v>617</v>
      </c>
      <c r="N72" s="402" t="s">
        <v>159</v>
      </c>
      <c r="O72" s="402"/>
      <c r="P72" s="403">
        <v>50</v>
      </c>
      <c r="Q72" s="403"/>
      <c r="R72" s="404"/>
      <c r="S72" s="404"/>
      <c r="T72" s="404"/>
      <c r="U72" s="404"/>
      <c r="V72" s="404"/>
      <c r="W72" s="404"/>
      <c r="X72" s="404"/>
      <c r="Y72" s="404"/>
      <c r="Z72" s="404"/>
      <c r="AA72" s="404"/>
      <c r="AB72" s="391"/>
      <c r="AC72" s="391"/>
      <c r="AD72" s="392"/>
      <c r="AF72" s="50"/>
    </row>
    <row r="73" spans="1:32" ht="25.5" customHeight="1">
      <c r="A73" s="399">
        <v>3</v>
      </c>
      <c r="B73" s="400"/>
      <c r="C73" s="98"/>
      <c r="D73" s="292"/>
      <c r="E73" s="289"/>
      <c r="F73" s="401"/>
      <c r="G73" s="391"/>
      <c r="H73" s="391"/>
      <c r="I73" s="391"/>
      <c r="J73" s="391"/>
      <c r="K73" s="391"/>
      <c r="L73" s="391"/>
      <c r="M73" s="51"/>
      <c r="N73" s="402"/>
      <c r="O73" s="402"/>
      <c r="P73" s="403"/>
      <c r="Q73" s="403"/>
      <c r="R73" s="404"/>
      <c r="S73" s="404"/>
      <c r="T73" s="404"/>
      <c r="U73" s="404"/>
      <c r="V73" s="404"/>
      <c r="W73" s="404"/>
      <c r="X73" s="404"/>
      <c r="Y73" s="404"/>
      <c r="Z73" s="404"/>
      <c r="AA73" s="404"/>
      <c r="AB73" s="391"/>
      <c r="AC73" s="391"/>
      <c r="AD73" s="392"/>
      <c r="AF73" s="50"/>
    </row>
    <row r="74" spans="1:32" ht="25.5" customHeight="1">
      <c r="A74" s="399">
        <v>4</v>
      </c>
      <c r="B74" s="400"/>
      <c r="C74" s="98"/>
      <c r="D74" s="292"/>
      <c r="E74" s="289"/>
      <c r="F74" s="405"/>
      <c r="G74" s="406"/>
      <c r="H74" s="406"/>
      <c r="I74" s="406"/>
      <c r="J74" s="407"/>
      <c r="K74" s="391"/>
      <c r="L74" s="391"/>
      <c r="M74" s="51"/>
      <c r="N74" s="402"/>
      <c r="O74" s="402"/>
      <c r="P74" s="403"/>
      <c r="Q74" s="403"/>
      <c r="R74" s="404"/>
      <c r="S74" s="404"/>
      <c r="T74" s="404"/>
      <c r="U74" s="404"/>
      <c r="V74" s="404"/>
      <c r="W74" s="404"/>
      <c r="X74" s="404"/>
      <c r="Y74" s="404"/>
      <c r="Z74" s="404"/>
      <c r="AA74" s="404"/>
      <c r="AB74" s="391"/>
      <c r="AC74" s="391"/>
      <c r="AD74" s="392"/>
      <c r="AF74" s="50"/>
    </row>
    <row r="75" spans="1:32" ht="25.5" customHeight="1">
      <c r="A75" s="399">
        <v>5</v>
      </c>
      <c r="B75" s="400"/>
      <c r="C75" s="98"/>
      <c r="D75" s="292"/>
      <c r="E75" s="289"/>
      <c r="F75" s="405"/>
      <c r="G75" s="406"/>
      <c r="H75" s="406"/>
      <c r="I75" s="406"/>
      <c r="J75" s="407"/>
      <c r="K75" s="391"/>
      <c r="L75" s="391"/>
      <c r="M75" s="51"/>
      <c r="N75" s="402"/>
      <c r="O75" s="402"/>
      <c r="P75" s="403"/>
      <c r="Q75" s="403"/>
      <c r="R75" s="404"/>
      <c r="S75" s="404"/>
      <c r="T75" s="404"/>
      <c r="U75" s="404"/>
      <c r="V75" s="404"/>
      <c r="W75" s="404"/>
      <c r="X75" s="404"/>
      <c r="Y75" s="404"/>
      <c r="Z75" s="404"/>
      <c r="AA75" s="404"/>
      <c r="AB75" s="391"/>
      <c r="AC75" s="391"/>
      <c r="AD75" s="392"/>
      <c r="AF75" s="50"/>
    </row>
    <row r="76" spans="1:32" ht="25.5" customHeight="1">
      <c r="A76" s="399">
        <v>6</v>
      </c>
      <c r="B76" s="400"/>
      <c r="C76" s="98"/>
      <c r="D76" s="292"/>
      <c r="E76" s="289"/>
      <c r="F76" s="405"/>
      <c r="G76" s="406"/>
      <c r="H76" s="406"/>
      <c r="I76" s="406"/>
      <c r="J76" s="407"/>
      <c r="K76" s="391"/>
      <c r="L76" s="391"/>
      <c r="M76" s="51"/>
      <c r="N76" s="402"/>
      <c r="O76" s="402"/>
      <c r="P76" s="403"/>
      <c r="Q76" s="403"/>
      <c r="R76" s="404"/>
      <c r="S76" s="404"/>
      <c r="T76" s="404"/>
      <c r="U76" s="404"/>
      <c r="V76" s="404"/>
      <c r="W76" s="404"/>
      <c r="X76" s="404"/>
      <c r="Y76" s="404"/>
      <c r="Z76" s="404"/>
      <c r="AA76" s="404"/>
      <c r="AB76" s="391"/>
      <c r="AC76" s="391"/>
      <c r="AD76" s="392"/>
      <c r="AF76" s="50"/>
    </row>
    <row r="77" spans="1:32" ht="25.5" customHeight="1">
      <c r="A77" s="399">
        <v>7</v>
      </c>
      <c r="B77" s="400"/>
      <c r="C77" s="98"/>
      <c r="D77" s="292"/>
      <c r="E77" s="289"/>
      <c r="F77" s="405"/>
      <c r="G77" s="406"/>
      <c r="H77" s="406"/>
      <c r="I77" s="406"/>
      <c r="J77" s="407"/>
      <c r="K77" s="391"/>
      <c r="L77" s="391"/>
      <c r="M77" s="51"/>
      <c r="N77" s="402"/>
      <c r="O77" s="402"/>
      <c r="P77" s="403"/>
      <c r="Q77" s="403"/>
      <c r="R77" s="404"/>
      <c r="S77" s="404"/>
      <c r="T77" s="404"/>
      <c r="U77" s="404"/>
      <c r="V77" s="404"/>
      <c r="W77" s="404"/>
      <c r="X77" s="404"/>
      <c r="Y77" s="404"/>
      <c r="Z77" s="404"/>
      <c r="AA77" s="404"/>
      <c r="AB77" s="391"/>
      <c r="AC77" s="391"/>
      <c r="AD77" s="392"/>
      <c r="AF77" s="50"/>
    </row>
    <row r="78" spans="1:32" ht="25.5" customHeight="1">
      <c r="A78" s="399">
        <v>8</v>
      </c>
      <c r="B78" s="400"/>
      <c r="C78" s="98"/>
      <c r="D78" s="292"/>
      <c r="E78" s="289"/>
      <c r="F78" s="401"/>
      <c r="G78" s="391"/>
      <c r="H78" s="391"/>
      <c r="I78" s="391"/>
      <c r="J78" s="391"/>
      <c r="K78" s="391"/>
      <c r="L78" s="391"/>
      <c r="M78" s="51"/>
      <c r="N78" s="402"/>
      <c r="O78" s="402"/>
      <c r="P78" s="403"/>
      <c r="Q78" s="403"/>
      <c r="R78" s="404"/>
      <c r="S78" s="404"/>
      <c r="T78" s="404"/>
      <c r="U78" s="404"/>
      <c r="V78" s="404"/>
      <c r="W78" s="404"/>
      <c r="X78" s="404"/>
      <c r="Y78" s="404"/>
      <c r="Z78" s="404"/>
      <c r="AA78" s="404"/>
      <c r="AB78" s="391"/>
      <c r="AC78" s="391"/>
      <c r="AD78" s="392"/>
      <c r="AF78" s="50"/>
    </row>
    <row r="79" spans="1:32" ht="25.5" customHeight="1">
      <c r="A79" s="399">
        <v>9</v>
      </c>
      <c r="B79" s="400"/>
      <c r="C79" s="98"/>
      <c r="D79" s="292"/>
      <c r="E79" s="289"/>
      <c r="F79" s="401"/>
      <c r="G79" s="391"/>
      <c r="H79" s="391"/>
      <c r="I79" s="391"/>
      <c r="J79" s="391"/>
      <c r="K79" s="391"/>
      <c r="L79" s="391"/>
      <c r="M79" s="51"/>
      <c r="N79" s="402"/>
      <c r="O79" s="402"/>
      <c r="P79" s="403"/>
      <c r="Q79" s="403"/>
      <c r="R79" s="404"/>
      <c r="S79" s="404"/>
      <c r="T79" s="404"/>
      <c r="U79" s="404"/>
      <c r="V79" s="404"/>
      <c r="W79" s="404"/>
      <c r="X79" s="404"/>
      <c r="Y79" s="404"/>
      <c r="Z79" s="404"/>
      <c r="AA79" s="404"/>
      <c r="AB79" s="391"/>
      <c r="AC79" s="391"/>
      <c r="AD79" s="392"/>
      <c r="AF79" s="50"/>
    </row>
    <row r="80" spans="1:32" ht="25.5" customHeight="1">
      <c r="A80" s="399">
        <v>10</v>
      </c>
      <c r="B80" s="400"/>
      <c r="C80" s="98"/>
      <c r="D80" s="292"/>
      <c r="E80" s="289"/>
      <c r="F80" s="401"/>
      <c r="G80" s="391"/>
      <c r="H80" s="391"/>
      <c r="I80" s="391"/>
      <c r="J80" s="391"/>
      <c r="K80" s="391"/>
      <c r="L80" s="391"/>
      <c r="M80" s="51"/>
      <c r="N80" s="402"/>
      <c r="O80" s="402"/>
      <c r="P80" s="403"/>
      <c r="Q80" s="403"/>
      <c r="R80" s="404"/>
      <c r="S80" s="404"/>
      <c r="T80" s="404"/>
      <c r="U80" s="404"/>
      <c r="V80" s="404"/>
      <c r="W80" s="404"/>
      <c r="X80" s="404"/>
      <c r="Y80" s="404"/>
      <c r="Z80" s="404"/>
      <c r="AA80" s="404"/>
      <c r="AB80" s="391"/>
      <c r="AC80" s="391"/>
      <c r="AD80" s="392"/>
      <c r="AF80" s="50"/>
    </row>
    <row r="81" spans="1:32" ht="26.25" customHeight="1" thickBot="1">
      <c r="A81" s="371" t="s">
        <v>747</v>
      </c>
      <c r="B81" s="371"/>
      <c r="C81" s="371"/>
      <c r="D81" s="371"/>
      <c r="E81" s="371"/>
      <c r="F81" s="37"/>
      <c r="G81" s="37"/>
      <c r="H81" s="38"/>
      <c r="I81" s="38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F81" s="50"/>
    </row>
    <row r="82" spans="1:32" ht="23.25" thickBot="1">
      <c r="A82" s="393" t="s">
        <v>111</v>
      </c>
      <c r="B82" s="394"/>
      <c r="C82" s="291" t="s">
        <v>2</v>
      </c>
      <c r="D82" s="291" t="s">
        <v>37</v>
      </c>
      <c r="E82" s="291" t="s">
        <v>120</v>
      </c>
      <c r="F82" s="373" t="s">
        <v>38</v>
      </c>
      <c r="G82" s="373"/>
      <c r="H82" s="373"/>
      <c r="I82" s="373"/>
      <c r="J82" s="373"/>
      <c r="K82" s="395" t="s">
        <v>58</v>
      </c>
      <c r="L82" s="396"/>
      <c r="M82" s="396"/>
      <c r="N82" s="396"/>
      <c r="O82" s="396"/>
      <c r="P82" s="396"/>
      <c r="Q82" s="396"/>
      <c r="R82" s="396"/>
      <c r="S82" s="397"/>
      <c r="T82" s="373" t="s">
        <v>49</v>
      </c>
      <c r="U82" s="373"/>
      <c r="V82" s="395" t="s">
        <v>50</v>
      </c>
      <c r="W82" s="397"/>
      <c r="X82" s="396" t="s">
        <v>51</v>
      </c>
      <c r="Y82" s="396"/>
      <c r="Z82" s="396"/>
      <c r="AA82" s="396"/>
      <c r="AB82" s="396"/>
      <c r="AC82" s="396"/>
      <c r="AD82" s="398"/>
      <c r="AF82" s="50"/>
    </row>
    <row r="83" spans="1:32" ht="33.75" customHeight="1">
      <c r="A83" s="365">
        <v>1</v>
      </c>
      <c r="B83" s="366"/>
      <c r="C83" s="293"/>
      <c r="D83" s="293"/>
      <c r="E83" s="65"/>
      <c r="F83" s="380"/>
      <c r="G83" s="381"/>
      <c r="H83" s="381"/>
      <c r="I83" s="381"/>
      <c r="J83" s="382"/>
      <c r="K83" s="383"/>
      <c r="L83" s="384"/>
      <c r="M83" s="384"/>
      <c r="N83" s="384"/>
      <c r="O83" s="384"/>
      <c r="P83" s="384"/>
      <c r="Q83" s="384"/>
      <c r="R83" s="384"/>
      <c r="S83" s="385"/>
      <c r="T83" s="386"/>
      <c r="U83" s="387"/>
      <c r="V83" s="388"/>
      <c r="W83" s="388"/>
      <c r="X83" s="389"/>
      <c r="Y83" s="389"/>
      <c r="Z83" s="389"/>
      <c r="AA83" s="389"/>
      <c r="AB83" s="389"/>
      <c r="AC83" s="389"/>
      <c r="AD83" s="390"/>
      <c r="AF83" s="50"/>
    </row>
    <row r="84" spans="1:32" ht="30" customHeight="1">
      <c r="A84" s="358">
        <f>A83+1</f>
        <v>2</v>
      </c>
      <c r="B84" s="359"/>
      <c r="C84" s="292"/>
      <c r="D84" s="292"/>
      <c r="E84" s="32"/>
      <c r="F84" s="359"/>
      <c r="G84" s="359"/>
      <c r="H84" s="359"/>
      <c r="I84" s="359"/>
      <c r="J84" s="359"/>
      <c r="K84" s="374"/>
      <c r="L84" s="375"/>
      <c r="M84" s="375"/>
      <c r="N84" s="375"/>
      <c r="O84" s="375"/>
      <c r="P84" s="375"/>
      <c r="Q84" s="375"/>
      <c r="R84" s="375"/>
      <c r="S84" s="376"/>
      <c r="T84" s="377"/>
      <c r="U84" s="377"/>
      <c r="V84" s="377"/>
      <c r="W84" s="377"/>
      <c r="X84" s="378"/>
      <c r="Y84" s="378"/>
      <c r="Z84" s="378"/>
      <c r="AA84" s="378"/>
      <c r="AB84" s="378"/>
      <c r="AC84" s="378"/>
      <c r="AD84" s="379"/>
      <c r="AF84" s="50"/>
    </row>
    <row r="85" spans="1:32" ht="30" customHeight="1">
      <c r="A85" s="358">
        <f t="shared" ref="A85:A89" si="20">A84+1</f>
        <v>3</v>
      </c>
      <c r="B85" s="359"/>
      <c r="C85" s="292"/>
      <c r="D85" s="292"/>
      <c r="E85" s="32"/>
      <c r="F85" s="359"/>
      <c r="G85" s="359"/>
      <c r="H85" s="359"/>
      <c r="I85" s="359"/>
      <c r="J85" s="359"/>
      <c r="K85" s="374"/>
      <c r="L85" s="375"/>
      <c r="M85" s="375"/>
      <c r="N85" s="375"/>
      <c r="O85" s="375"/>
      <c r="P85" s="375"/>
      <c r="Q85" s="375"/>
      <c r="R85" s="375"/>
      <c r="S85" s="376"/>
      <c r="T85" s="377"/>
      <c r="U85" s="377"/>
      <c r="V85" s="377"/>
      <c r="W85" s="377"/>
      <c r="X85" s="378"/>
      <c r="Y85" s="378"/>
      <c r="Z85" s="378"/>
      <c r="AA85" s="378"/>
      <c r="AB85" s="378"/>
      <c r="AC85" s="378"/>
      <c r="AD85" s="379"/>
      <c r="AF85" s="50"/>
    </row>
    <row r="86" spans="1:32" ht="30" customHeight="1">
      <c r="A86" s="358">
        <f t="shared" si="20"/>
        <v>4</v>
      </c>
      <c r="B86" s="359"/>
      <c r="C86" s="292"/>
      <c r="D86" s="292"/>
      <c r="E86" s="32"/>
      <c r="F86" s="359"/>
      <c r="G86" s="359"/>
      <c r="H86" s="359"/>
      <c r="I86" s="359"/>
      <c r="J86" s="359"/>
      <c r="K86" s="374"/>
      <c r="L86" s="375"/>
      <c r="M86" s="375"/>
      <c r="N86" s="375"/>
      <c r="O86" s="375"/>
      <c r="P86" s="375"/>
      <c r="Q86" s="375"/>
      <c r="R86" s="375"/>
      <c r="S86" s="376"/>
      <c r="T86" s="377"/>
      <c r="U86" s="377"/>
      <c r="V86" s="377"/>
      <c r="W86" s="377"/>
      <c r="X86" s="378"/>
      <c r="Y86" s="378"/>
      <c r="Z86" s="378"/>
      <c r="AA86" s="378"/>
      <c r="AB86" s="378"/>
      <c r="AC86" s="378"/>
      <c r="AD86" s="379"/>
      <c r="AF86" s="50"/>
    </row>
    <row r="87" spans="1:32" ht="30" customHeight="1">
      <c r="A87" s="358">
        <f t="shared" si="20"/>
        <v>5</v>
      </c>
      <c r="B87" s="359"/>
      <c r="C87" s="292"/>
      <c r="D87" s="292"/>
      <c r="E87" s="32"/>
      <c r="F87" s="359"/>
      <c r="G87" s="359"/>
      <c r="H87" s="359"/>
      <c r="I87" s="359"/>
      <c r="J87" s="359"/>
      <c r="K87" s="374"/>
      <c r="L87" s="375"/>
      <c r="M87" s="375"/>
      <c r="N87" s="375"/>
      <c r="O87" s="375"/>
      <c r="P87" s="375"/>
      <c r="Q87" s="375"/>
      <c r="R87" s="375"/>
      <c r="S87" s="376"/>
      <c r="T87" s="377"/>
      <c r="U87" s="377"/>
      <c r="V87" s="377"/>
      <c r="W87" s="377"/>
      <c r="X87" s="378"/>
      <c r="Y87" s="378"/>
      <c r="Z87" s="378"/>
      <c r="AA87" s="378"/>
      <c r="AB87" s="378"/>
      <c r="AC87" s="378"/>
      <c r="AD87" s="379"/>
      <c r="AF87" s="50"/>
    </row>
    <row r="88" spans="1:32" ht="30" customHeight="1">
      <c r="A88" s="358">
        <f t="shared" si="20"/>
        <v>6</v>
      </c>
      <c r="B88" s="359"/>
      <c r="C88" s="292"/>
      <c r="D88" s="292"/>
      <c r="E88" s="32"/>
      <c r="F88" s="359"/>
      <c r="G88" s="359"/>
      <c r="H88" s="359"/>
      <c r="I88" s="359"/>
      <c r="J88" s="359"/>
      <c r="K88" s="374"/>
      <c r="L88" s="375"/>
      <c r="M88" s="375"/>
      <c r="N88" s="375"/>
      <c r="O88" s="375"/>
      <c r="P88" s="375"/>
      <c r="Q88" s="375"/>
      <c r="R88" s="375"/>
      <c r="S88" s="376"/>
      <c r="T88" s="377"/>
      <c r="U88" s="377"/>
      <c r="V88" s="377"/>
      <c r="W88" s="377"/>
      <c r="X88" s="378"/>
      <c r="Y88" s="378"/>
      <c r="Z88" s="378"/>
      <c r="AA88" s="378"/>
      <c r="AB88" s="378"/>
      <c r="AC88" s="378"/>
      <c r="AD88" s="379"/>
      <c r="AF88" s="50"/>
    </row>
    <row r="89" spans="1:32" ht="30" customHeight="1">
      <c r="A89" s="358">
        <f t="shared" si="20"/>
        <v>7</v>
      </c>
      <c r="B89" s="359"/>
      <c r="C89" s="292"/>
      <c r="D89" s="292"/>
      <c r="E89" s="32"/>
      <c r="F89" s="359"/>
      <c r="G89" s="359"/>
      <c r="H89" s="359"/>
      <c r="I89" s="359"/>
      <c r="J89" s="359"/>
      <c r="K89" s="374"/>
      <c r="L89" s="375"/>
      <c r="M89" s="375"/>
      <c r="N89" s="375"/>
      <c r="O89" s="375"/>
      <c r="P89" s="375"/>
      <c r="Q89" s="375"/>
      <c r="R89" s="375"/>
      <c r="S89" s="376"/>
      <c r="T89" s="377"/>
      <c r="U89" s="377"/>
      <c r="V89" s="377"/>
      <c r="W89" s="377"/>
      <c r="X89" s="378"/>
      <c r="Y89" s="378"/>
      <c r="Z89" s="378"/>
      <c r="AA89" s="378"/>
      <c r="AB89" s="378"/>
      <c r="AC89" s="378"/>
      <c r="AD89" s="379"/>
      <c r="AF89" s="50"/>
    </row>
    <row r="90" spans="1:32" ht="36" thickBot="1">
      <c r="A90" s="371" t="s">
        <v>748</v>
      </c>
      <c r="B90" s="371"/>
      <c r="C90" s="371"/>
      <c r="D90" s="371"/>
      <c r="E90" s="371"/>
      <c r="F90" s="37"/>
      <c r="G90" s="37"/>
      <c r="H90" s="38"/>
      <c r="I90" s="38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F90" s="50"/>
    </row>
    <row r="91" spans="1:32" ht="30.75" customHeight="1" thickBot="1">
      <c r="A91" s="372" t="s">
        <v>111</v>
      </c>
      <c r="B91" s="373"/>
      <c r="C91" s="363" t="s">
        <v>52</v>
      </c>
      <c r="D91" s="363"/>
      <c r="E91" s="363" t="s">
        <v>53</v>
      </c>
      <c r="F91" s="363"/>
      <c r="G91" s="363"/>
      <c r="H91" s="363"/>
      <c r="I91" s="363"/>
      <c r="J91" s="363"/>
      <c r="K91" s="363" t="s">
        <v>54</v>
      </c>
      <c r="L91" s="363"/>
      <c r="M91" s="363"/>
      <c r="N91" s="363"/>
      <c r="O91" s="363"/>
      <c r="P91" s="363"/>
      <c r="Q91" s="363"/>
      <c r="R91" s="363"/>
      <c r="S91" s="363"/>
      <c r="T91" s="363" t="s">
        <v>55</v>
      </c>
      <c r="U91" s="363"/>
      <c r="V91" s="363" t="s">
        <v>56</v>
      </c>
      <c r="W91" s="363"/>
      <c r="X91" s="363"/>
      <c r="Y91" s="363" t="s">
        <v>51</v>
      </c>
      <c r="Z91" s="363"/>
      <c r="AA91" s="363"/>
      <c r="AB91" s="363"/>
      <c r="AC91" s="363"/>
      <c r="AD91" s="364"/>
      <c r="AF91" s="50"/>
    </row>
    <row r="92" spans="1:32" ht="30.75" customHeight="1">
      <c r="A92" s="365">
        <v>1</v>
      </c>
      <c r="B92" s="366"/>
      <c r="C92" s="367"/>
      <c r="D92" s="367"/>
      <c r="E92" s="367"/>
      <c r="F92" s="367"/>
      <c r="G92" s="367"/>
      <c r="H92" s="367"/>
      <c r="I92" s="367"/>
      <c r="J92" s="367"/>
      <c r="K92" s="367"/>
      <c r="L92" s="367"/>
      <c r="M92" s="367"/>
      <c r="N92" s="367"/>
      <c r="O92" s="367"/>
      <c r="P92" s="367"/>
      <c r="Q92" s="367"/>
      <c r="R92" s="367"/>
      <c r="S92" s="367"/>
      <c r="T92" s="367"/>
      <c r="U92" s="367"/>
      <c r="V92" s="368"/>
      <c r="W92" s="368"/>
      <c r="X92" s="368"/>
      <c r="Y92" s="369"/>
      <c r="Z92" s="369"/>
      <c r="AA92" s="369"/>
      <c r="AB92" s="369"/>
      <c r="AC92" s="369"/>
      <c r="AD92" s="370"/>
      <c r="AF92" s="50"/>
    </row>
    <row r="93" spans="1:32" ht="30.75" customHeight="1">
      <c r="A93" s="358">
        <v>2</v>
      </c>
      <c r="B93" s="359"/>
      <c r="C93" s="360"/>
      <c r="D93" s="360"/>
      <c r="E93" s="360"/>
      <c r="F93" s="360"/>
      <c r="G93" s="360"/>
      <c r="H93" s="360"/>
      <c r="I93" s="360"/>
      <c r="J93" s="360"/>
      <c r="K93" s="360"/>
      <c r="L93" s="360"/>
      <c r="M93" s="360"/>
      <c r="N93" s="360"/>
      <c r="O93" s="360"/>
      <c r="P93" s="360"/>
      <c r="Q93" s="360"/>
      <c r="R93" s="360"/>
      <c r="S93" s="360"/>
      <c r="T93" s="361"/>
      <c r="U93" s="361"/>
      <c r="V93" s="362"/>
      <c r="W93" s="362"/>
      <c r="X93" s="362"/>
      <c r="Y93" s="350"/>
      <c r="Z93" s="350"/>
      <c r="AA93" s="350"/>
      <c r="AB93" s="350"/>
      <c r="AC93" s="350"/>
      <c r="AD93" s="351"/>
      <c r="AF93" s="50"/>
    </row>
    <row r="94" spans="1:32" ht="30.75" customHeight="1" thickBot="1">
      <c r="A94" s="352">
        <v>3</v>
      </c>
      <c r="B94" s="353"/>
      <c r="C94" s="354"/>
      <c r="D94" s="354"/>
      <c r="E94" s="354"/>
      <c r="F94" s="354"/>
      <c r="G94" s="354"/>
      <c r="H94" s="354"/>
      <c r="I94" s="354"/>
      <c r="J94" s="354"/>
      <c r="K94" s="354"/>
      <c r="L94" s="354"/>
      <c r="M94" s="354"/>
      <c r="N94" s="354"/>
      <c r="O94" s="354"/>
      <c r="P94" s="354"/>
      <c r="Q94" s="354"/>
      <c r="R94" s="354"/>
      <c r="S94" s="354"/>
      <c r="T94" s="354"/>
      <c r="U94" s="354"/>
      <c r="V94" s="355"/>
      <c r="W94" s="355"/>
      <c r="X94" s="355"/>
      <c r="Y94" s="356"/>
      <c r="Z94" s="356"/>
      <c r="AA94" s="356"/>
      <c r="AB94" s="356"/>
      <c r="AC94" s="356"/>
      <c r="AD94" s="357"/>
      <c r="AF94" s="50"/>
    </row>
  </sheetData>
  <mergeCells count="232">
    <mergeCell ref="Y93:AD93"/>
    <mergeCell ref="A94:B94"/>
    <mergeCell ref="C94:D94"/>
    <mergeCell ref="E94:J94"/>
    <mergeCell ref="K94:S94"/>
    <mergeCell ref="T94:U94"/>
    <mergeCell ref="V94:X94"/>
    <mergeCell ref="Y94:AD94"/>
    <mergeCell ref="A93:B93"/>
    <mergeCell ref="C93:D93"/>
    <mergeCell ref="E93:J93"/>
    <mergeCell ref="K93:S93"/>
    <mergeCell ref="T93:U93"/>
    <mergeCell ref="V93:X93"/>
    <mergeCell ref="V91:X91"/>
    <mergeCell ref="Y91:AD91"/>
    <mergeCell ref="A92:B92"/>
    <mergeCell ref="C92:D92"/>
    <mergeCell ref="E92:J92"/>
    <mergeCell ref="K92:S92"/>
    <mergeCell ref="T92:U92"/>
    <mergeCell ref="V92:X92"/>
    <mergeCell ref="Y92:AD92"/>
    <mergeCell ref="A90:E90"/>
    <mergeCell ref="A91:B91"/>
    <mergeCell ref="C91:D91"/>
    <mergeCell ref="E91:J91"/>
    <mergeCell ref="K91:S91"/>
    <mergeCell ref="T91:U91"/>
    <mergeCell ref="A89:B89"/>
    <mergeCell ref="F89:J89"/>
    <mergeCell ref="K89:S89"/>
    <mergeCell ref="T89:U89"/>
    <mergeCell ref="V89:W89"/>
    <mergeCell ref="X89:AD89"/>
    <mergeCell ref="A88:B88"/>
    <mergeCell ref="F88:J88"/>
    <mergeCell ref="K88:S88"/>
    <mergeCell ref="T88:U88"/>
    <mergeCell ref="V88:W88"/>
    <mergeCell ref="X88:AD88"/>
    <mergeCell ref="A87:B87"/>
    <mergeCell ref="F87:J87"/>
    <mergeCell ref="K87:S87"/>
    <mergeCell ref="T87:U87"/>
    <mergeCell ref="V87:W87"/>
    <mergeCell ref="X87:AD87"/>
    <mergeCell ref="A86:B86"/>
    <mergeCell ref="F86:J86"/>
    <mergeCell ref="K86:S86"/>
    <mergeCell ref="T86:U86"/>
    <mergeCell ref="V86:W86"/>
    <mergeCell ref="X86:AD86"/>
    <mergeCell ref="A85:B85"/>
    <mergeCell ref="F85:J85"/>
    <mergeCell ref="K85:S85"/>
    <mergeCell ref="T85:U85"/>
    <mergeCell ref="V85:W85"/>
    <mergeCell ref="X85:AD85"/>
    <mergeCell ref="A84:B84"/>
    <mergeCell ref="F84:J84"/>
    <mergeCell ref="K84:S84"/>
    <mergeCell ref="T84:U84"/>
    <mergeCell ref="V84:W84"/>
    <mergeCell ref="X84:AD84"/>
    <mergeCell ref="A83:B83"/>
    <mergeCell ref="F83:J83"/>
    <mergeCell ref="K83:S83"/>
    <mergeCell ref="T83:U83"/>
    <mergeCell ref="V83:W83"/>
    <mergeCell ref="X83:AD83"/>
    <mergeCell ref="AB80:AD80"/>
    <mergeCell ref="A81:E81"/>
    <mergeCell ref="A82:B82"/>
    <mergeCell ref="F82:J82"/>
    <mergeCell ref="K82:S82"/>
    <mergeCell ref="T82:U82"/>
    <mergeCell ref="V82:W82"/>
    <mergeCell ref="X82:AD82"/>
    <mergeCell ref="A80:B80"/>
    <mergeCell ref="F80:J80"/>
    <mergeCell ref="K80:L80"/>
    <mergeCell ref="N80:O80"/>
    <mergeCell ref="P80:Q80"/>
    <mergeCell ref="R80:AA80"/>
    <mergeCell ref="AB78:AD78"/>
    <mergeCell ref="A79:B79"/>
    <mergeCell ref="F79:J79"/>
    <mergeCell ref="K79:L79"/>
    <mergeCell ref="N79:O79"/>
    <mergeCell ref="P79:Q79"/>
    <mergeCell ref="R79:AA79"/>
    <mergeCell ref="AB79:AD79"/>
    <mergeCell ref="A78:B78"/>
    <mergeCell ref="F78:J78"/>
    <mergeCell ref="K78:L78"/>
    <mergeCell ref="N78:O78"/>
    <mergeCell ref="P78:Q78"/>
    <mergeCell ref="R78:AA78"/>
    <mergeCell ref="AB76:AD76"/>
    <mergeCell ref="A77:B77"/>
    <mergeCell ref="F77:J77"/>
    <mergeCell ref="K77:L77"/>
    <mergeCell ref="N77:O77"/>
    <mergeCell ref="P77:Q77"/>
    <mergeCell ref="R77:AA77"/>
    <mergeCell ref="AB77:AD77"/>
    <mergeCell ref="A76:B76"/>
    <mergeCell ref="F76:J76"/>
    <mergeCell ref="K76:L76"/>
    <mergeCell ref="N76:O76"/>
    <mergeCell ref="P76:Q76"/>
    <mergeCell ref="R76:AA76"/>
    <mergeCell ref="AB74:AD74"/>
    <mergeCell ref="A75:B75"/>
    <mergeCell ref="F75:J75"/>
    <mergeCell ref="K75:L75"/>
    <mergeCell ref="N75:O75"/>
    <mergeCell ref="P75:Q75"/>
    <mergeCell ref="R75:AA75"/>
    <mergeCell ref="AB75:AD75"/>
    <mergeCell ref="A74:B74"/>
    <mergeCell ref="F74:J74"/>
    <mergeCell ref="K74:L74"/>
    <mergeCell ref="N74:O74"/>
    <mergeCell ref="P74:Q74"/>
    <mergeCell ref="R74:AA74"/>
    <mergeCell ref="AB72:AD72"/>
    <mergeCell ref="A73:B73"/>
    <mergeCell ref="F73:J73"/>
    <mergeCell ref="K73:L73"/>
    <mergeCell ref="N73:O73"/>
    <mergeCell ref="P73:Q73"/>
    <mergeCell ref="R73:AA73"/>
    <mergeCell ref="AB73:AD73"/>
    <mergeCell ref="A72:B72"/>
    <mergeCell ref="F72:J72"/>
    <mergeCell ref="K72:L72"/>
    <mergeCell ref="N72:O72"/>
    <mergeCell ref="P72:Q72"/>
    <mergeCell ref="R72:AA72"/>
    <mergeCell ref="R70:AA70"/>
    <mergeCell ref="AB70:AD70"/>
    <mergeCell ref="A71:B71"/>
    <mergeCell ref="F71:J71"/>
    <mergeCell ref="K71:L71"/>
    <mergeCell ref="N71:O71"/>
    <mergeCell ref="P71:Q71"/>
    <mergeCell ref="R71:AA71"/>
    <mergeCell ref="AB71:AD71"/>
    <mergeCell ref="A69:E69"/>
    <mergeCell ref="A70:B70"/>
    <mergeCell ref="F70:J70"/>
    <mergeCell ref="K70:L70"/>
    <mergeCell ref="N70:O70"/>
    <mergeCell ref="P70:Q70"/>
    <mergeCell ref="A67:B67"/>
    <mergeCell ref="F67:M67"/>
    <mergeCell ref="P67:Q67"/>
    <mergeCell ref="R67:U67"/>
    <mergeCell ref="V67:AD67"/>
    <mergeCell ref="A68:B68"/>
    <mergeCell ref="F68:M68"/>
    <mergeCell ref="P68:Q68"/>
    <mergeCell ref="R68:U68"/>
    <mergeCell ref="V68:AD68"/>
    <mergeCell ref="A65:B65"/>
    <mergeCell ref="F65:M65"/>
    <mergeCell ref="P65:Q65"/>
    <mergeCell ref="R65:U65"/>
    <mergeCell ref="V65:AD65"/>
    <mergeCell ref="A66:B66"/>
    <mergeCell ref="F66:M66"/>
    <mergeCell ref="P66:Q66"/>
    <mergeCell ref="R66:U66"/>
    <mergeCell ref="V66:AD66"/>
    <mergeCell ref="A63:B63"/>
    <mergeCell ref="F63:M63"/>
    <mergeCell ref="P63:Q63"/>
    <mergeCell ref="R63:U63"/>
    <mergeCell ref="V63:AD63"/>
    <mergeCell ref="A64:B64"/>
    <mergeCell ref="F64:M64"/>
    <mergeCell ref="P64:Q64"/>
    <mergeCell ref="R64:U64"/>
    <mergeCell ref="V64:AD64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D4:AD5"/>
    <mergeCell ref="A29:H29"/>
    <mergeCell ref="A56:E56"/>
    <mergeCell ref="A57:M57"/>
    <mergeCell ref="N57:AD57"/>
    <mergeCell ref="A58:B58"/>
    <mergeCell ref="F58:M58"/>
    <mergeCell ref="P58:Q58"/>
    <mergeCell ref="R58:U58"/>
    <mergeCell ref="V58:AD58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54" max="29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276D9-044F-43F4-9463-E9A41D29EE72}">
  <sheetPr codeName="Sheet17">
    <pageSetUpPr fitToPage="1"/>
  </sheetPr>
  <dimension ref="A1:AF93"/>
  <sheetViews>
    <sheetView view="pageBreakPreview" topLeftCell="A7" zoomScale="70" zoomScaleNormal="72" zoomScaleSheetLayoutView="70" workbookViewId="0">
      <selection activeCell="A90" sqref="A90:B90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1" bestFit="1" customWidth="1"/>
    <col min="33" max="33" width="17.625" style="50" customWidth="1"/>
    <col min="34" max="16384" width="9" style="50"/>
  </cols>
  <sheetData>
    <row r="1" spans="1:32" ht="44.25" customHeight="1">
      <c r="A1" s="461" t="s">
        <v>749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61"/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62"/>
      <c r="B3" s="462"/>
      <c r="C3" s="462"/>
      <c r="D3" s="462"/>
      <c r="E3" s="462"/>
      <c r="F3" s="462"/>
      <c r="G3" s="462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63" t="s">
        <v>0</v>
      </c>
      <c r="B4" s="465" t="s">
        <v>1</v>
      </c>
      <c r="C4" s="465" t="s">
        <v>2</v>
      </c>
      <c r="D4" s="468" t="s">
        <v>3</v>
      </c>
      <c r="E4" s="470" t="s">
        <v>4</v>
      </c>
      <c r="F4" s="468" t="s">
        <v>5</v>
      </c>
      <c r="G4" s="465" t="s">
        <v>6</v>
      </c>
      <c r="H4" s="471" t="s">
        <v>7</v>
      </c>
      <c r="I4" s="451" t="s">
        <v>8</v>
      </c>
      <c r="J4" s="452"/>
      <c r="K4" s="452"/>
      <c r="L4" s="452"/>
      <c r="M4" s="452"/>
      <c r="N4" s="452"/>
      <c r="O4" s="453"/>
      <c r="P4" s="454" t="s">
        <v>9</v>
      </c>
      <c r="Q4" s="455"/>
      <c r="R4" s="456" t="s">
        <v>10</v>
      </c>
      <c r="S4" s="457"/>
      <c r="T4" s="457"/>
      <c r="U4" s="457"/>
      <c r="V4" s="458"/>
      <c r="W4" s="457" t="s">
        <v>11</v>
      </c>
      <c r="X4" s="457"/>
      <c r="Y4" s="457"/>
      <c r="Z4" s="457"/>
      <c r="AA4" s="458"/>
      <c r="AB4" s="459" t="s">
        <v>12</v>
      </c>
      <c r="AC4" s="433" t="s">
        <v>13</v>
      </c>
      <c r="AD4" s="433" t="s">
        <v>14</v>
      </c>
      <c r="AE4" s="54"/>
    </row>
    <row r="5" spans="1:32" ht="51" customHeight="1" thickBot="1">
      <c r="A5" s="464"/>
      <c r="B5" s="466"/>
      <c r="C5" s="467"/>
      <c r="D5" s="469"/>
      <c r="E5" s="469"/>
      <c r="F5" s="469"/>
      <c r="G5" s="466"/>
      <c r="H5" s="472"/>
      <c r="I5" s="55" t="s">
        <v>15</v>
      </c>
      <c r="J5" s="56" t="s">
        <v>16</v>
      </c>
      <c r="K5" s="306" t="s">
        <v>17</v>
      </c>
      <c r="L5" s="306" t="s">
        <v>18</v>
      </c>
      <c r="M5" s="306" t="s">
        <v>19</v>
      </c>
      <c r="N5" s="306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60"/>
      <c r="AC5" s="434"/>
      <c r="AD5" s="434"/>
      <c r="AE5" s="54"/>
    </row>
    <row r="6" spans="1:32" ht="27" customHeight="1">
      <c r="A6" s="106">
        <v>1</v>
      </c>
      <c r="B6" s="11" t="s">
        <v>57</v>
      </c>
      <c r="C6" s="34" t="s">
        <v>116</v>
      </c>
      <c r="D6" s="52" t="s">
        <v>140</v>
      </c>
      <c r="E6" s="53" t="s">
        <v>604</v>
      </c>
      <c r="F6" s="30" t="s">
        <v>162</v>
      </c>
      <c r="G6" s="12">
        <v>1</v>
      </c>
      <c r="H6" s="13">
        <v>24</v>
      </c>
      <c r="I6" s="31">
        <v>800</v>
      </c>
      <c r="J6" s="14">
        <v>844</v>
      </c>
      <c r="K6" s="15">
        <f>L6+844</f>
        <v>844</v>
      </c>
      <c r="L6" s="15"/>
      <c r="M6" s="15">
        <f t="shared" ref="M6:M27" si="0">L6-N6</f>
        <v>0</v>
      </c>
      <c r="N6" s="15">
        <v>0</v>
      </c>
      <c r="O6" s="58" t="str">
        <f t="shared" ref="O6:O28" si="1">IF(L6=0,"0",N6/L6)</f>
        <v>0</v>
      </c>
      <c r="P6" s="39" t="str">
        <f t="shared" ref="P6:P27" si="2">IF(L6=0,"0",(24-Q6))</f>
        <v>0</v>
      </c>
      <c r="Q6" s="40">
        <f t="shared" ref="Q6:Q27" si="3">SUM(R6:AA6)</f>
        <v>24</v>
      </c>
      <c r="R6" s="7"/>
      <c r="S6" s="6"/>
      <c r="T6" s="16"/>
      <c r="U6" s="16"/>
      <c r="V6" s="17"/>
      <c r="W6" s="5"/>
      <c r="X6" s="16"/>
      <c r="Y6" s="16"/>
      <c r="Z6" s="16"/>
      <c r="AA6" s="18">
        <v>24</v>
      </c>
      <c r="AB6" s="8">
        <f t="shared" ref="AB6:AB27" si="4">IF(J6=0,"0",(L6/J6))</f>
        <v>0</v>
      </c>
      <c r="AC6" s="9">
        <f t="shared" ref="AC6:AC27" si="5">IF(P6=0,"0",(P6/24))</f>
        <v>0</v>
      </c>
      <c r="AD6" s="10">
        <f>AC6*AB6*(1-O6)</f>
        <v>0</v>
      </c>
      <c r="AE6" s="36">
        <f t="shared" ref="AE6:AE27" si="6">$AD$28</f>
        <v>0.67424242424242431</v>
      </c>
      <c r="AF6" s="81">
        <f t="shared" ref="AF6:AF27" si="7">A6</f>
        <v>1</v>
      </c>
    </row>
    <row r="7" spans="1:32" ht="27" customHeight="1">
      <c r="A7" s="106">
        <v>2</v>
      </c>
      <c r="B7" s="11" t="s">
        <v>57</v>
      </c>
      <c r="C7" s="34" t="s">
        <v>112</v>
      </c>
      <c r="D7" s="52" t="s">
        <v>140</v>
      </c>
      <c r="E7" s="53" t="s">
        <v>315</v>
      </c>
      <c r="F7" s="30" t="s">
        <v>139</v>
      </c>
      <c r="G7" s="12">
        <v>1</v>
      </c>
      <c r="H7" s="13">
        <v>24</v>
      </c>
      <c r="I7" s="31">
        <v>55000</v>
      </c>
      <c r="J7" s="14">
        <v>5974</v>
      </c>
      <c r="K7" s="15">
        <f>L7+4962+5479</f>
        <v>16415</v>
      </c>
      <c r="L7" s="15">
        <f>2827+3147</f>
        <v>5974</v>
      </c>
      <c r="M7" s="15">
        <f t="shared" si="0"/>
        <v>5974</v>
      </c>
      <c r="N7" s="15">
        <v>0</v>
      </c>
      <c r="O7" s="58">
        <f t="shared" si="1"/>
        <v>0</v>
      </c>
      <c r="P7" s="39">
        <f t="shared" si="2"/>
        <v>24</v>
      </c>
      <c r="Q7" s="40">
        <f t="shared" si="3"/>
        <v>0</v>
      </c>
      <c r="R7" s="7"/>
      <c r="S7" s="6"/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1</v>
      </c>
      <c r="AD7" s="10">
        <f t="shared" ref="AD7:AD27" si="8">AC7*AB7*(1-O7)</f>
        <v>1</v>
      </c>
      <c r="AE7" s="36">
        <f t="shared" si="6"/>
        <v>0.67424242424242431</v>
      </c>
      <c r="AF7" s="81">
        <f t="shared" si="7"/>
        <v>2</v>
      </c>
    </row>
    <row r="8" spans="1:32" ht="27" customHeight="1">
      <c r="A8" s="92">
        <v>3</v>
      </c>
      <c r="B8" s="11" t="s">
        <v>57</v>
      </c>
      <c r="C8" s="34" t="s">
        <v>116</v>
      </c>
      <c r="D8" s="52" t="s">
        <v>284</v>
      </c>
      <c r="E8" s="53" t="s">
        <v>737</v>
      </c>
      <c r="F8" s="30" t="s">
        <v>286</v>
      </c>
      <c r="G8" s="12">
        <v>2</v>
      </c>
      <c r="H8" s="13">
        <v>22</v>
      </c>
      <c r="I8" s="31">
        <v>5000</v>
      </c>
      <c r="J8" s="5">
        <v>7812</v>
      </c>
      <c r="K8" s="15">
        <f>L8</f>
        <v>7812</v>
      </c>
      <c r="L8" s="15">
        <f>3257*2+1298</f>
        <v>7812</v>
      </c>
      <c r="M8" s="15">
        <f t="shared" si="0"/>
        <v>7812</v>
      </c>
      <c r="N8" s="15">
        <v>0</v>
      </c>
      <c r="O8" s="58">
        <f t="shared" si="1"/>
        <v>0</v>
      </c>
      <c r="P8" s="39">
        <f t="shared" si="2"/>
        <v>20</v>
      </c>
      <c r="Q8" s="40">
        <f t="shared" si="3"/>
        <v>4</v>
      </c>
      <c r="R8" s="7"/>
      <c r="S8" s="6">
        <v>4</v>
      </c>
      <c r="T8" s="16"/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0.83333333333333337</v>
      </c>
      <c r="AD8" s="10">
        <f t="shared" si="8"/>
        <v>0.83333333333333337</v>
      </c>
      <c r="AE8" s="36">
        <f t="shared" si="6"/>
        <v>0.67424242424242431</v>
      </c>
      <c r="AF8" s="81">
        <f t="shared" si="7"/>
        <v>3</v>
      </c>
    </row>
    <row r="9" spans="1:32" ht="27" customHeight="1">
      <c r="A9" s="92">
        <v>4</v>
      </c>
      <c r="B9" s="11" t="s">
        <v>57</v>
      </c>
      <c r="C9" s="34" t="s">
        <v>116</v>
      </c>
      <c r="D9" s="52" t="s">
        <v>284</v>
      </c>
      <c r="E9" s="53" t="s">
        <v>312</v>
      </c>
      <c r="F9" s="30" t="s">
        <v>323</v>
      </c>
      <c r="G9" s="12">
        <v>1</v>
      </c>
      <c r="H9" s="13">
        <v>24</v>
      </c>
      <c r="I9" s="7">
        <v>60000</v>
      </c>
      <c r="J9" s="14">
        <v>6344</v>
      </c>
      <c r="K9" s="15">
        <f>L9+3954+360+4890+6432+4873+5904+4751+4306+5070+5164+5544</f>
        <v>57592</v>
      </c>
      <c r="L9" s="15">
        <f>3017+3327</f>
        <v>6344</v>
      </c>
      <c r="M9" s="15">
        <f t="shared" si="0"/>
        <v>6344</v>
      </c>
      <c r="N9" s="15">
        <v>0</v>
      </c>
      <c r="O9" s="58">
        <f t="shared" si="1"/>
        <v>0</v>
      </c>
      <c r="P9" s="39">
        <f t="shared" si="2"/>
        <v>24</v>
      </c>
      <c r="Q9" s="40">
        <f t="shared" si="3"/>
        <v>0</v>
      </c>
      <c r="R9" s="7"/>
      <c r="S9" s="6"/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1</v>
      </c>
      <c r="AD9" s="10">
        <f t="shared" si="8"/>
        <v>1</v>
      </c>
      <c r="AE9" s="36">
        <f t="shared" si="6"/>
        <v>0.67424242424242431</v>
      </c>
      <c r="AF9" s="81">
        <f t="shared" si="7"/>
        <v>4</v>
      </c>
    </row>
    <row r="10" spans="1:32" ht="27" customHeight="1">
      <c r="A10" s="92">
        <v>5</v>
      </c>
      <c r="B10" s="11" t="s">
        <v>57</v>
      </c>
      <c r="C10" s="11" t="s">
        <v>112</v>
      </c>
      <c r="D10" s="52" t="s">
        <v>121</v>
      </c>
      <c r="E10" s="53" t="s">
        <v>188</v>
      </c>
      <c r="F10" s="30" t="s">
        <v>124</v>
      </c>
      <c r="G10" s="33">
        <v>1</v>
      </c>
      <c r="H10" s="35">
        <v>24</v>
      </c>
      <c r="I10" s="7">
        <v>115000</v>
      </c>
      <c r="J10" s="14">
        <v>5884</v>
      </c>
      <c r="K10" s="15">
        <f>L10+5338+5669+5744+4980+3619+1932+309+2790+5660+4715+1739+3127</f>
        <v>51506</v>
      </c>
      <c r="L10" s="15">
        <f>2796+3088</f>
        <v>5884</v>
      </c>
      <c r="M10" s="15">
        <f t="shared" si="0"/>
        <v>5884</v>
      </c>
      <c r="N10" s="15">
        <v>0</v>
      </c>
      <c r="O10" s="58">
        <f t="shared" si="1"/>
        <v>0</v>
      </c>
      <c r="P10" s="39">
        <f t="shared" si="2"/>
        <v>24</v>
      </c>
      <c r="Q10" s="40">
        <f t="shared" si="3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1</v>
      </c>
      <c r="AD10" s="10">
        <f t="shared" si="8"/>
        <v>1</v>
      </c>
      <c r="AE10" s="36">
        <f t="shared" si="6"/>
        <v>0.67424242424242431</v>
      </c>
      <c r="AF10" s="81">
        <f t="shared" si="7"/>
        <v>5</v>
      </c>
    </row>
    <row r="11" spans="1:32" ht="27" customHeight="1">
      <c r="A11" s="92">
        <v>6</v>
      </c>
      <c r="B11" s="11" t="s">
        <v>57</v>
      </c>
      <c r="C11" s="11" t="s">
        <v>127</v>
      </c>
      <c r="D11" s="52" t="s">
        <v>572</v>
      </c>
      <c r="E11" s="53" t="s">
        <v>544</v>
      </c>
      <c r="F11" s="30" t="s">
        <v>124</v>
      </c>
      <c r="G11" s="33">
        <v>4</v>
      </c>
      <c r="H11" s="35">
        <v>24</v>
      </c>
      <c r="I11" s="7">
        <v>100000</v>
      </c>
      <c r="J11" s="14">
        <v>4968</v>
      </c>
      <c r="K11" s="15">
        <f>L11+117404+13952+4968</f>
        <v>136324</v>
      </c>
      <c r="L11" s="15"/>
      <c r="M11" s="15">
        <f t="shared" si="0"/>
        <v>0</v>
      </c>
      <c r="N11" s="15">
        <v>0</v>
      </c>
      <c r="O11" s="58" t="str">
        <f t="shared" si="1"/>
        <v>0</v>
      </c>
      <c r="P11" s="39" t="str">
        <f t="shared" si="2"/>
        <v>0</v>
      </c>
      <c r="Q11" s="40">
        <f t="shared" si="3"/>
        <v>24</v>
      </c>
      <c r="R11" s="7"/>
      <c r="S11" s="6">
        <v>24</v>
      </c>
      <c r="T11" s="16"/>
      <c r="U11" s="16"/>
      <c r="V11" s="17"/>
      <c r="W11" s="5"/>
      <c r="X11" s="16"/>
      <c r="Y11" s="16"/>
      <c r="Z11" s="16"/>
      <c r="AA11" s="18"/>
      <c r="AB11" s="8">
        <f t="shared" si="4"/>
        <v>0</v>
      </c>
      <c r="AC11" s="9">
        <f t="shared" si="5"/>
        <v>0</v>
      </c>
      <c r="AD11" s="10">
        <f t="shared" si="8"/>
        <v>0</v>
      </c>
      <c r="AE11" s="36">
        <f t="shared" si="6"/>
        <v>0.67424242424242431</v>
      </c>
      <c r="AF11" s="81">
        <f t="shared" si="7"/>
        <v>6</v>
      </c>
    </row>
    <row r="12" spans="1:32" ht="27" customHeight="1">
      <c r="A12" s="92">
        <v>7</v>
      </c>
      <c r="B12" s="11" t="s">
        <v>57</v>
      </c>
      <c r="C12" s="34" t="s">
        <v>112</v>
      </c>
      <c r="D12" s="52" t="s">
        <v>147</v>
      </c>
      <c r="E12" s="53" t="s">
        <v>547</v>
      </c>
      <c r="F12" s="30" t="s">
        <v>286</v>
      </c>
      <c r="G12" s="12">
        <v>1</v>
      </c>
      <c r="H12" s="13">
        <v>22</v>
      </c>
      <c r="I12" s="31">
        <v>40000</v>
      </c>
      <c r="J12" s="5">
        <v>5028</v>
      </c>
      <c r="K12" s="15">
        <f>L12+4452+3191+2676+3717+4759</f>
        <v>23823</v>
      </c>
      <c r="L12" s="15">
        <f>2337+2691</f>
        <v>5028</v>
      </c>
      <c r="M12" s="15">
        <f t="shared" si="0"/>
        <v>5028</v>
      </c>
      <c r="N12" s="15">
        <v>0</v>
      </c>
      <c r="O12" s="58">
        <f t="shared" si="1"/>
        <v>0</v>
      </c>
      <c r="P12" s="39">
        <f t="shared" si="2"/>
        <v>24</v>
      </c>
      <c r="Q12" s="40">
        <f t="shared" si="3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1</v>
      </c>
      <c r="AD12" s="10">
        <f t="shared" si="8"/>
        <v>1</v>
      </c>
      <c r="AE12" s="36">
        <f t="shared" si="6"/>
        <v>0.67424242424242431</v>
      </c>
      <c r="AF12" s="81">
        <f t="shared" si="7"/>
        <v>7</v>
      </c>
    </row>
    <row r="13" spans="1:32" ht="27" customHeight="1">
      <c r="A13" s="92">
        <v>8</v>
      </c>
      <c r="B13" s="11" t="s">
        <v>57</v>
      </c>
      <c r="C13" s="11" t="s">
        <v>127</v>
      </c>
      <c r="D13" s="52" t="s">
        <v>209</v>
      </c>
      <c r="E13" s="53" t="s">
        <v>180</v>
      </c>
      <c r="F13" s="30" t="s">
        <v>123</v>
      </c>
      <c r="G13" s="33">
        <v>1</v>
      </c>
      <c r="H13" s="35">
        <v>22</v>
      </c>
      <c r="I13" s="7">
        <v>17400</v>
      </c>
      <c r="J13" s="14">
        <v>4105</v>
      </c>
      <c r="K13" s="15">
        <f>L13+3357+4440+1929+1975</f>
        <v>15806</v>
      </c>
      <c r="L13" s="15">
        <f>2228+1877</f>
        <v>4105</v>
      </c>
      <c r="M13" s="15">
        <f t="shared" si="0"/>
        <v>4105</v>
      </c>
      <c r="N13" s="15">
        <v>0</v>
      </c>
      <c r="O13" s="58">
        <f t="shared" si="1"/>
        <v>0</v>
      </c>
      <c r="P13" s="39">
        <f t="shared" si="2"/>
        <v>23</v>
      </c>
      <c r="Q13" s="40">
        <f t="shared" si="3"/>
        <v>1</v>
      </c>
      <c r="R13" s="7"/>
      <c r="S13" s="6">
        <v>1</v>
      </c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0.95833333333333337</v>
      </c>
      <c r="AD13" s="10">
        <f t="shared" si="8"/>
        <v>0.95833333333333337</v>
      </c>
      <c r="AE13" s="36">
        <f t="shared" si="6"/>
        <v>0.67424242424242431</v>
      </c>
      <c r="AF13" s="81">
        <f t="shared" si="7"/>
        <v>8</v>
      </c>
    </row>
    <row r="14" spans="1:32" ht="27" customHeight="1">
      <c r="A14" s="99">
        <v>9</v>
      </c>
      <c r="B14" s="11" t="s">
        <v>57</v>
      </c>
      <c r="C14" s="34" t="s">
        <v>112</v>
      </c>
      <c r="D14" s="52" t="s">
        <v>115</v>
      </c>
      <c r="E14" s="53" t="s">
        <v>165</v>
      </c>
      <c r="F14" s="30" t="s">
        <v>167</v>
      </c>
      <c r="G14" s="33">
        <v>1</v>
      </c>
      <c r="H14" s="35">
        <v>50</v>
      </c>
      <c r="I14" s="7">
        <v>300</v>
      </c>
      <c r="J14" s="5">
        <v>391</v>
      </c>
      <c r="K14" s="15">
        <f>L14+300</f>
        <v>300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/>
      <c r="T14" s="16"/>
      <c r="U14" s="16"/>
      <c r="V14" s="17"/>
      <c r="W14" s="5"/>
      <c r="X14" s="16"/>
      <c r="Y14" s="16"/>
      <c r="Z14" s="16"/>
      <c r="AA14" s="18">
        <v>24</v>
      </c>
      <c r="AB14" s="8">
        <f t="shared" si="4"/>
        <v>0</v>
      </c>
      <c r="AC14" s="9">
        <f t="shared" si="5"/>
        <v>0</v>
      </c>
      <c r="AD14" s="10">
        <f t="shared" si="8"/>
        <v>0</v>
      </c>
      <c r="AE14" s="36">
        <f t="shared" si="6"/>
        <v>0.67424242424242431</v>
      </c>
      <c r="AF14" s="81">
        <f t="shared" si="7"/>
        <v>9</v>
      </c>
    </row>
    <row r="15" spans="1:32" ht="27" customHeight="1">
      <c r="A15" s="106">
        <v>10</v>
      </c>
      <c r="B15" s="11" t="s">
        <v>57</v>
      </c>
      <c r="C15" s="34" t="s">
        <v>112</v>
      </c>
      <c r="D15" s="52" t="s">
        <v>208</v>
      </c>
      <c r="E15" s="53" t="s">
        <v>555</v>
      </c>
      <c r="F15" s="30" t="s">
        <v>142</v>
      </c>
      <c r="G15" s="12">
        <v>1</v>
      </c>
      <c r="H15" s="13">
        <v>24</v>
      </c>
      <c r="I15" s="31">
        <v>2500</v>
      </c>
      <c r="J15" s="14">
        <v>2828</v>
      </c>
      <c r="K15" s="15">
        <f>L15</f>
        <v>2828</v>
      </c>
      <c r="L15" s="15">
        <v>2828</v>
      </c>
      <c r="M15" s="15">
        <f t="shared" si="0"/>
        <v>2828</v>
      </c>
      <c r="N15" s="15">
        <v>0</v>
      </c>
      <c r="O15" s="58">
        <f t="shared" si="1"/>
        <v>0</v>
      </c>
      <c r="P15" s="39">
        <f t="shared" si="2"/>
        <v>14</v>
      </c>
      <c r="Q15" s="40">
        <f t="shared" si="3"/>
        <v>10</v>
      </c>
      <c r="R15" s="7"/>
      <c r="S15" s="6">
        <v>10</v>
      </c>
      <c r="T15" s="16"/>
      <c r="U15" s="16"/>
      <c r="V15" s="17"/>
      <c r="W15" s="5"/>
      <c r="X15" s="16"/>
      <c r="Y15" s="16"/>
      <c r="Z15" s="16"/>
      <c r="AA15" s="18"/>
      <c r="AB15" s="8">
        <f t="shared" si="4"/>
        <v>1</v>
      </c>
      <c r="AC15" s="9">
        <f t="shared" si="5"/>
        <v>0.58333333333333337</v>
      </c>
      <c r="AD15" s="10">
        <f t="shared" si="8"/>
        <v>0.58333333333333337</v>
      </c>
      <c r="AE15" s="36">
        <f t="shared" si="6"/>
        <v>0.67424242424242431</v>
      </c>
      <c r="AF15" s="81">
        <f t="shared" si="7"/>
        <v>10</v>
      </c>
    </row>
    <row r="16" spans="1:32" ht="27" customHeight="1">
      <c r="A16" s="92">
        <v>11</v>
      </c>
      <c r="B16" s="11" t="s">
        <v>57</v>
      </c>
      <c r="C16" s="34" t="s">
        <v>116</v>
      </c>
      <c r="D16" s="52" t="s">
        <v>115</v>
      </c>
      <c r="E16" s="53" t="s">
        <v>750</v>
      </c>
      <c r="F16" s="30" t="s">
        <v>286</v>
      </c>
      <c r="G16" s="12">
        <v>2</v>
      </c>
      <c r="H16" s="13">
        <v>22</v>
      </c>
      <c r="I16" s="31">
        <v>5000</v>
      </c>
      <c r="J16" s="5">
        <v>8672</v>
      </c>
      <c r="K16" s="15">
        <f>L16</f>
        <v>8672</v>
      </c>
      <c r="L16" s="15">
        <f>2399*2+1937*2</f>
        <v>8672</v>
      </c>
      <c r="M16" s="15">
        <f t="shared" si="0"/>
        <v>8672</v>
      </c>
      <c r="N16" s="15">
        <v>0</v>
      </c>
      <c r="O16" s="58">
        <f t="shared" si="1"/>
        <v>0</v>
      </c>
      <c r="P16" s="39">
        <f t="shared" si="2"/>
        <v>22</v>
      </c>
      <c r="Q16" s="40">
        <f t="shared" si="3"/>
        <v>2</v>
      </c>
      <c r="R16" s="7"/>
      <c r="S16" s="6"/>
      <c r="T16" s="16"/>
      <c r="U16" s="16"/>
      <c r="V16" s="17"/>
      <c r="W16" s="5">
        <v>2</v>
      </c>
      <c r="X16" s="16"/>
      <c r="Y16" s="16"/>
      <c r="Z16" s="16"/>
      <c r="AA16" s="18"/>
      <c r="AB16" s="8">
        <f t="shared" si="4"/>
        <v>1</v>
      </c>
      <c r="AC16" s="9">
        <f t="shared" si="5"/>
        <v>0.91666666666666663</v>
      </c>
      <c r="AD16" s="10">
        <f t="shared" si="8"/>
        <v>0.91666666666666663</v>
      </c>
      <c r="AE16" s="36">
        <f t="shared" si="6"/>
        <v>0.67424242424242431</v>
      </c>
      <c r="AF16" s="81">
        <f t="shared" si="7"/>
        <v>11</v>
      </c>
    </row>
    <row r="17" spans="1:32" ht="27" customHeight="1">
      <c r="A17" s="106">
        <v>12</v>
      </c>
      <c r="B17" s="11" t="s">
        <v>57</v>
      </c>
      <c r="C17" s="34" t="s">
        <v>127</v>
      </c>
      <c r="D17" s="52" t="s">
        <v>129</v>
      </c>
      <c r="E17" s="53" t="s">
        <v>599</v>
      </c>
      <c r="F17" s="30" t="s">
        <v>625</v>
      </c>
      <c r="G17" s="12">
        <v>3</v>
      </c>
      <c r="H17" s="13">
        <v>24</v>
      </c>
      <c r="I17" s="7">
        <v>85000</v>
      </c>
      <c r="J17" s="14">
        <v>15360</v>
      </c>
      <c r="K17" s="15">
        <f>L17+13281+18096+15855+16785</f>
        <v>79377</v>
      </c>
      <c r="L17" s="15">
        <f>3129*3+1991*3</f>
        <v>15360</v>
      </c>
      <c r="M17" s="15">
        <f t="shared" si="0"/>
        <v>15360</v>
      </c>
      <c r="N17" s="15">
        <v>0</v>
      </c>
      <c r="O17" s="58">
        <f t="shared" si="1"/>
        <v>0</v>
      </c>
      <c r="P17" s="39">
        <f t="shared" si="2"/>
        <v>24</v>
      </c>
      <c r="Q17" s="40">
        <f t="shared" si="3"/>
        <v>0</v>
      </c>
      <c r="R17" s="7"/>
      <c r="S17" s="6"/>
      <c r="T17" s="16"/>
      <c r="U17" s="16"/>
      <c r="V17" s="17"/>
      <c r="W17" s="5"/>
      <c r="X17" s="16"/>
      <c r="Y17" s="16"/>
      <c r="Z17" s="16"/>
      <c r="AA17" s="18"/>
      <c r="AB17" s="8">
        <f t="shared" si="4"/>
        <v>1</v>
      </c>
      <c r="AC17" s="9">
        <f t="shared" si="5"/>
        <v>1</v>
      </c>
      <c r="AD17" s="10">
        <f t="shared" si="8"/>
        <v>1</v>
      </c>
      <c r="AE17" s="36">
        <f t="shared" si="6"/>
        <v>0.67424242424242431</v>
      </c>
      <c r="AF17" s="81">
        <f t="shared" si="7"/>
        <v>12</v>
      </c>
    </row>
    <row r="18" spans="1:32" ht="27" customHeight="1">
      <c r="A18" s="92">
        <v>13</v>
      </c>
      <c r="B18" s="11" t="s">
        <v>57</v>
      </c>
      <c r="C18" s="34" t="s">
        <v>112</v>
      </c>
      <c r="D18" s="52" t="s">
        <v>115</v>
      </c>
      <c r="E18" s="53" t="s">
        <v>711</v>
      </c>
      <c r="F18" s="30" t="s">
        <v>286</v>
      </c>
      <c r="G18" s="12">
        <v>1</v>
      </c>
      <c r="H18" s="13">
        <v>22</v>
      </c>
      <c r="I18" s="31">
        <v>3000</v>
      </c>
      <c r="J18" s="5">
        <v>5194</v>
      </c>
      <c r="K18" s="15">
        <f>L18+2735</f>
        <v>7929</v>
      </c>
      <c r="L18" s="15">
        <f>2821+2373</f>
        <v>5194</v>
      </c>
      <c r="M18" s="15">
        <f t="shared" si="0"/>
        <v>5194</v>
      </c>
      <c r="N18" s="15">
        <v>0</v>
      </c>
      <c r="O18" s="58">
        <f t="shared" si="1"/>
        <v>0</v>
      </c>
      <c r="P18" s="39">
        <f t="shared" si="2"/>
        <v>24</v>
      </c>
      <c r="Q18" s="40">
        <f t="shared" si="3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1</v>
      </c>
      <c r="AD18" s="10">
        <f t="shared" si="8"/>
        <v>1</v>
      </c>
      <c r="AE18" s="36">
        <f t="shared" si="6"/>
        <v>0.67424242424242431</v>
      </c>
      <c r="AF18" s="81">
        <f t="shared" si="7"/>
        <v>13</v>
      </c>
    </row>
    <row r="19" spans="1:32" ht="27" customHeight="1">
      <c r="A19" s="92">
        <v>14</v>
      </c>
      <c r="B19" s="11" t="s">
        <v>57</v>
      </c>
      <c r="C19" s="11" t="s">
        <v>116</v>
      </c>
      <c r="D19" s="52" t="s">
        <v>715</v>
      </c>
      <c r="E19" s="53" t="s">
        <v>713</v>
      </c>
      <c r="F19" s="30" t="s">
        <v>286</v>
      </c>
      <c r="G19" s="33">
        <v>1</v>
      </c>
      <c r="H19" s="35">
        <v>24</v>
      </c>
      <c r="I19" s="7">
        <v>6000</v>
      </c>
      <c r="J19" s="14">
        <v>4958</v>
      </c>
      <c r="K19" s="15">
        <f>L19+4725</f>
        <v>9683</v>
      </c>
      <c r="L19" s="15">
        <f>2190+2768</f>
        <v>4958</v>
      </c>
      <c r="M19" s="15">
        <f t="shared" si="0"/>
        <v>4958</v>
      </c>
      <c r="N19" s="15">
        <v>0</v>
      </c>
      <c r="O19" s="58">
        <f t="shared" si="1"/>
        <v>0</v>
      </c>
      <c r="P19" s="39">
        <f t="shared" si="2"/>
        <v>24</v>
      </c>
      <c r="Q19" s="40">
        <f t="shared" si="3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1</v>
      </c>
      <c r="AD19" s="10">
        <f t="shared" si="8"/>
        <v>1</v>
      </c>
      <c r="AE19" s="36">
        <f t="shared" si="6"/>
        <v>0.67424242424242431</v>
      </c>
      <c r="AF19" s="81">
        <f t="shared" si="7"/>
        <v>14</v>
      </c>
    </row>
    <row r="20" spans="1:32" ht="27" customHeight="1">
      <c r="A20" s="106">
        <v>15</v>
      </c>
      <c r="B20" s="11" t="s">
        <v>57</v>
      </c>
      <c r="C20" s="11" t="s">
        <v>112</v>
      </c>
      <c r="D20" s="52" t="s">
        <v>115</v>
      </c>
      <c r="E20" s="53" t="s">
        <v>148</v>
      </c>
      <c r="F20" s="30" t="s">
        <v>138</v>
      </c>
      <c r="G20" s="33">
        <v>2</v>
      </c>
      <c r="H20" s="35">
        <v>24</v>
      </c>
      <c r="I20" s="7">
        <v>190000</v>
      </c>
      <c r="J20" s="14">
        <v>2519</v>
      </c>
      <c r="K20" s="15">
        <f>L20+2429+7472+8688+7444+11036+10988+11010+10896+8170+1188+8544+8600+10428+2136+6276+9709+8542+9846+6657</f>
        <v>152578</v>
      </c>
      <c r="L20" s="15">
        <f>2280+239</f>
        <v>2519</v>
      </c>
      <c r="M20" s="15">
        <f t="shared" si="0"/>
        <v>2519</v>
      </c>
      <c r="N20" s="15">
        <v>0</v>
      </c>
      <c r="O20" s="58">
        <f t="shared" si="1"/>
        <v>0</v>
      </c>
      <c r="P20" s="39">
        <f t="shared" si="2"/>
        <v>13</v>
      </c>
      <c r="Q20" s="40">
        <f t="shared" si="3"/>
        <v>11</v>
      </c>
      <c r="R20" s="7"/>
      <c r="S20" s="6">
        <v>11</v>
      </c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0.54166666666666663</v>
      </c>
      <c r="AD20" s="10">
        <f t="shared" si="8"/>
        <v>0.54166666666666663</v>
      </c>
      <c r="AE20" s="36">
        <f t="shared" si="6"/>
        <v>0.67424242424242431</v>
      </c>
      <c r="AF20" s="81">
        <f t="shared" si="7"/>
        <v>15</v>
      </c>
    </row>
    <row r="21" spans="1:32" ht="26.25" customHeight="1">
      <c r="A21" s="92">
        <v>16</v>
      </c>
      <c r="B21" s="11" t="s">
        <v>57</v>
      </c>
      <c r="C21" s="11" t="s">
        <v>113</v>
      </c>
      <c r="D21" s="52"/>
      <c r="E21" s="53" t="s">
        <v>160</v>
      </c>
      <c r="F21" s="12" t="s">
        <v>114</v>
      </c>
      <c r="G21" s="12">
        <v>4</v>
      </c>
      <c r="H21" s="35">
        <v>20</v>
      </c>
      <c r="I21" s="7">
        <v>2000000</v>
      </c>
      <c r="J21" s="14">
        <v>63988</v>
      </c>
      <c r="K21" s="15">
        <f>L21+29876+62940+54476+54396+57856+63452+64136+60836+58660+62760+62928+64084+55912+44824</f>
        <v>861124</v>
      </c>
      <c r="L21" s="15">
        <f>7641*4+8356*4</f>
        <v>63988</v>
      </c>
      <c r="M21" s="15">
        <f t="shared" si="0"/>
        <v>63988</v>
      </c>
      <c r="N21" s="15">
        <v>0</v>
      </c>
      <c r="O21" s="58">
        <f t="shared" si="1"/>
        <v>0</v>
      </c>
      <c r="P21" s="39">
        <f t="shared" si="2"/>
        <v>24</v>
      </c>
      <c r="Q21" s="40">
        <f t="shared" si="3"/>
        <v>0</v>
      </c>
      <c r="R21" s="7"/>
      <c r="S21" s="6"/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1</v>
      </c>
      <c r="AD21" s="10">
        <f t="shared" si="8"/>
        <v>1</v>
      </c>
      <c r="AE21" s="36">
        <f t="shared" si="6"/>
        <v>0.67424242424242431</v>
      </c>
      <c r="AF21" s="81">
        <f t="shared" si="7"/>
        <v>16</v>
      </c>
    </row>
    <row r="22" spans="1:32" ht="21.75" customHeight="1">
      <c r="A22" s="92">
        <v>31</v>
      </c>
      <c r="B22" s="11" t="s">
        <v>57</v>
      </c>
      <c r="C22" s="11" t="s">
        <v>116</v>
      </c>
      <c r="D22" s="52" t="s">
        <v>115</v>
      </c>
      <c r="E22" s="53" t="s">
        <v>174</v>
      </c>
      <c r="F22" s="12" t="s">
        <v>138</v>
      </c>
      <c r="G22" s="12">
        <v>4</v>
      </c>
      <c r="H22" s="35">
        <v>20</v>
      </c>
      <c r="I22" s="7">
        <v>50000</v>
      </c>
      <c r="J22" s="14">
        <v>24116</v>
      </c>
      <c r="K22" s="15">
        <f>L22+13424+21584+22708</f>
        <v>81832</v>
      </c>
      <c r="L22" s="15">
        <f>3594*4+2435*4</f>
        <v>24116</v>
      </c>
      <c r="M22" s="15">
        <f t="shared" si="0"/>
        <v>24116</v>
      </c>
      <c r="N22" s="15">
        <v>0</v>
      </c>
      <c r="O22" s="58">
        <f t="shared" si="1"/>
        <v>0</v>
      </c>
      <c r="P22" s="39">
        <f t="shared" si="2"/>
        <v>24</v>
      </c>
      <c r="Q22" s="40">
        <f t="shared" si="3"/>
        <v>0</v>
      </c>
      <c r="R22" s="7"/>
      <c r="S22" s="6"/>
      <c r="T22" s="16"/>
      <c r="U22" s="16"/>
      <c r="V22" s="17"/>
      <c r="W22" s="5"/>
      <c r="X22" s="16"/>
      <c r="Y22" s="16"/>
      <c r="Z22" s="16"/>
      <c r="AA22" s="18"/>
      <c r="AB22" s="8">
        <f t="shared" si="4"/>
        <v>1</v>
      </c>
      <c r="AC22" s="9">
        <f t="shared" si="5"/>
        <v>1</v>
      </c>
      <c r="AD22" s="10">
        <f t="shared" si="8"/>
        <v>1</v>
      </c>
      <c r="AE22" s="36">
        <f t="shared" si="6"/>
        <v>0.67424242424242431</v>
      </c>
      <c r="AF22" s="81">
        <f t="shared" si="7"/>
        <v>31</v>
      </c>
    </row>
    <row r="23" spans="1:32" ht="21.75" customHeight="1">
      <c r="A23" s="92">
        <v>32</v>
      </c>
      <c r="B23" s="11" t="s">
        <v>57</v>
      </c>
      <c r="C23" s="11"/>
      <c r="D23" s="52"/>
      <c r="E23" s="53"/>
      <c r="F23" s="12"/>
      <c r="G23" s="12"/>
      <c r="H23" s="35">
        <v>20</v>
      </c>
      <c r="I23" s="7"/>
      <c r="J23" s="14">
        <v>0</v>
      </c>
      <c r="K23" s="15">
        <f t="shared" ref="K23" si="9">L23</f>
        <v>0</v>
      </c>
      <c r="L23" s="15"/>
      <c r="M23" s="15">
        <f t="shared" si="0"/>
        <v>0</v>
      </c>
      <c r="N23" s="15">
        <v>0</v>
      </c>
      <c r="O23" s="58" t="str">
        <f t="shared" si="1"/>
        <v>0</v>
      </c>
      <c r="P23" s="39" t="str">
        <f t="shared" si="2"/>
        <v>0</v>
      </c>
      <c r="Q23" s="40">
        <f t="shared" si="3"/>
        <v>24</v>
      </c>
      <c r="R23" s="7"/>
      <c r="S23" s="6"/>
      <c r="T23" s="16"/>
      <c r="U23" s="16"/>
      <c r="V23" s="17"/>
      <c r="W23" s="5">
        <v>24</v>
      </c>
      <c r="X23" s="16"/>
      <c r="Y23" s="16"/>
      <c r="Z23" s="16"/>
      <c r="AA23" s="18"/>
      <c r="AB23" s="8" t="str">
        <f t="shared" si="4"/>
        <v>0</v>
      </c>
      <c r="AC23" s="9">
        <f t="shared" si="5"/>
        <v>0</v>
      </c>
      <c r="AD23" s="10">
        <f t="shared" si="8"/>
        <v>0</v>
      </c>
      <c r="AE23" s="36">
        <f t="shared" si="6"/>
        <v>0.67424242424242431</v>
      </c>
      <c r="AF23" s="81">
        <f t="shared" si="7"/>
        <v>32</v>
      </c>
    </row>
    <row r="24" spans="1:32" ht="21.75" customHeight="1">
      <c r="A24" s="92">
        <v>33</v>
      </c>
      <c r="B24" s="11" t="s">
        <v>57</v>
      </c>
      <c r="C24" s="11" t="s">
        <v>116</v>
      </c>
      <c r="D24" s="52" t="s">
        <v>147</v>
      </c>
      <c r="E24" s="53" t="s">
        <v>183</v>
      </c>
      <c r="F24" s="12" t="s">
        <v>124</v>
      </c>
      <c r="G24" s="12">
        <v>3</v>
      </c>
      <c r="H24" s="35">
        <v>20</v>
      </c>
      <c r="I24" s="7">
        <v>50000</v>
      </c>
      <c r="J24" s="14">
        <v>21522</v>
      </c>
      <c r="K24" s="15">
        <f>L24+16720+23067+20250</f>
        <v>81559</v>
      </c>
      <c r="L24" s="15">
        <f>4240*3+2934*3</f>
        <v>21522</v>
      </c>
      <c r="M24" s="15">
        <f t="shared" si="0"/>
        <v>21522</v>
      </c>
      <c r="N24" s="15">
        <v>0</v>
      </c>
      <c r="O24" s="58">
        <f t="shared" si="1"/>
        <v>0</v>
      </c>
      <c r="P24" s="39">
        <f t="shared" si="2"/>
        <v>24</v>
      </c>
      <c r="Q24" s="40">
        <f t="shared" si="3"/>
        <v>0</v>
      </c>
      <c r="R24" s="7"/>
      <c r="S24" s="6"/>
      <c r="T24" s="16"/>
      <c r="U24" s="16"/>
      <c r="V24" s="114"/>
      <c r="W24" s="5"/>
      <c r="X24" s="16"/>
      <c r="Y24" s="16"/>
      <c r="Z24" s="16"/>
      <c r="AA24" s="18"/>
      <c r="AB24" s="8">
        <f t="shared" si="4"/>
        <v>1</v>
      </c>
      <c r="AC24" s="9">
        <f t="shared" si="5"/>
        <v>1</v>
      </c>
      <c r="AD24" s="10">
        <f t="shared" si="8"/>
        <v>1</v>
      </c>
      <c r="AE24" s="36">
        <f t="shared" si="6"/>
        <v>0.67424242424242431</v>
      </c>
      <c r="AF24" s="81">
        <f t="shared" si="7"/>
        <v>33</v>
      </c>
    </row>
    <row r="25" spans="1:32" ht="21.75" customHeight="1">
      <c r="A25" s="92">
        <v>34</v>
      </c>
      <c r="B25" s="11" t="s">
        <v>57</v>
      </c>
      <c r="C25" s="11" t="s">
        <v>116</v>
      </c>
      <c r="D25" s="52" t="s">
        <v>129</v>
      </c>
      <c r="E25" s="53" t="s">
        <v>172</v>
      </c>
      <c r="F25" s="12" t="s">
        <v>125</v>
      </c>
      <c r="G25" s="12">
        <v>4</v>
      </c>
      <c r="H25" s="35">
        <v>20</v>
      </c>
      <c r="I25" s="7">
        <v>50000</v>
      </c>
      <c r="J25" s="14">
        <v>26548</v>
      </c>
      <c r="K25" s="15">
        <f>L25+15172+24432+25280</f>
        <v>91432</v>
      </c>
      <c r="L25" s="15">
        <f>3948*4+2689*4</f>
        <v>26548</v>
      </c>
      <c r="M25" s="15">
        <f t="shared" si="0"/>
        <v>26548</v>
      </c>
      <c r="N25" s="15">
        <v>0</v>
      </c>
      <c r="O25" s="58">
        <f t="shared" si="1"/>
        <v>0</v>
      </c>
      <c r="P25" s="39">
        <f t="shared" si="2"/>
        <v>24</v>
      </c>
      <c r="Q25" s="40">
        <f t="shared" si="3"/>
        <v>0</v>
      </c>
      <c r="R25" s="7"/>
      <c r="S25" s="6"/>
      <c r="T25" s="16"/>
      <c r="U25" s="16"/>
      <c r="V25" s="114"/>
      <c r="W25" s="5"/>
      <c r="X25" s="16"/>
      <c r="Y25" s="16"/>
      <c r="Z25" s="16"/>
      <c r="AA25" s="18"/>
      <c r="AB25" s="8">
        <f t="shared" si="4"/>
        <v>1</v>
      </c>
      <c r="AC25" s="9">
        <f t="shared" si="5"/>
        <v>1</v>
      </c>
      <c r="AD25" s="10">
        <f t="shared" si="8"/>
        <v>1</v>
      </c>
      <c r="AE25" s="36">
        <f t="shared" si="6"/>
        <v>0.67424242424242431</v>
      </c>
      <c r="AF25" s="81">
        <f t="shared" si="7"/>
        <v>34</v>
      </c>
    </row>
    <row r="26" spans="1:32" ht="21.75" customHeight="1">
      <c r="A26" s="92">
        <v>35</v>
      </c>
      <c r="B26" s="11" t="s">
        <v>57</v>
      </c>
      <c r="C26" s="11" t="s">
        <v>116</v>
      </c>
      <c r="D26" s="52" t="s">
        <v>121</v>
      </c>
      <c r="E26" s="53" t="s">
        <v>126</v>
      </c>
      <c r="F26" s="12" t="s">
        <v>125</v>
      </c>
      <c r="G26" s="12">
        <v>4</v>
      </c>
      <c r="H26" s="35">
        <v>20</v>
      </c>
      <c r="I26" s="7">
        <v>50000</v>
      </c>
      <c r="J26" s="14">
        <v>26944</v>
      </c>
      <c r="K26" s="15">
        <f>L26+24592+26944+21716</f>
        <v>73252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24</v>
      </c>
      <c r="R26" s="7"/>
      <c r="S26" s="6"/>
      <c r="T26" s="16"/>
      <c r="U26" s="16"/>
      <c r="V26" s="114"/>
      <c r="W26" s="5">
        <v>24</v>
      </c>
      <c r="X26" s="16"/>
      <c r="Y26" s="16"/>
      <c r="Z26" s="16"/>
      <c r="AA26" s="18"/>
      <c r="AB26" s="8">
        <f t="shared" si="4"/>
        <v>0</v>
      </c>
      <c r="AC26" s="9">
        <f t="shared" si="5"/>
        <v>0</v>
      </c>
      <c r="AD26" s="10">
        <f t="shared" si="8"/>
        <v>0</v>
      </c>
      <c r="AE26" s="36">
        <f t="shared" si="6"/>
        <v>0.67424242424242431</v>
      </c>
      <c r="AF26" s="81">
        <f t="shared" si="7"/>
        <v>35</v>
      </c>
    </row>
    <row r="27" spans="1:32" ht="21.75" customHeight="1" thickBot="1">
      <c r="A27" s="92">
        <v>36</v>
      </c>
      <c r="B27" s="11" t="s">
        <v>57</v>
      </c>
      <c r="C27" s="11" t="s">
        <v>113</v>
      </c>
      <c r="D27" s="52"/>
      <c r="E27" s="53" t="s">
        <v>182</v>
      </c>
      <c r="F27" s="12" t="s">
        <v>114</v>
      </c>
      <c r="G27" s="12">
        <v>4</v>
      </c>
      <c r="H27" s="35">
        <v>20</v>
      </c>
      <c r="I27" s="7">
        <v>1000000</v>
      </c>
      <c r="J27" s="14">
        <v>47688</v>
      </c>
      <c r="K27" s="15">
        <f>L27+28388+70816+76368+81764+83428+47688</f>
        <v>388452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24</v>
      </c>
      <c r="R27" s="7"/>
      <c r="S27" s="6"/>
      <c r="T27" s="16"/>
      <c r="U27" s="16"/>
      <c r="V27" s="114">
        <v>24</v>
      </c>
      <c r="W27" s="5"/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8"/>
        <v>0</v>
      </c>
      <c r="AE27" s="36">
        <f t="shared" si="6"/>
        <v>0.67424242424242431</v>
      </c>
      <c r="AF27" s="81">
        <f t="shared" si="7"/>
        <v>36</v>
      </c>
    </row>
    <row r="28" spans="1:32" ht="19.5" thickBot="1">
      <c r="A28" s="435" t="s">
        <v>34</v>
      </c>
      <c r="B28" s="436"/>
      <c r="C28" s="436"/>
      <c r="D28" s="436"/>
      <c r="E28" s="436"/>
      <c r="F28" s="436"/>
      <c r="G28" s="436"/>
      <c r="H28" s="437"/>
      <c r="I28" s="22">
        <f t="shared" ref="I28:N28" si="10">SUM(I6:I27)</f>
        <v>3885000</v>
      </c>
      <c r="J28" s="19">
        <f t="shared" si="10"/>
        <v>291687</v>
      </c>
      <c r="K28" s="20">
        <f t="shared" si="10"/>
        <v>2149140</v>
      </c>
      <c r="L28" s="21">
        <f t="shared" si="10"/>
        <v>210852</v>
      </c>
      <c r="M28" s="20">
        <f t="shared" si="10"/>
        <v>210852</v>
      </c>
      <c r="N28" s="21">
        <f t="shared" si="10"/>
        <v>0</v>
      </c>
      <c r="O28" s="41">
        <f t="shared" si="1"/>
        <v>0</v>
      </c>
      <c r="P28" s="42">
        <f t="shared" ref="P28:AA28" si="11">SUM(P6:P27)</f>
        <v>356</v>
      </c>
      <c r="Q28" s="43">
        <f t="shared" si="11"/>
        <v>172</v>
      </c>
      <c r="R28" s="23">
        <f t="shared" si="11"/>
        <v>0</v>
      </c>
      <c r="S28" s="24">
        <f t="shared" si="11"/>
        <v>50</v>
      </c>
      <c r="T28" s="24">
        <f t="shared" si="11"/>
        <v>0</v>
      </c>
      <c r="U28" s="24">
        <f t="shared" si="11"/>
        <v>0</v>
      </c>
      <c r="V28" s="25">
        <f t="shared" si="11"/>
        <v>24</v>
      </c>
      <c r="W28" s="26">
        <f t="shared" si="11"/>
        <v>50</v>
      </c>
      <c r="X28" s="27">
        <f t="shared" si="11"/>
        <v>0</v>
      </c>
      <c r="Y28" s="27">
        <f t="shared" si="11"/>
        <v>0</v>
      </c>
      <c r="Z28" s="27">
        <f t="shared" si="11"/>
        <v>0</v>
      </c>
      <c r="AA28" s="27">
        <f t="shared" si="11"/>
        <v>48</v>
      </c>
      <c r="AB28" s="28">
        <f>AVERAGE(AB6:AB27)</f>
        <v>0.76190476190476186</v>
      </c>
      <c r="AC28" s="4">
        <f>AVERAGE(AC6:AC27)</f>
        <v>0.67424242424242431</v>
      </c>
      <c r="AD28" s="4">
        <f>AVERAGE(AD6:AD27)</f>
        <v>0.67424242424242431</v>
      </c>
      <c r="AE28" s="29"/>
    </row>
    <row r="29" spans="1:32">
      <c r="T29" s="50" t="s">
        <v>130</v>
      </c>
    </row>
    <row r="30" spans="1:32" ht="18.75">
      <c r="A30" s="2"/>
      <c r="B30" s="2" t="s">
        <v>35</v>
      </c>
      <c r="C30" s="2"/>
      <c r="D30" s="2"/>
      <c r="E30" s="2"/>
      <c r="F30" s="2"/>
      <c r="G30" s="2"/>
      <c r="H30" s="3"/>
      <c r="I30" s="3"/>
      <c r="J30" s="2"/>
      <c r="K30" s="2"/>
      <c r="L30" s="2"/>
      <c r="M30" s="2"/>
      <c r="N30" s="2" t="s">
        <v>36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1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 t="s">
        <v>131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F39" s="82"/>
    </row>
    <row r="40" spans="1:32" ht="14.2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F40" s="50"/>
    </row>
    <row r="41" spans="1:32" ht="14.2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F41" s="50"/>
    </row>
    <row r="42" spans="1:32" ht="14.2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50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27">
      <c r="A45" s="59"/>
      <c r="B45" s="59"/>
      <c r="C45" s="59"/>
      <c r="D45" s="59"/>
      <c r="E45" s="59"/>
      <c r="F45" s="37"/>
      <c r="G45" s="37"/>
      <c r="H45" s="38"/>
      <c r="I45" s="38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F45" s="50"/>
    </row>
    <row r="46" spans="1:32" ht="29.25" customHeight="1">
      <c r="A46" s="60"/>
      <c r="B46" s="60"/>
      <c r="C46" s="61"/>
      <c r="D46" s="61"/>
      <c r="E46" s="61"/>
      <c r="F46" s="60"/>
      <c r="G46" s="60"/>
      <c r="H46" s="60"/>
      <c r="I46" s="60"/>
      <c r="J46" s="60"/>
      <c r="K46" s="60"/>
      <c r="L46" s="60"/>
      <c r="M46" s="61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29.25" customHeight="1">
      <c r="A49" s="60"/>
      <c r="B49" s="60"/>
      <c r="C49" s="62"/>
      <c r="D49" s="61"/>
      <c r="E49" s="61"/>
      <c r="F49" s="60"/>
      <c r="G49" s="60"/>
      <c r="H49" s="60"/>
      <c r="I49" s="60"/>
      <c r="J49" s="60"/>
      <c r="K49" s="60"/>
      <c r="L49" s="60"/>
      <c r="M49" s="62"/>
      <c r="N49" s="60"/>
      <c r="O49" s="60"/>
      <c r="P49" s="63"/>
      <c r="Q49" s="63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14.2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F54" s="50"/>
    </row>
    <row r="55" spans="1:32" ht="36" thickBot="1">
      <c r="A55" s="438" t="s">
        <v>45</v>
      </c>
      <c r="B55" s="438"/>
      <c r="C55" s="438"/>
      <c r="D55" s="438"/>
      <c r="E55" s="438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F55" s="50"/>
    </row>
    <row r="56" spans="1:32" ht="26.25" thickBot="1">
      <c r="A56" s="439" t="s">
        <v>751</v>
      </c>
      <c r="B56" s="440"/>
      <c r="C56" s="440"/>
      <c r="D56" s="440"/>
      <c r="E56" s="440"/>
      <c r="F56" s="440"/>
      <c r="G56" s="440"/>
      <c r="H56" s="440"/>
      <c r="I56" s="440"/>
      <c r="J56" s="440"/>
      <c r="K56" s="440"/>
      <c r="L56" s="440"/>
      <c r="M56" s="441"/>
      <c r="N56" s="442" t="s">
        <v>757</v>
      </c>
      <c r="O56" s="443"/>
      <c r="P56" s="443"/>
      <c r="Q56" s="443"/>
      <c r="R56" s="443"/>
      <c r="S56" s="443"/>
      <c r="T56" s="443"/>
      <c r="U56" s="443"/>
      <c r="V56" s="443"/>
      <c r="W56" s="443"/>
      <c r="X56" s="443"/>
      <c r="Y56" s="443"/>
      <c r="Z56" s="443"/>
      <c r="AA56" s="443"/>
      <c r="AB56" s="443"/>
      <c r="AC56" s="443"/>
      <c r="AD56" s="444"/>
    </row>
    <row r="57" spans="1:32" ht="27" customHeight="1">
      <c r="A57" s="445" t="s">
        <v>2</v>
      </c>
      <c r="B57" s="446"/>
      <c r="C57" s="305" t="s">
        <v>46</v>
      </c>
      <c r="D57" s="305" t="s">
        <v>47</v>
      </c>
      <c r="E57" s="305" t="s">
        <v>107</v>
      </c>
      <c r="F57" s="447" t="s">
        <v>106</v>
      </c>
      <c r="G57" s="448"/>
      <c r="H57" s="448"/>
      <c r="I57" s="448"/>
      <c r="J57" s="448"/>
      <c r="K57" s="448"/>
      <c r="L57" s="448"/>
      <c r="M57" s="449"/>
      <c r="N57" s="67" t="s">
        <v>110</v>
      </c>
      <c r="O57" s="305" t="s">
        <v>46</v>
      </c>
      <c r="P57" s="447" t="s">
        <v>47</v>
      </c>
      <c r="Q57" s="450"/>
      <c r="R57" s="447" t="s">
        <v>38</v>
      </c>
      <c r="S57" s="448"/>
      <c r="T57" s="448"/>
      <c r="U57" s="450"/>
      <c r="V57" s="447" t="s">
        <v>48</v>
      </c>
      <c r="W57" s="448"/>
      <c r="X57" s="448"/>
      <c r="Y57" s="448"/>
      <c r="Z57" s="448"/>
      <c r="AA57" s="448"/>
      <c r="AB57" s="448"/>
      <c r="AC57" s="448"/>
      <c r="AD57" s="449"/>
    </row>
    <row r="58" spans="1:32" ht="27" customHeight="1">
      <c r="A58" s="415" t="s">
        <v>116</v>
      </c>
      <c r="B58" s="416"/>
      <c r="C58" s="308" t="s">
        <v>240</v>
      </c>
      <c r="D58" s="308" t="s">
        <v>284</v>
      </c>
      <c r="E58" s="308" t="s">
        <v>737</v>
      </c>
      <c r="F58" s="473" t="s">
        <v>752</v>
      </c>
      <c r="G58" s="474"/>
      <c r="H58" s="474"/>
      <c r="I58" s="474"/>
      <c r="J58" s="474"/>
      <c r="K58" s="474"/>
      <c r="L58" s="474"/>
      <c r="M58" s="475"/>
      <c r="N58" s="304" t="s">
        <v>759</v>
      </c>
      <c r="O58" s="298" t="s">
        <v>184</v>
      </c>
      <c r="P58" s="430"/>
      <c r="Q58" s="431"/>
      <c r="R58" s="430" t="s">
        <v>758</v>
      </c>
      <c r="S58" s="432"/>
      <c r="T58" s="432"/>
      <c r="U58" s="431"/>
      <c r="V58" s="417" t="s">
        <v>122</v>
      </c>
      <c r="W58" s="418"/>
      <c r="X58" s="418"/>
      <c r="Y58" s="418"/>
      <c r="Z58" s="418"/>
      <c r="AA58" s="418"/>
      <c r="AB58" s="418"/>
      <c r="AC58" s="418"/>
      <c r="AD58" s="419"/>
    </row>
    <row r="59" spans="1:32" ht="27" customHeight="1">
      <c r="A59" s="415" t="s">
        <v>112</v>
      </c>
      <c r="B59" s="416"/>
      <c r="C59" s="300" t="s">
        <v>753</v>
      </c>
      <c r="D59" s="300" t="s">
        <v>754</v>
      </c>
      <c r="E59" s="300" t="s">
        <v>755</v>
      </c>
      <c r="F59" s="473" t="s">
        <v>298</v>
      </c>
      <c r="G59" s="474"/>
      <c r="H59" s="474"/>
      <c r="I59" s="474"/>
      <c r="J59" s="474"/>
      <c r="K59" s="474"/>
      <c r="L59" s="474"/>
      <c r="M59" s="475"/>
      <c r="N59" s="304" t="s">
        <v>762</v>
      </c>
      <c r="O59" s="298" t="s">
        <v>763</v>
      </c>
      <c r="P59" s="430" t="s">
        <v>764</v>
      </c>
      <c r="Q59" s="431"/>
      <c r="R59" s="430" t="s">
        <v>760</v>
      </c>
      <c r="S59" s="432"/>
      <c r="T59" s="432"/>
      <c r="U59" s="431"/>
      <c r="V59" s="417" t="s">
        <v>761</v>
      </c>
      <c r="W59" s="418"/>
      <c r="X59" s="418"/>
      <c r="Y59" s="418"/>
      <c r="Z59" s="418"/>
      <c r="AA59" s="418"/>
      <c r="AB59" s="418"/>
      <c r="AC59" s="418"/>
      <c r="AD59" s="419"/>
    </row>
    <row r="60" spans="1:32" ht="27" customHeight="1">
      <c r="A60" s="429" t="s">
        <v>116</v>
      </c>
      <c r="B60" s="420"/>
      <c r="C60" s="307" t="s">
        <v>187</v>
      </c>
      <c r="D60" s="307" t="s">
        <v>115</v>
      </c>
      <c r="E60" s="307" t="s">
        <v>750</v>
      </c>
      <c r="F60" s="473" t="s">
        <v>122</v>
      </c>
      <c r="G60" s="474"/>
      <c r="H60" s="474"/>
      <c r="I60" s="474"/>
      <c r="J60" s="474"/>
      <c r="K60" s="474"/>
      <c r="L60" s="474"/>
      <c r="M60" s="475"/>
      <c r="N60" s="304" t="s">
        <v>766</v>
      </c>
      <c r="O60" s="298" t="s">
        <v>767</v>
      </c>
      <c r="P60" s="430" t="s">
        <v>768</v>
      </c>
      <c r="Q60" s="431"/>
      <c r="R60" s="430" t="s">
        <v>765</v>
      </c>
      <c r="S60" s="432"/>
      <c r="T60" s="432"/>
      <c r="U60" s="431"/>
      <c r="V60" s="417" t="s">
        <v>122</v>
      </c>
      <c r="W60" s="418"/>
      <c r="X60" s="418"/>
      <c r="Y60" s="418"/>
      <c r="Z60" s="418"/>
      <c r="AA60" s="418"/>
      <c r="AB60" s="418"/>
      <c r="AC60" s="418"/>
      <c r="AD60" s="419"/>
    </row>
    <row r="61" spans="1:32" ht="27" customHeight="1">
      <c r="A61" s="415" t="s">
        <v>112</v>
      </c>
      <c r="B61" s="416"/>
      <c r="C61" s="308" t="s">
        <v>316</v>
      </c>
      <c r="D61" s="308" t="s">
        <v>115</v>
      </c>
      <c r="E61" s="307" t="s">
        <v>148</v>
      </c>
      <c r="F61" s="473" t="s">
        <v>756</v>
      </c>
      <c r="G61" s="474"/>
      <c r="H61" s="474"/>
      <c r="I61" s="474"/>
      <c r="J61" s="474"/>
      <c r="K61" s="474"/>
      <c r="L61" s="474"/>
      <c r="M61" s="475"/>
      <c r="N61" s="304" t="s">
        <v>762</v>
      </c>
      <c r="O61" s="298" t="s">
        <v>773</v>
      </c>
      <c r="P61" s="430" t="s">
        <v>776</v>
      </c>
      <c r="Q61" s="431"/>
      <c r="R61" s="430" t="s">
        <v>769</v>
      </c>
      <c r="S61" s="432"/>
      <c r="T61" s="432"/>
      <c r="U61" s="431"/>
      <c r="V61" s="417" t="s">
        <v>122</v>
      </c>
      <c r="W61" s="418"/>
      <c r="X61" s="418"/>
      <c r="Y61" s="418"/>
      <c r="Z61" s="418"/>
      <c r="AA61" s="418"/>
      <c r="AB61" s="418"/>
      <c r="AC61" s="418"/>
      <c r="AD61" s="419"/>
    </row>
    <row r="62" spans="1:32" ht="27" customHeight="1">
      <c r="A62" s="429"/>
      <c r="B62" s="420"/>
      <c r="C62" s="301"/>
      <c r="D62" s="301"/>
      <c r="E62" s="301"/>
      <c r="F62" s="473"/>
      <c r="G62" s="474"/>
      <c r="H62" s="474"/>
      <c r="I62" s="474"/>
      <c r="J62" s="474"/>
      <c r="K62" s="474"/>
      <c r="L62" s="474"/>
      <c r="M62" s="475"/>
      <c r="N62" s="304" t="s">
        <v>772</v>
      </c>
      <c r="O62" s="298" t="s">
        <v>774</v>
      </c>
      <c r="P62" s="430" t="s">
        <v>777</v>
      </c>
      <c r="Q62" s="431"/>
      <c r="R62" s="430" t="s">
        <v>770</v>
      </c>
      <c r="S62" s="432"/>
      <c r="T62" s="432"/>
      <c r="U62" s="431"/>
      <c r="V62" s="417" t="s">
        <v>122</v>
      </c>
      <c r="W62" s="418"/>
      <c r="X62" s="418"/>
      <c r="Y62" s="418"/>
      <c r="Z62" s="418"/>
      <c r="AA62" s="418"/>
      <c r="AB62" s="418"/>
      <c r="AC62" s="418"/>
      <c r="AD62" s="419"/>
    </row>
    <row r="63" spans="1:32" ht="27" customHeight="1">
      <c r="A63" s="415"/>
      <c r="B63" s="416"/>
      <c r="C63" s="300"/>
      <c r="D63" s="300"/>
      <c r="E63" s="301"/>
      <c r="F63" s="473"/>
      <c r="G63" s="474"/>
      <c r="H63" s="474"/>
      <c r="I63" s="474"/>
      <c r="J63" s="474"/>
      <c r="K63" s="474"/>
      <c r="L63" s="474"/>
      <c r="M63" s="475"/>
      <c r="N63" s="304" t="s">
        <v>772</v>
      </c>
      <c r="O63" s="298" t="s">
        <v>775</v>
      </c>
      <c r="P63" s="430" t="s">
        <v>776</v>
      </c>
      <c r="Q63" s="431"/>
      <c r="R63" s="430" t="s">
        <v>771</v>
      </c>
      <c r="S63" s="432"/>
      <c r="T63" s="432"/>
      <c r="U63" s="431"/>
      <c r="V63" s="417" t="s">
        <v>761</v>
      </c>
      <c r="W63" s="418"/>
      <c r="X63" s="418"/>
      <c r="Y63" s="418"/>
      <c r="Z63" s="418"/>
      <c r="AA63" s="418"/>
      <c r="AB63" s="418"/>
      <c r="AC63" s="418"/>
      <c r="AD63" s="419"/>
    </row>
    <row r="64" spans="1:32" ht="27" customHeight="1">
      <c r="A64" s="415"/>
      <c r="B64" s="416"/>
      <c r="C64" s="300"/>
      <c r="D64" s="300"/>
      <c r="E64" s="301"/>
      <c r="F64" s="473"/>
      <c r="G64" s="474"/>
      <c r="H64" s="474"/>
      <c r="I64" s="474"/>
      <c r="J64" s="474"/>
      <c r="K64" s="474"/>
      <c r="L64" s="474"/>
      <c r="M64" s="475"/>
      <c r="N64" s="304"/>
      <c r="O64" s="298"/>
      <c r="P64" s="430"/>
      <c r="Q64" s="431"/>
      <c r="R64" s="430"/>
      <c r="S64" s="432"/>
      <c r="T64" s="432"/>
      <c r="U64" s="431"/>
      <c r="V64" s="417"/>
      <c r="W64" s="418"/>
      <c r="X64" s="418"/>
      <c r="Y64" s="418"/>
      <c r="Z64" s="418"/>
      <c r="AA64" s="418"/>
      <c r="AB64" s="418"/>
      <c r="AC64" s="418"/>
      <c r="AD64" s="419"/>
    </row>
    <row r="65" spans="1:32" ht="27" customHeight="1">
      <c r="A65" s="415"/>
      <c r="B65" s="416"/>
      <c r="C65" s="300"/>
      <c r="D65" s="300"/>
      <c r="E65" s="301"/>
      <c r="F65" s="473"/>
      <c r="G65" s="474"/>
      <c r="H65" s="474"/>
      <c r="I65" s="474"/>
      <c r="J65" s="474"/>
      <c r="K65" s="474"/>
      <c r="L65" s="474"/>
      <c r="M65" s="475"/>
      <c r="N65" s="304"/>
      <c r="O65" s="298"/>
      <c r="P65" s="430"/>
      <c r="Q65" s="431"/>
      <c r="R65" s="430"/>
      <c r="S65" s="432"/>
      <c r="T65" s="432"/>
      <c r="U65" s="431"/>
      <c r="V65" s="417"/>
      <c r="W65" s="418"/>
      <c r="X65" s="418"/>
      <c r="Y65" s="418"/>
      <c r="Z65" s="418"/>
      <c r="AA65" s="418"/>
      <c r="AB65" s="418"/>
      <c r="AC65" s="418"/>
      <c r="AD65" s="419"/>
    </row>
    <row r="66" spans="1:32" ht="27" customHeight="1">
      <c r="A66" s="415"/>
      <c r="B66" s="416"/>
      <c r="C66" s="300"/>
      <c r="D66" s="300"/>
      <c r="E66" s="301"/>
      <c r="F66" s="473"/>
      <c r="G66" s="474"/>
      <c r="H66" s="474"/>
      <c r="I66" s="474"/>
      <c r="J66" s="474"/>
      <c r="K66" s="474"/>
      <c r="L66" s="474"/>
      <c r="M66" s="475"/>
      <c r="N66" s="304"/>
      <c r="O66" s="298"/>
      <c r="P66" s="420"/>
      <c r="Q66" s="420"/>
      <c r="R66" s="420"/>
      <c r="S66" s="420"/>
      <c r="T66" s="420"/>
      <c r="U66" s="420"/>
      <c r="V66" s="417"/>
      <c r="W66" s="418"/>
      <c r="X66" s="418"/>
      <c r="Y66" s="418"/>
      <c r="Z66" s="418"/>
      <c r="AA66" s="418"/>
      <c r="AB66" s="418"/>
      <c r="AC66" s="418"/>
      <c r="AD66" s="419"/>
      <c r="AF66" s="81">
        <f>8*3000</f>
        <v>24000</v>
      </c>
    </row>
    <row r="67" spans="1:32" ht="27" customHeight="1" thickBot="1">
      <c r="A67" s="421"/>
      <c r="B67" s="422"/>
      <c r="C67" s="302"/>
      <c r="D67" s="303"/>
      <c r="E67" s="302"/>
      <c r="F67" s="423"/>
      <c r="G67" s="424"/>
      <c r="H67" s="424"/>
      <c r="I67" s="424"/>
      <c r="J67" s="424"/>
      <c r="K67" s="424"/>
      <c r="L67" s="424"/>
      <c r="M67" s="425"/>
      <c r="N67" s="105"/>
      <c r="O67" s="97"/>
      <c r="P67" s="426"/>
      <c r="Q67" s="426"/>
      <c r="R67" s="426"/>
      <c r="S67" s="426"/>
      <c r="T67" s="426"/>
      <c r="U67" s="426"/>
      <c r="V67" s="427"/>
      <c r="W67" s="427"/>
      <c r="X67" s="427"/>
      <c r="Y67" s="427"/>
      <c r="Z67" s="427"/>
      <c r="AA67" s="427"/>
      <c r="AB67" s="427"/>
      <c r="AC67" s="427"/>
      <c r="AD67" s="428"/>
      <c r="AF67" s="81">
        <f>16*3000</f>
        <v>48000</v>
      </c>
    </row>
    <row r="68" spans="1:32" ht="27.75" thickBot="1">
      <c r="A68" s="413" t="s">
        <v>778</v>
      </c>
      <c r="B68" s="413"/>
      <c r="C68" s="413"/>
      <c r="D68" s="413"/>
      <c r="E68" s="413"/>
      <c r="F68" s="37"/>
      <c r="G68" s="37"/>
      <c r="H68" s="38"/>
      <c r="I68" s="38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F68" s="81">
        <v>24000</v>
      </c>
    </row>
    <row r="69" spans="1:32" ht="29.25" customHeight="1" thickBot="1">
      <c r="A69" s="414" t="s">
        <v>111</v>
      </c>
      <c r="B69" s="411"/>
      <c r="C69" s="299" t="s">
        <v>2</v>
      </c>
      <c r="D69" s="299" t="s">
        <v>37</v>
      </c>
      <c r="E69" s="299" t="s">
        <v>3</v>
      </c>
      <c r="F69" s="411" t="s">
        <v>109</v>
      </c>
      <c r="G69" s="411"/>
      <c r="H69" s="411"/>
      <c r="I69" s="411"/>
      <c r="J69" s="411"/>
      <c r="K69" s="411" t="s">
        <v>39</v>
      </c>
      <c r="L69" s="411"/>
      <c r="M69" s="299" t="s">
        <v>40</v>
      </c>
      <c r="N69" s="411" t="s">
        <v>41</v>
      </c>
      <c r="O69" s="411"/>
      <c r="P69" s="408" t="s">
        <v>42</v>
      </c>
      <c r="Q69" s="410"/>
      <c r="R69" s="408" t="s">
        <v>43</v>
      </c>
      <c r="S69" s="409"/>
      <c r="T69" s="409"/>
      <c r="U69" s="409"/>
      <c r="V69" s="409"/>
      <c r="W69" s="409"/>
      <c r="X69" s="409"/>
      <c r="Y69" s="409"/>
      <c r="Z69" s="409"/>
      <c r="AA69" s="410"/>
      <c r="AB69" s="411" t="s">
        <v>44</v>
      </c>
      <c r="AC69" s="411"/>
      <c r="AD69" s="412"/>
      <c r="AF69" s="81">
        <f>SUM(AF66:AF68)</f>
        <v>96000</v>
      </c>
    </row>
    <row r="70" spans="1:32" ht="25.5" customHeight="1">
      <c r="A70" s="399">
        <v>1</v>
      </c>
      <c r="B70" s="400"/>
      <c r="C70" s="98" t="s">
        <v>116</v>
      </c>
      <c r="D70" s="294"/>
      <c r="E70" s="297" t="s">
        <v>140</v>
      </c>
      <c r="F70" s="401" t="s">
        <v>779</v>
      </c>
      <c r="G70" s="391"/>
      <c r="H70" s="391"/>
      <c r="I70" s="391"/>
      <c r="J70" s="391"/>
      <c r="K70" s="391" t="s">
        <v>162</v>
      </c>
      <c r="L70" s="391"/>
      <c r="M70" s="51" t="s">
        <v>222</v>
      </c>
      <c r="N70" s="402" t="s">
        <v>143</v>
      </c>
      <c r="O70" s="402"/>
      <c r="P70" s="403">
        <v>50</v>
      </c>
      <c r="Q70" s="403"/>
      <c r="R70" s="404"/>
      <c r="S70" s="404"/>
      <c r="T70" s="404"/>
      <c r="U70" s="404"/>
      <c r="V70" s="404"/>
      <c r="W70" s="404"/>
      <c r="X70" s="404"/>
      <c r="Y70" s="404"/>
      <c r="Z70" s="404"/>
      <c r="AA70" s="404"/>
      <c r="AB70" s="391"/>
      <c r="AC70" s="391"/>
      <c r="AD70" s="392"/>
      <c r="AF70" s="50"/>
    </row>
    <row r="71" spans="1:32" ht="25.5" customHeight="1">
      <c r="A71" s="399">
        <v>2</v>
      </c>
      <c r="B71" s="400"/>
      <c r="C71" s="98"/>
      <c r="D71" s="294"/>
      <c r="E71" s="297"/>
      <c r="F71" s="401"/>
      <c r="G71" s="391"/>
      <c r="H71" s="391"/>
      <c r="I71" s="391"/>
      <c r="J71" s="391"/>
      <c r="K71" s="391"/>
      <c r="L71" s="391"/>
      <c r="M71" s="51"/>
      <c r="N71" s="402"/>
      <c r="O71" s="402"/>
      <c r="P71" s="403"/>
      <c r="Q71" s="403"/>
      <c r="R71" s="404"/>
      <c r="S71" s="404"/>
      <c r="T71" s="404"/>
      <c r="U71" s="404"/>
      <c r="V71" s="404"/>
      <c r="W71" s="404"/>
      <c r="X71" s="404"/>
      <c r="Y71" s="404"/>
      <c r="Z71" s="404"/>
      <c r="AA71" s="404"/>
      <c r="AB71" s="391"/>
      <c r="AC71" s="391"/>
      <c r="AD71" s="392"/>
      <c r="AF71" s="50"/>
    </row>
    <row r="72" spans="1:32" ht="25.5" customHeight="1">
      <c r="A72" s="399">
        <v>3</v>
      </c>
      <c r="B72" s="400"/>
      <c r="C72" s="98"/>
      <c r="D72" s="294"/>
      <c r="E72" s="297"/>
      <c r="F72" s="401"/>
      <c r="G72" s="391"/>
      <c r="H72" s="391"/>
      <c r="I72" s="391"/>
      <c r="J72" s="391"/>
      <c r="K72" s="391"/>
      <c r="L72" s="391"/>
      <c r="M72" s="51"/>
      <c r="N72" s="402"/>
      <c r="O72" s="402"/>
      <c r="P72" s="403"/>
      <c r="Q72" s="403"/>
      <c r="R72" s="404"/>
      <c r="S72" s="404"/>
      <c r="T72" s="404"/>
      <c r="U72" s="404"/>
      <c r="V72" s="404"/>
      <c r="W72" s="404"/>
      <c r="X72" s="404"/>
      <c r="Y72" s="404"/>
      <c r="Z72" s="404"/>
      <c r="AA72" s="404"/>
      <c r="AB72" s="391"/>
      <c r="AC72" s="391"/>
      <c r="AD72" s="392"/>
      <c r="AF72" s="50"/>
    </row>
    <row r="73" spans="1:32" ht="25.5" customHeight="1">
      <c r="A73" s="399">
        <v>4</v>
      </c>
      <c r="B73" s="400"/>
      <c r="C73" s="98"/>
      <c r="D73" s="294"/>
      <c r="E73" s="297"/>
      <c r="F73" s="405"/>
      <c r="G73" s="406"/>
      <c r="H73" s="406"/>
      <c r="I73" s="406"/>
      <c r="J73" s="407"/>
      <c r="K73" s="391"/>
      <c r="L73" s="391"/>
      <c r="M73" s="51"/>
      <c r="N73" s="402"/>
      <c r="O73" s="402"/>
      <c r="P73" s="403"/>
      <c r="Q73" s="403"/>
      <c r="R73" s="404"/>
      <c r="S73" s="404"/>
      <c r="T73" s="404"/>
      <c r="U73" s="404"/>
      <c r="V73" s="404"/>
      <c r="W73" s="404"/>
      <c r="X73" s="404"/>
      <c r="Y73" s="404"/>
      <c r="Z73" s="404"/>
      <c r="AA73" s="404"/>
      <c r="AB73" s="391"/>
      <c r="AC73" s="391"/>
      <c r="AD73" s="392"/>
      <c r="AF73" s="50"/>
    </row>
    <row r="74" spans="1:32" ht="25.5" customHeight="1">
      <c r="A74" s="399">
        <v>5</v>
      </c>
      <c r="B74" s="400"/>
      <c r="C74" s="98"/>
      <c r="D74" s="294"/>
      <c r="E74" s="297"/>
      <c r="F74" s="405"/>
      <c r="G74" s="406"/>
      <c r="H74" s="406"/>
      <c r="I74" s="406"/>
      <c r="J74" s="407"/>
      <c r="K74" s="391"/>
      <c r="L74" s="391"/>
      <c r="M74" s="51"/>
      <c r="N74" s="402"/>
      <c r="O74" s="402"/>
      <c r="P74" s="403"/>
      <c r="Q74" s="403"/>
      <c r="R74" s="404"/>
      <c r="S74" s="404"/>
      <c r="T74" s="404"/>
      <c r="U74" s="404"/>
      <c r="V74" s="404"/>
      <c r="W74" s="404"/>
      <c r="X74" s="404"/>
      <c r="Y74" s="404"/>
      <c r="Z74" s="404"/>
      <c r="AA74" s="404"/>
      <c r="AB74" s="391"/>
      <c r="AC74" s="391"/>
      <c r="AD74" s="392"/>
      <c r="AF74" s="50"/>
    </row>
    <row r="75" spans="1:32" ht="25.5" customHeight="1">
      <c r="A75" s="399">
        <v>6</v>
      </c>
      <c r="B75" s="400"/>
      <c r="C75" s="98"/>
      <c r="D75" s="294"/>
      <c r="E75" s="297"/>
      <c r="F75" s="405"/>
      <c r="G75" s="406"/>
      <c r="H75" s="406"/>
      <c r="I75" s="406"/>
      <c r="J75" s="407"/>
      <c r="K75" s="391"/>
      <c r="L75" s="391"/>
      <c r="M75" s="51"/>
      <c r="N75" s="402"/>
      <c r="O75" s="402"/>
      <c r="P75" s="403"/>
      <c r="Q75" s="403"/>
      <c r="R75" s="404"/>
      <c r="S75" s="404"/>
      <c r="T75" s="404"/>
      <c r="U75" s="404"/>
      <c r="V75" s="404"/>
      <c r="W75" s="404"/>
      <c r="X75" s="404"/>
      <c r="Y75" s="404"/>
      <c r="Z75" s="404"/>
      <c r="AA75" s="404"/>
      <c r="AB75" s="391"/>
      <c r="AC75" s="391"/>
      <c r="AD75" s="392"/>
      <c r="AF75" s="50"/>
    </row>
    <row r="76" spans="1:32" ht="25.5" customHeight="1">
      <c r="A76" s="399">
        <v>7</v>
      </c>
      <c r="B76" s="400"/>
      <c r="C76" s="98"/>
      <c r="D76" s="294"/>
      <c r="E76" s="297"/>
      <c r="F76" s="405"/>
      <c r="G76" s="406"/>
      <c r="H76" s="406"/>
      <c r="I76" s="406"/>
      <c r="J76" s="407"/>
      <c r="K76" s="391"/>
      <c r="L76" s="391"/>
      <c r="M76" s="51"/>
      <c r="N76" s="402"/>
      <c r="O76" s="402"/>
      <c r="P76" s="403"/>
      <c r="Q76" s="403"/>
      <c r="R76" s="404"/>
      <c r="S76" s="404"/>
      <c r="T76" s="404"/>
      <c r="U76" s="404"/>
      <c r="V76" s="404"/>
      <c r="W76" s="404"/>
      <c r="X76" s="404"/>
      <c r="Y76" s="404"/>
      <c r="Z76" s="404"/>
      <c r="AA76" s="404"/>
      <c r="AB76" s="391"/>
      <c r="AC76" s="391"/>
      <c r="AD76" s="392"/>
      <c r="AF76" s="50"/>
    </row>
    <row r="77" spans="1:32" ht="25.5" customHeight="1">
      <c r="A77" s="399">
        <v>8</v>
      </c>
      <c r="B77" s="400"/>
      <c r="C77" s="98"/>
      <c r="D77" s="294"/>
      <c r="E77" s="297"/>
      <c r="F77" s="401"/>
      <c r="G77" s="391"/>
      <c r="H77" s="391"/>
      <c r="I77" s="391"/>
      <c r="J77" s="391"/>
      <c r="K77" s="391"/>
      <c r="L77" s="391"/>
      <c r="M77" s="51"/>
      <c r="N77" s="402"/>
      <c r="O77" s="402"/>
      <c r="P77" s="403"/>
      <c r="Q77" s="403"/>
      <c r="R77" s="404"/>
      <c r="S77" s="404"/>
      <c r="T77" s="404"/>
      <c r="U77" s="404"/>
      <c r="V77" s="404"/>
      <c r="W77" s="404"/>
      <c r="X77" s="404"/>
      <c r="Y77" s="404"/>
      <c r="Z77" s="404"/>
      <c r="AA77" s="404"/>
      <c r="AB77" s="391"/>
      <c r="AC77" s="391"/>
      <c r="AD77" s="392"/>
      <c r="AF77" s="50"/>
    </row>
    <row r="78" spans="1:32" ht="25.5" customHeight="1">
      <c r="A78" s="399">
        <v>9</v>
      </c>
      <c r="B78" s="400"/>
      <c r="C78" s="98"/>
      <c r="D78" s="294"/>
      <c r="E78" s="297"/>
      <c r="F78" s="401"/>
      <c r="G78" s="391"/>
      <c r="H78" s="391"/>
      <c r="I78" s="391"/>
      <c r="J78" s="391"/>
      <c r="K78" s="391"/>
      <c r="L78" s="391"/>
      <c r="M78" s="51"/>
      <c r="N78" s="402"/>
      <c r="O78" s="402"/>
      <c r="P78" s="403"/>
      <c r="Q78" s="403"/>
      <c r="R78" s="404"/>
      <c r="S78" s="404"/>
      <c r="T78" s="404"/>
      <c r="U78" s="404"/>
      <c r="V78" s="404"/>
      <c r="W78" s="404"/>
      <c r="X78" s="404"/>
      <c r="Y78" s="404"/>
      <c r="Z78" s="404"/>
      <c r="AA78" s="404"/>
      <c r="AB78" s="391"/>
      <c r="AC78" s="391"/>
      <c r="AD78" s="392"/>
      <c r="AF78" s="50"/>
    </row>
    <row r="79" spans="1:32" ht="25.5" customHeight="1">
      <c r="A79" s="399">
        <v>10</v>
      </c>
      <c r="B79" s="400"/>
      <c r="C79" s="98"/>
      <c r="D79" s="294"/>
      <c r="E79" s="297"/>
      <c r="F79" s="401"/>
      <c r="G79" s="391"/>
      <c r="H79" s="391"/>
      <c r="I79" s="391"/>
      <c r="J79" s="391"/>
      <c r="K79" s="391"/>
      <c r="L79" s="391"/>
      <c r="M79" s="51"/>
      <c r="N79" s="402"/>
      <c r="O79" s="402"/>
      <c r="P79" s="403"/>
      <c r="Q79" s="403"/>
      <c r="R79" s="404"/>
      <c r="S79" s="404"/>
      <c r="T79" s="404"/>
      <c r="U79" s="404"/>
      <c r="V79" s="404"/>
      <c r="W79" s="404"/>
      <c r="X79" s="404"/>
      <c r="Y79" s="404"/>
      <c r="Z79" s="404"/>
      <c r="AA79" s="404"/>
      <c r="AB79" s="391"/>
      <c r="AC79" s="391"/>
      <c r="AD79" s="392"/>
      <c r="AF79" s="50"/>
    </row>
    <row r="80" spans="1:32" ht="26.25" customHeight="1" thickBot="1">
      <c r="A80" s="371" t="s">
        <v>780</v>
      </c>
      <c r="B80" s="371"/>
      <c r="C80" s="371"/>
      <c r="D80" s="371"/>
      <c r="E80" s="371"/>
      <c r="F80" s="37"/>
      <c r="G80" s="37"/>
      <c r="H80" s="38"/>
      <c r="I80" s="38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F80" s="50"/>
    </row>
    <row r="81" spans="1:32" ht="23.25" thickBot="1">
      <c r="A81" s="393" t="s">
        <v>111</v>
      </c>
      <c r="B81" s="394"/>
      <c r="C81" s="296" t="s">
        <v>2</v>
      </c>
      <c r="D81" s="296" t="s">
        <v>37</v>
      </c>
      <c r="E81" s="296" t="s">
        <v>120</v>
      </c>
      <c r="F81" s="373" t="s">
        <v>38</v>
      </c>
      <c r="G81" s="373"/>
      <c r="H81" s="373"/>
      <c r="I81" s="373"/>
      <c r="J81" s="373"/>
      <c r="K81" s="395" t="s">
        <v>58</v>
      </c>
      <c r="L81" s="396"/>
      <c r="M81" s="396"/>
      <c r="N81" s="396"/>
      <c r="O81" s="396"/>
      <c r="P81" s="396"/>
      <c r="Q81" s="396"/>
      <c r="R81" s="396"/>
      <c r="S81" s="397"/>
      <c r="T81" s="373" t="s">
        <v>49</v>
      </c>
      <c r="U81" s="373"/>
      <c r="V81" s="395" t="s">
        <v>50</v>
      </c>
      <c r="W81" s="397"/>
      <c r="X81" s="396" t="s">
        <v>51</v>
      </c>
      <c r="Y81" s="396"/>
      <c r="Z81" s="396"/>
      <c r="AA81" s="396"/>
      <c r="AB81" s="396"/>
      <c r="AC81" s="396"/>
      <c r="AD81" s="398"/>
      <c r="AF81" s="50"/>
    </row>
    <row r="82" spans="1:32" ht="33.75" customHeight="1">
      <c r="A82" s="365">
        <v>1</v>
      </c>
      <c r="B82" s="366"/>
      <c r="C82" s="295"/>
      <c r="D82" s="295"/>
      <c r="E82" s="65"/>
      <c r="F82" s="380"/>
      <c r="G82" s="381"/>
      <c r="H82" s="381"/>
      <c r="I82" s="381"/>
      <c r="J82" s="382"/>
      <c r="K82" s="383"/>
      <c r="L82" s="384"/>
      <c r="M82" s="384"/>
      <c r="N82" s="384"/>
      <c r="O82" s="384"/>
      <c r="P82" s="384"/>
      <c r="Q82" s="384"/>
      <c r="R82" s="384"/>
      <c r="S82" s="385"/>
      <c r="T82" s="386"/>
      <c r="U82" s="387"/>
      <c r="V82" s="388"/>
      <c r="W82" s="388"/>
      <c r="X82" s="389"/>
      <c r="Y82" s="389"/>
      <c r="Z82" s="389"/>
      <c r="AA82" s="389"/>
      <c r="AB82" s="389"/>
      <c r="AC82" s="389"/>
      <c r="AD82" s="390"/>
      <c r="AF82" s="50"/>
    </row>
    <row r="83" spans="1:32" ht="30" customHeight="1">
      <c r="A83" s="358">
        <f>A82+1</f>
        <v>2</v>
      </c>
      <c r="B83" s="359"/>
      <c r="C83" s="294"/>
      <c r="D83" s="294"/>
      <c r="E83" s="32"/>
      <c r="F83" s="359"/>
      <c r="G83" s="359"/>
      <c r="H83" s="359"/>
      <c r="I83" s="359"/>
      <c r="J83" s="359"/>
      <c r="K83" s="374"/>
      <c r="L83" s="375"/>
      <c r="M83" s="375"/>
      <c r="N83" s="375"/>
      <c r="O83" s="375"/>
      <c r="P83" s="375"/>
      <c r="Q83" s="375"/>
      <c r="R83" s="375"/>
      <c r="S83" s="376"/>
      <c r="T83" s="377"/>
      <c r="U83" s="377"/>
      <c r="V83" s="377"/>
      <c r="W83" s="377"/>
      <c r="X83" s="378"/>
      <c r="Y83" s="378"/>
      <c r="Z83" s="378"/>
      <c r="AA83" s="378"/>
      <c r="AB83" s="378"/>
      <c r="AC83" s="378"/>
      <c r="AD83" s="379"/>
      <c r="AF83" s="50"/>
    </row>
    <row r="84" spans="1:32" ht="30" customHeight="1">
      <c r="A84" s="358">
        <f t="shared" ref="A84:A88" si="12">A83+1</f>
        <v>3</v>
      </c>
      <c r="B84" s="359"/>
      <c r="C84" s="294"/>
      <c r="D84" s="294"/>
      <c r="E84" s="32"/>
      <c r="F84" s="359"/>
      <c r="G84" s="359"/>
      <c r="H84" s="359"/>
      <c r="I84" s="359"/>
      <c r="J84" s="359"/>
      <c r="K84" s="374"/>
      <c r="L84" s="375"/>
      <c r="M84" s="375"/>
      <c r="N84" s="375"/>
      <c r="O84" s="375"/>
      <c r="P84" s="375"/>
      <c r="Q84" s="375"/>
      <c r="R84" s="375"/>
      <c r="S84" s="376"/>
      <c r="T84" s="377"/>
      <c r="U84" s="377"/>
      <c r="V84" s="377"/>
      <c r="W84" s="377"/>
      <c r="X84" s="378"/>
      <c r="Y84" s="378"/>
      <c r="Z84" s="378"/>
      <c r="AA84" s="378"/>
      <c r="AB84" s="378"/>
      <c r="AC84" s="378"/>
      <c r="AD84" s="379"/>
      <c r="AF84" s="50"/>
    </row>
    <row r="85" spans="1:32" ht="30" customHeight="1">
      <c r="A85" s="358">
        <f t="shared" si="12"/>
        <v>4</v>
      </c>
      <c r="B85" s="359"/>
      <c r="C85" s="294"/>
      <c r="D85" s="294"/>
      <c r="E85" s="32"/>
      <c r="F85" s="359"/>
      <c r="G85" s="359"/>
      <c r="H85" s="359"/>
      <c r="I85" s="359"/>
      <c r="J85" s="359"/>
      <c r="K85" s="374"/>
      <c r="L85" s="375"/>
      <c r="M85" s="375"/>
      <c r="N85" s="375"/>
      <c r="O85" s="375"/>
      <c r="P85" s="375"/>
      <c r="Q85" s="375"/>
      <c r="R85" s="375"/>
      <c r="S85" s="376"/>
      <c r="T85" s="377"/>
      <c r="U85" s="377"/>
      <c r="V85" s="377"/>
      <c r="W85" s="377"/>
      <c r="X85" s="378"/>
      <c r="Y85" s="378"/>
      <c r="Z85" s="378"/>
      <c r="AA85" s="378"/>
      <c r="AB85" s="378"/>
      <c r="AC85" s="378"/>
      <c r="AD85" s="379"/>
      <c r="AF85" s="50"/>
    </row>
    <row r="86" spans="1:32" ht="30" customHeight="1">
      <c r="A86" s="358">
        <f t="shared" si="12"/>
        <v>5</v>
      </c>
      <c r="B86" s="359"/>
      <c r="C86" s="294"/>
      <c r="D86" s="294"/>
      <c r="E86" s="32"/>
      <c r="F86" s="359"/>
      <c r="G86" s="359"/>
      <c r="H86" s="359"/>
      <c r="I86" s="359"/>
      <c r="J86" s="359"/>
      <c r="K86" s="374"/>
      <c r="L86" s="375"/>
      <c r="M86" s="375"/>
      <c r="N86" s="375"/>
      <c r="O86" s="375"/>
      <c r="P86" s="375"/>
      <c r="Q86" s="375"/>
      <c r="R86" s="375"/>
      <c r="S86" s="376"/>
      <c r="T86" s="377"/>
      <c r="U86" s="377"/>
      <c r="V86" s="377"/>
      <c r="W86" s="377"/>
      <c r="X86" s="378"/>
      <c r="Y86" s="378"/>
      <c r="Z86" s="378"/>
      <c r="AA86" s="378"/>
      <c r="AB86" s="378"/>
      <c r="AC86" s="378"/>
      <c r="AD86" s="379"/>
      <c r="AF86" s="50"/>
    </row>
    <row r="87" spans="1:32" ht="30" customHeight="1">
      <c r="A87" s="358">
        <f t="shared" si="12"/>
        <v>6</v>
      </c>
      <c r="B87" s="359"/>
      <c r="C87" s="294"/>
      <c r="D87" s="294"/>
      <c r="E87" s="32"/>
      <c r="F87" s="359"/>
      <c r="G87" s="359"/>
      <c r="H87" s="359"/>
      <c r="I87" s="359"/>
      <c r="J87" s="359"/>
      <c r="K87" s="374"/>
      <c r="L87" s="375"/>
      <c r="M87" s="375"/>
      <c r="N87" s="375"/>
      <c r="O87" s="375"/>
      <c r="P87" s="375"/>
      <c r="Q87" s="375"/>
      <c r="R87" s="375"/>
      <c r="S87" s="376"/>
      <c r="T87" s="377"/>
      <c r="U87" s="377"/>
      <c r="V87" s="377"/>
      <c r="W87" s="377"/>
      <c r="X87" s="378"/>
      <c r="Y87" s="378"/>
      <c r="Z87" s="378"/>
      <c r="AA87" s="378"/>
      <c r="AB87" s="378"/>
      <c r="AC87" s="378"/>
      <c r="AD87" s="379"/>
      <c r="AF87" s="50"/>
    </row>
    <row r="88" spans="1:32" ht="30" customHeight="1">
      <c r="A88" s="358">
        <f t="shared" si="12"/>
        <v>7</v>
      </c>
      <c r="B88" s="359"/>
      <c r="C88" s="294"/>
      <c r="D88" s="294"/>
      <c r="E88" s="32"/>
      <c r="F88" s="359"/>
      <c r="G88" s="359"/>
      <c r="H88" s="359"/>
      <c r="I88" s="359"/>
      <c r="J88" s="359"/>
      <c r="K88" s="374"/>
      <c r="L88" s="375"/>
      <c r="M88" s="375"/>
      <c r="N88" s="375"/>
      <c r="O88" s="375"/>
      <c r="P88" s="375"/>
      <c r="Q88" s="375"/>
      <c r="R88" s="375"/>
      <c r="S88" s="376"/>
      <c r="T88" s="377"/>
      <c r="U88" s="377"/>
      <c r="V88" s="377"/>
      <c r="W88" s="377"/>
      <c r="X88" s="378"/>
      <c r="Y88" s="378"/>
      <c r="Z88" s="378"/>
      <c r="AA88" s="378"/>
      <c r="AB88" s="378"/>
      <c r="AC88" s="378"/>
      <c r="AD88" s="379"/>
      <c r="AF88" s="50"/>
    </row>
    <row r="89" spans="1:32" ht="36" thickBot="1">
      <c r="A89" s="371" t="s">
        <v>781</v>
      </c>
      <c r="B89" s="371"/>
      <c r="C89" s="371"/>
      <c r="D89" s="371"/>
      <c r="E89" s="371"/>
      <c r="F89" s="37"/>
      <c r="G89" s="37"/>
      <c r="H89" s="38"/>
      <c r="I89" s="38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F89" s="50"/>
    </row>
    <row r="90" spans="1:32" ht="30.75" customHeight="1" thickBot="1">
      <c r="A90" s="372" t="s">
        <v>111</v>
      </c>
      <c r="B90" s="373"/>
      <c r="C90" s="363" t="s">
        <v>52</v>
      </c>
      <c r="D90" s="363"/>
      <c r="E90" s="363" t="s">
        <v>53</v>
      </c>
      <c r="F90" s="363"/>
      <c r="G90" s="363"/>
      <c r="H90" s="363"/>
      <c r="I90" s="363"/>
      <c r="J90" s="363"/>
      <c r="K90" s="363" t="s">
        <v>54</v>
      </c>
      <c r="L90" s="363"/>
      <c r="M90" s="363"/>
      <c r="N90" s="363"/>
      <c r="O90" s="363"/>
      <c r="P90" s="363"/>
      <c r="Q90" s="363"/>
      <c r="R90" s="363"/>
      <c r="S90" s="363"/>
      <c r="T90" s="363" t="s">
        <v>55</v>
      </c>
      <c r="U90" s="363"/>
      <c r="V90" s="363" t="s">
        <v>56</v>
      </c>
      <c r="W90" s="363"/>
      <c r="X90" s="363"/>
      <c r="Y90" s="363" t="s">
        <v>51</v>
      </c>
      <c r="Z90" s="363"/>
      <c r="AA90" s="363"/>
      <c r="AB90" s="363"/>
      <c r="AC90" s="363"/>
      <c r="AD90" s="364"/>
      <c r="AF90" s="50"/>
    </row>
    <row r="91" spans="1:32" ht="30.75" customHeight="1">
      <c r="A91" s="365">
        <v>1</v>
      </c>
      <c r="B91" s="366"/>
      <c r="C91" s="367"/>
      <c r="D91" s="367"/>
      <c r="E91" s="367"/>
      <c r="F91" s="367"/>
      <c r="G91" s="367"/>
      <c r="H91" s="367"/>
      <c r="I91" s="367"/>
      <c r="J91" s="367"/>
      <c r="K91" s="367"/>
      <c r="L91" s="367"/>
      <c r="M91" s="367"/>
      <c r="N91" s="367"/>
      <c r="O91" s="367"/>
      <c r="P91" s="367"/>
      <c r="Q91" s="367"/>
      <c r="R91" s="367"/>
      <c r="S91" s="367"/>
      <c r="T91" s="367"/>
      <c r="U91" s="367"/>
      <c r="V91" s="368"/>
      <c r="W91" s="368"/>
      <c r="X91" s="368"/>
      <c r="Y91" s="369"/>
      <c r="Z91" s="369"/>
      <c r="AA91" s="369"/>
      <c r="AB91" s="369"/>
      <c r="AC91" s="369"/>
      <c r="AD91" s="370"/>
      <c r="AF91" s="50"/>
    </row>
    <row r="92" spans="1:32" ht="30.75" customHeight="1">
      <c r="A92" s="358">
        <v>2</v>
      </c>
      <c r="B92" s="359"/>
      <c r="C92" s="360"/>
      <c r="D92" s="360"/>
      <c r="E92" s="360"/>
      <c r="F92" s="360"/>
      <c r="G92" s="360"/>
      <c r="H92" s="360"/>
      <c r="I92" s="360"/>
      <c r="J92" s="360"/>
      <c r="K92" s="360"/>
      <c r="L92" s="360"/>
      <c r="M92" s="360"/>
      <c r="N92" s="360"/>
      <c r="O92" s="360"/>
      <c r="P92" s="360"/>
      <c r="Q92" s="360"/>
      <c r="R92" s="360"/>
      <c r="S92" s="360"/>
      <c r="T92" s="361"/>
      <c r="U92" s="361"/>
      <c r="V92" s="362"/>
      <c r="W92" s="362"/>
      <c r="X92" s="362"/>
      <c r="Y92" s="350"/>
      <c r="Z92" s="350"/>
      <c r="AA92" s="350"/>
      <c r="AB92" s="350"/>
      <c r="AC92" s="350"/>
      <c r="AD92" s="351"/>
      <c r="AF92" s="50"/>
    </row>
    <row r="93" spans="1:32" ht="30.75" customHeight="1" thickBot="1">
      <c r="A93" s="352">
        <v>3</v>
      </c>
      <c r="B93" s="353"/>
      <c r="C93" s="354"/>
      <c r="D93" s="354"/>
      <c r="E93" s="354"/>
      <c r="F93" s="354"/>
      <c r="G93" s="354"/>
      <c r="H93" s="354"/>
      <c r="I93" s="354"/>
      <c r="J93" s="354"/>
      <c r="K93" s="354"/>
      <c r="L93" s="354"/>
      <c r="M93" s="354"/>
      <c r="N93" s="354"/>
      <c r="O93" s="354"/>
      <c r="P93" s="354"/>
      <c r="Q93" s="354"/>
      <c r="R93" s="354"/>
      <c r="S93" s="354"/>
      <c r="T93" s="354"/>
      <c r="U93" s="354"/>
      <c r="V93" s="355"/>
      <c r="W93" s="355"/>
      <c r="X93" s="355"/>
      <c r="Y93" s="356"/>
      <c r="Z93" s="356"/>
      <c r="AA93" s="356"/>
      <c r="AB93" s="356"/>
      <c r="AC93" s="356"/>
      <c r="AD93" s="357"/>
      <c r="AF93" s="50"/>
    </row>
  </sheetData>
  <mergeCells count="232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8:H28"/>
    <mergeCell ref="A55:E55"/>
    <mergeCell ref="A56:M56"/>
    <mergeCell ref="N56:AD56"/>
    <mergeCell ref="A57:B57"/>
    <mergeCell ref="F57:M57"/>
    <mergeCell ref="P57:Q57"/>
    <mergeCell ref="R57:U57"/>
    <mergeCell ref="V57:AD57"/>
    <mergeCell ref="I4:O4"/>
    <mergeCell ref="P4:Q4"/>
    <mergeCell ref="R4:V4"/>
    <mergeCell ref="W4:AA4"/>
    <mergeCell ref="AB4:AB5"/>
    <mergeCell ref="AC4:AC5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R66:U66"/>
    <mergeCell ref="V66:AD66"/>
    <mergeCell ref="A67:B67"/>
    <mergeCell ref="F67:M67"/>
    <mergeCell ref="P67:Q67"/>
    <mergeCell ref="R67:U67"/>
    <mergeCell ref="V67:AD67"/>
    <mergeCell ref="A64:B64"/>
    <mergeCell ref="F64:M64"/>
    <mergeCell ref="P64:Q64"/>
    <mergeCell ref="R64:U64"/>
    <mergeCell ref="V64:AD64"/>
    <mergeCell ref="A65:B65"/>
    <mergeCell ref="F65:M65"/>
    <mergeCell ref="P65:Q65"/>
    <mergeCell ref="R65:U65"/>
    <mergeCell ref="V65:AD65"/>
    <mergeCell ref="A68:E68"/>
    <mergeCell ref="A69:B69"/>
    <mergeCell ref="F69:J69"/>
    <mergeCell ref="K69:L69"/>
    <mergeCell ref="N69:O69"/>
    <mergeCell ref="P69:Q69"/>
    <mergeCell ref="A66:B66"/>
    <mergeCell ref="F66:M66"/>
    <mergeCell ref="P66:Q66"/>
    <mergeCell ref="R69:AA69"/>
    <mergeCell ref="AB69:AD69"/>
    <mergeCell ref="A70:B70"/>
    <mergeCell ref="F70:J70"/>
    <mergeCell ref="K70:L70"/>
    <mergeCell ref="N70:O70"/>
    <mergeCell ref="P70:Q70"/>
    <mergeCell ref="R70:AA70"/>
    <mergeCell ref="AB70:AD70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AB73:AD73"/>
    <mergeCell ref="A74:B74"/>
    <mergeCell ref="F74:J74"/>
    <mergeCell ref="K74:L74"/>
    <mergeCell ref="N74:O74"/>
    <mergeCell ref="P74:Q74"/>
    <mergeCell ref="R74:AA74"/>
    <mergeCell ref="AB74:AD74"/>
    <mergeCell ref="A73:B73"/>
    <mergeCell ref="F73:J73"/>
    <mergeCell ref="K73:L73"/>
    <mergeCell ref="N73:O73"/>
    <mergeCell ref="P73:Q73"/>
    <mergeCell ref="R73:AA73"/>
    <mergeCell ref="AB75:AD75"/>
    <mergeCell ref="A76:B76"/>
    <mergeCell ref="F76:J76"/>
    <mergeCell ref="K76:L76"/>
    <mergeCell ref="N76:O76"/>
    <mergeCell ref="P76:Q76"/>
    <mergeCell ref="R76:AA76"/>
    <mergeCell ref="AB76:AD76"/>
    <mergeCell ref="A75:B75"/>
    <mergeCell ref="F75:J75"/>
    <mergeCell ref="K75:L75"/>
    <mergeCell ref="N75:O75"/>
    <mergeCell ref="P75:Q75"/>
    <mergeCell ref="R75:AA75"/>
    <mergeCell ref="AB77:AD77"/>
    <mergeCell ref="A78:B78"/>
    <mergeCell ref="F78:J78"/>
    <mergeCell ref="K78:L78"/>
    <mergeCell ref="N78:O78"/>
    <mergeCell ref="P78:Q78"/>
    <mergeCell ref="R78:AA78"/>
    <mergeCell ref="AB78:AD78"/>
    <mergeCell ref="A77:B77"/>
    <mergeCell ref="F77:J77"/>
    <mergeCell ref="K77:L77"/>
    <mergeCell ref="N77:O77"/>
    <mergeCell ref="P77:Q77"/>
    <mergeCell ref="R77:AA77"/>
    <mergeCell ref="AB79:AD79"/>
    <mergeCell ref="A80:E80"/>
    <mergeCell ref="A81:B81"/>
    <mergeCell ref="F81:J81"/>
    <mergeCell ref="K81:S81"/>
    <mergeCell ref="T81:U81"/>
    <mergeCell ref="V81:W81"/>
    <mergeCell ref="X81:AD81"/>
    <mergeCell ref="A79:B79"/>
    <mergeCell ref="F79:J79"/>
    <mergeCell ref="K79:L79"/>
    <mergeCell ref="N79:O79"/>
    <mergeCell ref="P79:Q79"/>
    <mergeCell ref="R79:AA79"/>
    <mergeCell ref="A83:B83"/>
    <mergeCell ref="F83:J83"/>
    <mergeCell ref="K83:S83"/>
    <mergeCell ref="T83:U83"/>
    <mergeCell ref="V83:W83"/>
    <mergeCell ref="X83:AD83"/>
    <mergeCell ref="A82:B82"/>
    <mergeCell ref="F82:J82"/>
    <mergeCell ref="K82:S82"/>
    <mergeCell ref="T82:U82"/>
    <mergeCell ref="V82:W82"/>
    <mergeCell ref="X82:AD82"/>
    <mergeCell ref="A85:B85"/>
    <mergeCell ref="F85:J85"/>
    <mergeCell ref="K85:S85"/>
    <mergeCell ref="T85:U85"/>
    <mergeCell ref="V85:W85"/>
    <mergeCell ref="X85:AD85"/>
    <mergeCell ref="A84:B84"/>
    <mergeCell ref="F84:J84"/>
    <mergeCell ref="K84:S84"/>
    <mergeCell ref="T84:U84"/>
    <mergeCell ref="V84:W84"/>
    <mergeCell ref="X84:AD84"/>
    <mergeCell ref="V88:W88"/>
    <mergeCell ref="X88:AD88"/>
    <mergeCell ref="A87:B87"/>
    <mergeCell ref="F87:J87"/>
    <mergeCell ref="K87:S87"/>
    <mergeCell ref="T87:U87"/>
    <mergeCell ref="V87:W87"/>
    <mergeCell ref="X87:AD87"/>
    <mergeCell ref="A86:B86"/>
    <mergeCell ref="F86:J86"/>
    <mergeCell ref="K86:S86"/>
    <mergeCell ref="T86:U86"/>
    <mergeCell ref="V86:W86"/>
    <mergeCell ref="X86:AD86"/>
    <mergeCell ref="A89:E89"/>
    <mergeCell ref="A90:B90"/>
    <mergeCell ref="C90:D90"/>
    <mergeCell ref="E90:J90"/>
    <mergeCell ref="K90:S90"/>
    <mergeCell ref="T90:U90"/>
    <mergeCell ref="A88:B88"/>
    <mergeCell ref="F88:J88"/>
    <mergeCell ref="K88:S88"/>
    <mergeCell ref="T88:U88"/>
    <mergeCell ref="V90:X90"/>
    <mergeCell ref="Y90:AD90"/>
    <mergeCell ref="A91:B91"/>
    <mergeCell ref="C91:D91"/>
    <mergeCell ref="E91:J91"/>
    <mergeCell ref="K91:S91"/>
    <mergeCell ref="T91:U91"/>
    <mergeCell ref="V91:X91"/>
    <mergeCell ref="Y91:AD91"/>
    <mergeCell ref="Y92:AD92"/>
    <mergeCell ref="A93:B93"/>
    <mergeCell ref="C93:D93"/>
    <mergeCell ref="E93:J93"/>
    <mergeCell ref="K93:S93"/>
    <mergeCell ref="T93:U93"/>
    <mergeCell ref="V93:X93"/>
    <mergeCell ref="Y93:AD93"/>
    <mergeCell ref="A92:B92"/>
    <mergeCell ref="C92:D92"/>
    <mergeCell ref="E92:J92"/>
    <mergeCell ref="K92:S92"/>
    <mergeCell ref="T92:U92"/>
    <mergeCell ref="V92:X92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r:id="rId1"/>
  <rowBreaks count="1" manualBreakCount="1">
    <brk id="53" max="29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17AEA-E642-4C45-8047-BF531B552930}">
  <sheetPr codeName="Sheet18">
    <pageSetUpPr fitToPage="1"/>
  </sheetPr>
  <dimension ref="A1:AF93"/>
  <sheetViews>
    <sheetView view="pageBreakPreview" zoomScale="70" zoomScaleNormal="72" zoomScaleSheetLayoutView="70" workbookViewId="0">
      <selection activeCell="A90" sqref="A90:B90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1" bestFit="1" customWidth="1"/>
    <col min="33" max="33" width="17.625" style="50" customWidth="1"/>
    <col min="34" max="16384" width="9" style="50"/>
  </cols>
  <sheetData>
    <row r="1" spans="1:32" ht="44.25" customHeight="1">
      <c r="A1" s="461" t="s">
        <v>782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61"/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62"/>
      <c r="B3" s="462"/>
      <c r="C3" s="462"/>
      <c r="D3" s="462"/>
      <c r="E3" s="462"/>
      <c r="F3" s="462"/>
      <c r="G3" s="462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63" t="s">
        <v>0</v>
      </c>
      <c r="B4" s="465" t="s">
        <v>1</v>
      </c>
      <c r="C4" s="465" t="s">
        <v>2</v>
      </c>
      <c r="D4" s="468" t="s">
        <v>3</v>
      </c>
      <c r="E4" s="470" t="s">
        <v>4</v>
      </c>
      <c r="F4" s="468" t="s">
        <v>5</v>
      </c>
      <c r="G4" s="465" t="s">
        <v>6</v>
      </c>
      <c r="H4" s="471" t="s">
        <v>7</v>
      </c>
      <c r="I4" s="451" t="s">
        <v>8</v>
      </c>
      <c r="J4" s="452"/>
      <c r="K4" s="452"/>
      <c r="L4" s="452"/>
      <c r="M4" s="452"/>
      <c r="N4" s="452"/>
      <c r="O4" s="453"/>
      <c r="P4" s="454" t="s">
        <v>9</v>
      </c>
      <c r="Q4" s="455"/>
      <c r="R4" s="456" t="s">
        <v>10</v>
      </c>
      <c r="S4" s="457"/>
      <c r="T4" s="457"/>
      <c r="U4" s="457"/>
      <c r="V4" s="458"/>
      <c r="W4" s="457" t="s">
        <v>11</v>
      </c>
      <c r="X4" s="457"/>
      <c r="Y4" s="457"/>
      <c r="Z4" s="457"/>
      <c r="AA4" s="458"/>
      <c r="AB4" s="459" t="s">
        <v>12</v>
      </c>
      <c r="AC4" s="433" t="s">
        <v>13</v>
      </c>
      <c r="AD4" s="433" t="s">
        <v>14</v>
      </c>
      <c r="AE4" s="54"/>
    </row>
    <row r="5" spans="1:32" ht="51" customHeight="1" thickBot="1">
      <c r="A5" s="464"/>
      <c r="B5" s="466"/>
      <c r="C5" s="467"/>
      <c r="D5" s="469"/>
      <c r="E5" s="469"/>
      <c r="F5" s="469"/>
      <c r="G5" s="466"/>
      <c r="H5" s="472"/>
      <c r="I5" s="55" t="s">
        <v>15</v>
      </c>
      <c r="J5" s="56" t="s">
        <v>16</v>
      </c>
      <c r="K5" s="321" t="s">
        <v>17</v>
      </c>
      <c r="L5" s="321" t="s">
        <v>18</v>
      </c>
      <c r="M5" s="321" t="s">
        <v>19</v>
      </c>
      <c r="N5" s="321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60"/>
      <c r="AC5" s="434"/>
      <c r="AD5" s="434"/>
      <c r="AE5" s="54"/>
    </row>
    <row r="6" spans="1:32" ht="27" customHeight="1">
      <c r="A6" s="106">
        <v>1</v>
      </c>
      <c r="B6" s="11" t="s">
        <v>57</v>
      </c>
      <c r="C6" s="34" t="s">
        <v>127</v>
      </c>
      <c r="D6" s="52" t="s">
        <v>129</v>
      </c>
      <c r="E6" s="53" t="s">
        <v>311</v>
      </c>
      <c r="F6" s="30" t="s">
        <v>321</v>
      </c>
      <c r="G6" s="12">
        <v>2</v>
      </c>
      <c r="H6" s="13">
        <v>24</v>
      </c>
      <c r="I6" s="31">
        <v>20000</v>
      </c>
      <c r="J6" s="14">
        <v>844</v>
      </c>
      <c r="K6" s="15">
        <f>L6</f>
        <v>0</v>
      </c>
      <c r="L6" s="15"/>
      <c r="M6" s="15">
        <f t="shared" ref="M6:M27" si="0">L6-N6</f>
        <v>0</v>
      </c>
      <c r="N6" s="15">
        <v>0</v>
      </c>
      <c r="O6" s="58" t="str">
        <f t="shared" ref="O6:O28" si="1">IF(L6=0,"0",N6/L6)</f>
        <v>0</v>
      </c>
      <c r="P6" s="39" t="str">
        <f t="shared" ref="P6:P27" si="2">IF(L6=0,"0",(24-Q6))</f>
        <v>0</v>
      </c>
      <c r="Q6" s="40">
        <f t="shared" ref="Q6:Q27" si="3">SUM(R6:AA6)</f>
        <v>48</v>
      </c>
      <c r="R6" s="7"/>
      <c r="S6" s="6">
        <v>24</v>
      </c>
      <c r="T6" s="16"/>
      <c r="U6" s="16"/>
      <c r="V6" s="17"/>
      <c r="W6" s="5"/>
      <c r="X6" s="16"/>
      <c r="Y6" s="16"/>
      <c r="Z6" s="16"/>
      <c r="AA6" s="18">
        <v>24</v>
      </c>
      <c r="AB6" s="8">
        <f t="shared" ref="AB6:AB27" si="4">IF(J6=0,"0",(L6/J6))</f>
        <v>0</v>
      </c>
      <c r="AC6" s="9">
        <f t="shared" ref="AC6:AC27" si="5">IF(P6=0,"0",(P6/24))</f>
        <v>0</v>
      </c>
      <c r="AD6" s="10">
        <f>AC6*AB6*(1-O6)</f>
        <v>0</v>
      </c>
      <c r="AE6" s="36">
        <f t="shared" ref="AE6:AE27" si="6">$AD$28</f>
        <v>0.40909090909090901</v>
      </c>
      <c r="AF6" s="81">
        <f t="shared" ref="AF6:AF27" si="7">A6</f>
        <v>1</v>
      </c>
    </row>
    <row r="7" spans="1:32" ht="27" customHeight="1">
      <c r="A7" s="106">
        <v>2</v>
      </c>
      <c r="B7" s="11" t="s">
        <v>57</v>
      </c>
      <c r="C7" s="34" t="s">
        <v>112</v>
      </c>
      <c r="D7" s="52" t="s">
        <v>140</v>
      </c>
      <c r="E7" s="53" t="s">
        <v>315</v>
      </c>
      <c r="F7" s="30" t="s">
        <v>139</v>
      </c>
      <c r="G7" s="12">
        <v>1</v>
      </c>
      <c r="H7" s="13">
        <v>24</v>
      </c>
      <c r="I7" s="31">
        <v>55000</v>
      </c>
      <c r="J7" s="14">
        <v>5609</v>
      </c>
      <c r="K7" s="15">
        <f>L7+4962+5479+5974</f>
        <v>22024</v>
      </c>
      <c r="L7" s="15">
        <f>2629+2980</f>
        <v>5609</v>
      </c>
      <c r="M7" s="15">
        <f t="shared" si="0"/>
        <v>5609</v>
      </c>
      <c r="N7" s="15">
        <v>0</v>
      </c>
      <c r="O7" s="58">
        <f t="shared" si="1"/>
        <v>0</v>
      </c>
      <c r="P7" s="39">
        <f t="shared" si="2"/>
        <v>24</v>
      </c>
      <c r="Q7" s="40">
        <f t="shared" si="3"/>
        <v>0</v>
      </c>
      <c r="R7" s="7"/>
      <c r="S7" s="6"/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1</v>
      </c>
      <c r="AD7" s="10">
        <f t="shared" ref="AD7:AD27" si="8">AC7*AB7*(1-O7)</f>
        <v>1</v>
      </c>
      <c r="AE7" s="36">
        <f t="shared" si="6"/>
        <v>0.40909090909090901</v>
      </c>
      <c r="AF7" s="81">
        <f t="shared" si="7"/>
        <v>2</v>
      </c>
    </row>
    <row r="8" spans="1:32" ht="27" customHeight="1">
      <c r="A8" s="92">
        <v>3</v>
      </c>
      <c r="B8" s="11" t="s">
        <v>57</v>
      </c>
      <c r="C8" s="34" t="s">
        <v>116</v>
      </c>
      <c r="D8" s="52" t="s">
        <v>147</v>
      </c>
      <c r="E8" s="53" t="s">
        <v>783</v>
      </c>
      <c r="F8" s="30" t="s">
        <v>286</v>
      </c>
      <c r="G8" s="12">
        <v>1</v>
      </c>
      <c r="H8" s="13">
        <v>22</v>
      </c>
      <c r="I8" s="31">
        <v>500</v>
      </c>
      <c r="J8" s="5">
        <v>900</v>
      </c>
      <c r="K8" s="15">
        <f>L8</f>
        <v>900</v>
      </c>
      <c r="L8" s="15">
        <f>900</f>
        <v>900</v>
      </c>
      <c r="M8" s="15">
        <f t="shared" si="0"/>
        <v>900</v>
      </c>
      <c r="N8" s="15">
        <v>0</v>
      </c>
      <c r="O8" s="58">
        <f t="shared" si="1"/>
        <v>0</v>
      </c>
      <c r="P8" s="39">
        <f t="shared" si="2"/>
        <v>6</v>
      </c>
      <c r="Q8" s="40">
        <f t="shared" si="3"/>
        <v>18</v>
      </c>
      <c r="R8" s="7"/>
      <c r="S8" s="6"/>
      <c r="T8" s="16"/>
      <c r="U8" s="16"/>
      <c r="V8" s="17"/>
      <c r="W8" s="5"/>
      <c r="X8" s="16"/>
      <c r="Y8" s="16"/>
      <c r="Z8" s="16"/>
      <c r="AA8" s="18">
        <v>18</v>
      </c>
      <c r="AB8" s="8">
        <f t="shared" si="4"/>
        <v>1</v>
      </c>
      <c r="AC8" s="9">
        <f t="shared" si="5"/>
        <v>0.25</v>
      </c>
      <c r="AD8" s="10">
        <f t="shared" si="8"/>
        <v>0.25</v>
      </c>
      <c r="AE8" s="36">
        <f t="shared" si="6"/>
        <v>0.40909090909090901</v>
      </c>
      <c r="AF8" s="81">
        <f t="shared" si="7"/>
        <v>3</v>
      </c>
    </row>
    <row r="9" spans="1:32" ht="27" customHeight="1">
      <c r="A9" s="92">
        <v>4</v>
      </c>
      <c r="B9" s="11" t="s">
        <v>57</v>
      </c>
      <c r="C9" s="34" t="s">
        <v>116</v>
      </c>
      <c r="D9" s="52" t="s">
        <v>284</v>
      </c>
      <c r="E9" s="53" t="s">
        <v>312</v>
      </c>
      <c r="F9" s="30" t="s">
        <v>323</v>
      </c>
      <c r="G9" s="12">
        <v>1</v>
      </c>
      <c r="H9" s="13">
        <v>24</v>
      </c>
      <c r="I9" s="7">
        <v>60000</v>
      </c>
      <c r="J9" s="14">
        <v>5987</v>
      </c>
      <c r="K9" s="15">
        <f>L9+3954+360+4890+6432+4873+5904+4751+4306+5070+5164+5544+6344</f>
        <v>63579</v>
      </c>
      <c r="L9" s="15">
        <f>3126+2861</f>
        <v>5987</v>
      </c>
      <c r="M9" s="15">
        <f t="shared" si="0"/>
        <v>5987</v>
      </c>
      <c r="N9" s="15">
        <v>0</v>
      </c>
      <c r="O9" s="58">
        <f t="shared" si="1"/>
        <v>0</v>
      </c>
      <c r="P9" s="39">
        <f t="shared" si="2"/>
        <v>24</v>
      </c>
      <c r="Q9" s="40">
        <f t="shared" si="3"/>
        <v>0</v>
      </c>
      <c r="R9" s="7"/>
      <c r="S9" s="6"/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1</v>
      </c>
      <c r="AD9" s="10">
        <f t="shared" si="8"/>
        <v>1</v>
      </c>
      <c r="AE9" s="36">
        <f t="shared" si="6"/>
        <v>0.40909090909090901</v>
      </c>
      <c r="AF9" s="81">
        <f t="shared" si="7"/>
        <v>4</v>
      </c>
    </row>
    <row r="10" spans="1:32" ht="27" customHeight="1">
      <c r="A10" s="92">
        <v>5</v>
      </c>
      <c r="B10" s="11" t="s">
        <v>57</v>
      </c>
      <c r="C10" s="11" t="s">
        <v>112</v>
      </c>
      <c r="D10" s="52" t="s">
        <v>121</v>
      </c>
      <c r="E10" s="53" t="s">
        <v>188</v>
      </c>
      <c r="F10" s="30" t="s">
        <v>124</v>
      </c>
      <c r="G10" s="33">
        <v>1</v>
      </c>
      <c r="H10" s="35">
        <v>24</v>
      </c>
      <c r="I10" s="7">
        <v>115000</v>
      </c>
      <c r="J10" s="14">
        <v>1203</v>
      </c>
      <c r="K10" s="15">
        <f>L10+5338+5669+5744+4980+3619+1932+309+2790+5660+4715+1739+3127+5884</f>
        <v>52709</v>
      </c>
      <c r="L10" s="15">
        <v>1203</v>
      </c>
      <c r="M10" s="15">
        <f t="shared" si="0"/>
        <v>1203</v>
      </c>
      <c r="N10" s="15">
        <v>0</v>
      </c>
      <c r="O10" s="58">
        <f t="shared" si="1"/>
        <v>0</v>
      </c>
      <c r="P10" s="39">
        <f t="shared" si="2"/>
        <v>6</v>
      </c>
      <c r="Q10" s="40">
        <f t="shared" si="3"/>
        <v>18</v>
      </c>
      <c r="R10" s="7"/>
      <c r="S10" s="6">
        <v>18</v>
      </c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0.25</v>
      </c>
      <c r="AD10" s="10">
        <f t="shared" si="8"/>
        <v>0.25</v>
      </c>
      <c r="AE10" s="36">
        <f t="shared" si="6"/>
        <v>0.40909090909090901</v>
      </c>
      <c r="AF10" s="81">
        <f t="shared" si="7"/>
        <v>5</v>
      </c>
    </row>
    <row r="11" spans="1:32" ht="27" customHeight="1">
      <c r="A11" s="92">
        <v>6</v>
      </c>
      <c r="B11" s="11" t="s">
        <v>57</v>
      </c>
      <c r="C11" s="11" t="s">
        <v>127</v>
      </c>
      <c r="D11" s="52" t="s">
        <v>209</v>
      </c>
      <c r="E11" s="53" t="s">
        <v>784</v>
      </c>
      <c r="F11" s="30" t="s">
        <v>327</v>
      </c>
      <c r="G11" s="33">
        <v>1</v>
      </c>
      <c r="H11" s="35">
        <v>24</v>
      </c>
      <c r="I11" s="7">
        <v>3000</v>
      </c>
      <c r="J11" s="14">
        <v>2139</v>
      </c>
      <c r="K11" s="15">
        <f>L11</f>
        <v>2139</v>
      </c>
      <c r="L11" s="15">
        <f>2139</f>
        <v>2139</v>
      </c>
      <c r="M11" s="15">
        <f t="shared" si="0"/>
        <v>2139</v>
      </c>
      <c r="N11" s="15">
        <v>0</v>
      </c>
      <c r="O11" s="58">
        <f t="shared" si="1"/>
        <v>0</v>
      </c>
      <c r="P11" s="39">
        <f t="shared" si="2"/>
        <v>13</v>
      </c>
      <c r="Q11" s="40">
        <f t="shared" si="3"/>
        <v>11</v>
      </c>
      <c r="R11" s="7"/>
      <c r="S11" s="6"/>
      <c r="T11" s="16"/>
      <c r="U11" s="16"/>
      <c r="V11" s="17"/>
      <c r="W11" s="5"/>
      <c r="X11" s="16"/>
      <c r="Y11" s="16"/>
      <c r="Z11" s="16"/>
      <c r="AA11" s="18">
        <v>11</v>
      </c>
      <c r="AB11" s="8">
        <f t="shared" si="4"/>
        <v>1</v>
      </c>
      <c r="AC11" s="9">
        <f t="shared" si="5"/>
        <v>0.54166666666666663</v>
      </c>
      <c r="AD11" s="10">
        <f t="shared" si="8"/>
        <v>0.54166666666666663</v>
      </c>
      <c r="AE11" s="36">
        <f t="shared" si="6"/>
        <v>0.40909090909090901</v>
      </c>
      <c r="AF11" s="81">
        <f t="shared" si="7"/>
        <v>6</v>
      </c>
    </row>
    <row r="12" spans="1:32" ht="27" customHeight="1">
      <c r="A12" s="92">
        <v>7</v>
      </c>
      <c r="B12" s="11" t="s">
        <v>57</v>
      </c>
      <c r="C12" s="34" t="s">
        <v>112</v>
      </c>
      <c r="D12" s="52" t="s">
        <v>147</v>
      </c>
      <c r="E12" s="53" t="s">
        <v>547</v>
      </c>
      <c r="F12" s="30" t="s">
        <v>286</v>
      </c>
      <c r="G12" s="12">
        <v>1</v>
      </c>
      <c r="H12" s="13">
        <v>22</v>
      </c>
      <c r="I12" s="31">
        <v>40000</v>
      </c>
      <c r="J12" s="5">
        <v>4406</v>
      </c>
      <c r="K12" s="15">
        <f>L12+4452+3191+2676+3717+4759+5028</f>
        <v>28229</v>
      </c>
      <c r="L12" s="15">
        <f>2535+1871</f>
        <v>4406</v>
      </c>
      <c r="M12" s="15">
        <f t="shared" si="0"/>
        <v>4406</v>
      </c>
      <c r="N12" s="15">
        <v>0</v>
      </c>
      <c r="O12" s="58">
        <f t="shared" si="1"/>
        <v>0</v>
      </c>
      <c r="P12" s="39">
        <f t="shared" si="2"/>
        <v>24</v>
      </c>
      <c r="Q12" s="40">
        <f t="shared" si="3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1</v>
      </c>
      <c r="AD12" s="10">
        <f t="shared" si="8"/>
        <v>1</v>
      </c>
      <c r="AE12" s="36">
        <f t="shared" si="6"/>
        <v>0.40909090909090901</v>
      </c>
      <c r="AF12" s="81">
        <f t="shared" si="7"/>
        <v>7</v>
      </c>
    </row>
    <row r="13" spans="1:32" ht="27" customHeight="1">
      <c r="A13" s="92">
        <v>8</v>
      </c>
      <c r="B13" s="11" t="s">
        <v>57</v>
      </c>
      <c r="C13" s="11" t="s">
        <v>127</v>
      </c>
      <c r="D13" s="52" t="s">
        <v>209</v>
      </c>
      <c r="E13" s="53" t="s">
        <v>180</v>
      </c>
      <c r="F13" s="30" t="s">
        <v>123</v>
      </c>
      <c r="G13" s="33">
        <v>1</v>
      </c>
      <c r="H13" s="35">
        <v>22</v>
      </c>
      <c r="I13" s="7">
        <v>17400</v>
      </c>
      <c r="J13" s="14">
        <v>1402</v>
      </c>
      <c r="K13" s="15">
        <f>L13+3357+4440+1929+1975+4105</f>
        <v>17208</v>
      </c>
      <c r="L13" s="15">
        <f>1402</f>
        <v>1402</v>
      </c>
      <c r="M13" s="15">
        <f t="shared" si="0"/>
        <v>1402</v>
      </c>
      <c r="N13" s="15">
        <v>0</v>
      </c>
      <c r="O13" s="58">
        <f t="shared" si="1"/>
        <v>0</v>
      </c>
      <c r="P13" s="39">
        <f t="shared" si="2"/>
        <v>8</v>
      </c>
      <c r="Q13" s="40">
        <f t="shared" si="3"/>
        <v>16</v>
      </c>
      <c r="R13" s="7"/>
      <c r="S13" s="6">
        <v>16</v>
      </c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0.33333333333333331</v>
      </c>
      <c r="AD13" s="10">
        <f t="shared" si="8"/>
        <v>0.33333333333333331</v>
      </c>
      <c r="AE13" s="36">
        <f t="shared" si="6"/>
        <v>0.40909090909090901</v>
      </c>
      <c r="AF13" s="81">
        <f t="shared" si="7"/>
        <v>8</v>
      </c>
    </row>
    <row r="14" spans="1:32" ht="27" customHeight="1">
      <c r="A14" s="99">
        <v>9</v>
      </c>
      <c r="B14" s="11" t="s">
        <v>57</v>
      </c>
      <c r="C14" s="34" t="s">
        <v>759</v>
      </c>
      <c r="D14" s="52"/>
      <c r="E14" s="53" t="s">
        <v>758</v>
      </c>
      <c r="F14" s="30" t="s">
        <v>785</v>
      </c>
      <c r="G14" s="33">
        <v>1</v>
      </c>
      <c r="H14" s="35">
        <v>50</v>
      </c>
      <c r="I14" s="7">
        <v>500</v>
      </c>
      <c r="J14" s="5">
        <v>208</v>
      </c>
      <c r="K14" s="15">
        <f>L14</f>
        <v>208</v>
      </c>
      <c r="L14" s="15">
        <f>208</f>
        <v>208</v>
      </c>
      <c r="M14" s="15">
        <f t="shared" si="0"/>
        <v>208</v>
      </c>
      <c r="N14" s="15">
        <v>0</v>
      </c>
      <c r="O14" s="58">
        <f t="shared" si="1"/>
        <v>0</v>
      </c>
      <c r="P14" s="39">
        <f t="shared" si="2"/>
        <v>5</v>
      </c>
      <c r="Q14" s="40">
        <f t="shared" si="3"/>
        <v>19</v>
      </c>
      <c r="R14" s="7"/>
      <c r="S14" s="6">
        <v>19</v>
      </c>
      <c r="T14" s="16"/>
      <c r="U14" s="16"/>
      <c r="V14" s="17"/>
      <c r="W14" s="5"/>
      <c r="X14" s="16"/>
      <c r="Y14" s="16"/>
      <c r="Z14" s="16"/>
      <c r="AA14" s="18"/>
      <c r="AB14" s="8">
        <f t="shared" si="4"/>
        <v>1</v>
      </c>
      <c r="AC14" s="9">
        <f t="shared" si="5"/>
        <v>0.20833333333333334</v>
      </c>
      <c r="AD14" s="10">
        <f t="shared" si="8"/>
        <v>0.20833333333333334</v>
      </c>
      <c r="AE14" s="36">
        <f t="shared" si="6"/>
        <v>0.40909090909090901</v>
      </c>
      <c r="AF14" s="81">
        <f t="shared" si="7"/>
        <v>9</v>
      </c>
    </row>
    <row r="15" spans="1:32" ht="27" customHeight="1">
      <c r="A15" s="106">
        <v>10</v>
      </c>
      <c r="B15" s="11" t="s">
        <v>57</v>
      </c>
      <c r="C15" s="34" t="s">
        <v>112</v>
      </c>
      <c r="D15" s="52" t="s">
        <v>208</v>
      </c>
      <c r="E15" s="53" t="s">
        <v>555</v>
      </c>
      <c r="F15" s="30" t="s">
        <v>142</v>
      </c>
      <c r="G15" s="12">
        <v>1</v>
      </c>
      <c r="H15" s="13">
        <v>24</v>
      </c>
      <c r="I15" s="31">
        <v>2500</v>
      </c>
      <c r="J15" s="14">
        <v>2828</v>
      </c>
      <c r="K15" s="15">
        <f>L15+2828</f>
        <v>2828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4"/>
        <v>0</v>
      </c>
      <c r="AC15" s="9">
        <f t="shared" si="5"/>
        <v>0</v>
      </c>
      <c r="AD15" s="10">
        <f t="shared" si="8"/>
        <v>0</v>
      </c>
      <c r="AE15" s="36">
        <f t="shared" si="6"/>
        <v>0.40909090909090901</v>
      </c>
      <c r="AF15" s="81">
        <f t="shared" si="7"/>
        <v>10</v>
      </c>
    </row>
    <row r="16" spans="1:32" ht="27" customHeight="1">
      <c r="A16" s="92">
        <v>11</v>
      </c>
      <c r="B16" s="11" t="s">
        <v>57</v>
      </c>
      <c r="C16" s="34" t="s">
        <v>116</v>
      </c>
      <c r="D16" s="52" t="s">
        <v>129</v>
      </c>
      <c r="E16" s="53" t="s">
        <v>178</v>
      </c>
      <c r="F16" s="30" t="s">
        <v>124</v>
      </c>
      <c r="G16" s="12">
        <v>1</v>
      </c>
      <c r="H16" s="13">
        <v>22</v>
      </c>
      <c r="I16" s="31">
        <v>90000</v>
      </c>
      <c r="J16" s="5">
        <v>6666</v>
      </c>
      <c r="K16" s="15">
        <f>L16+8120+11780+9608+2367+4983+6240+3068+8262+5992+5220</f>
        <v>72306</v>
      </c>
      <c r="L16" s="15">
        <f>489*2+2844*2</f>
        <v>6666</v>
      </c>
      <c r="M16" s="15">
        <f t="shared" si="0"/>
        <v>6666</v>
      </c>
      <c r="N16" s="15">
        <v>0</v>
      </c>
      <c r="O16" s="58">
        <f t="shared" si="1"/>
        <v>0</v>
      </c>
      <c r="P16" s="39">
        <f t="shared" si="2"/>
        <v>14</v>
      </c>
      <c r="Q16" s="40">
        <f t="shared" si="3"/>
        <v>10</v>
      </c>
      <c r="R16" s="7"/>
      <c r="S16" s="6">
        <v>10</v>
      </c>
      <c r="T16" s="16"/>
      <c r="U16" s="16"/>
      <c r="V16" s="17"/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0.58333333333333337</v>
      </c>
      <c r="AD16" s="10">
        <f t="shared" si="8"/>
        <v>0.58333333333333337</v>
      </c>
      <c r="AE16" s="36">
        <f t="shared" si="6"/>
        <v>0.40909090909090901</v>
      </c>
      <c r="AF16" s="81">
        <f t="shared" si="7"/>
        <v>11</v>
      </c>
    </row>
    <row r="17" spans="1:32" ht="27" customHeight="1">
      <c r="A17" s="106">
        <v>12</v>
      </c>
      <c r="B17" s="11" t="s">
        <v>57</v>
      </c>
      <c r="C17" s="34" t="s">
        <v>127</v>
      </c>
      <c r="D17" s="52" t="s">
        <v>144</v>
      </c>
      <c r="E17" s="53" t="s">
        <v>765</v>
      </c>
      <c r="F17" s="30" t="s">
        <v>625</v>
      </c>
      <c r="G17" s="12">
        <v>1</v>
      </c>
      <c r="H17" s="13">
        <v>24</v>
      </c>
      <c r="I17" s="7">
        <v>3500</v>
      </c>
      <c r="J17" s="14">
        <v>4186</v>
      </c>
      <c r="K17" s="15">
        <f>L17</f>
        <v>4186</v>
      </c>
      <c r="L17" s="15">
        <f>1733+2453</f>
        <v>4186</v>
      </c>
      <c r="M17" s="15">
        <f t="shared" si="0"/>
        <v>4186</v>
      </c>
      <c r="N17" s="15">
        <v>0</v>
      </c>
      <c r="O17" s="58">
        <f t="shared" si="1"/>
        <v>0</v>
      </c>
      <c r="P17" s="39">
        <f t="shared" si="2"/>
        <v>22</v>
      </c>
      <c r="Q17" s="40">
        <f t="shared" si="3"/>
        <v>2</v>
      </c>
      <c r="R17" s="7"/>
      <c r="S17" s="6"/>
      <c r="T17" s="16">
        <v>2</v>
      </c>
      <c r="U17" s="16"/>
      <c r="V17" s="17"/>
      <c r="W17" s="5"/>
      <c r="X17" s="16"/>
      <c r="Y17" s="16"/>
      <c r="Z17" s="16"/>
      <c r="AA17" s="18"/>
      <c r="AB17" s="8">
        <f t="shared" si="4"/>
        <v>1</v>
      </c>
      <c r="AC17" s="9">
        <f t="shared" si="5"/>
        <v>0.91666666666666663</v>
      </c>
      <c r="AD17" s="10">
        <f t="shared" si="8"/>
        <v>0.91666666666666663</v>
      </c>
      <c r="AE17" s="36">
        <f t="shared" si="6"/>
        <v>0.40909090909090901</v>
      </c>
      <c r="AF17" s="81">
        <f t="shared" si="7"/>
        <v>12</v>
      </c>
    </row>
    <row r="18" spans="1:32" ht="27" customHeight="1">
      <c r="A18" s="92">
        <v>13</v>
      </c>
      <c r="B18" s="11" t="s">
        <v>57</v>
      </c>
      <c r="C18" s="34" t="s">
        <v>116</v>
      </c>
      <c r="D18" s="52" t="s">
        <v>115</v>
      </c>
      <c r="E18" s="53" t="s">
        <v>769</v>
      </c>
      <c r="F18" s="30" t="s">
        <v>138</v>
      </c>
      <c r="G18" s="12">
        <v>1</v>
      </c>
      <c r="H18" s="13">
        <v>22</v>
      </c>
      <c r="I18" s="31">
        <v>17000</v>
      </c>
      <c r="J18" s="5">
        <v>1550</v>
      </c>
      <c r="K18" s="15">
        <f>L18</f>
        <v>1550</v>
      </c>
      <c r="L18" s="15">
        <f>1550</f>
        <v>1550</v>
      </c>
      <c r="M18" s="15">
        <f t="shared" si="0"/>
        <v>1550</v>
      </c>
      <c r="N18" s="15">
        <v>0</v>
      </c>
      <c r="O18" s="58">
        <f t="shared" si="1"/>
        <v>0</v>
      </c>
      <c r="P18" s="39">
        <f t="shared" si="2"/>
        <v>8</v>
      </c>
      <c r="Q18" s="40">
        <f t="shared" si="3"/>
        <v>16</v>
      </c>
      <c r="R18" s="7"/>
      <c r="S18" s="6">
        <v>16</v>
      </c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0.33333333333333331</v>
      </c>
      <c r="AD18" s="10">
        <f t="shared" si="8"/>
        <v>0.33333333333333331</v>
      </c>
      <c r="AE18" s="36">
        <f t="shared" si="6"/>
        <v>0.40909090909090901</v>
      </c>
      <c r="AF18" s="81">
        <f t="shared" si="7"/>
        <v>13</v>
      </c>
    </row>
    <row r="19" spans="1:32" ht="27" customHeight="1">
      <c r="A19" s="92">
        <v>14</v>
      </c>
      <c r="B19" s="11" t="s">
        <v>57</v>
      </c>
      <c r="C19" s="11" t="s">
        <v>112</v>
      </c>
      <c r="D19" s="52" t="s">
        <v>287</v>
      </c>
      <c r="E19" s="53" t="s">
        <v>770</v>
      </c>
      <c r="F19" s="30" t="s">
        <v>124</v>
      </c>
      <c r="G19" s="33">
        <v>1</v>
      </c>
      <c r="H19" s="35">
        <v>24</v>
      </c>
      <c r="I19" s="7">
        <v>35000</v>
      </c>
      <c r="J19" s="14">
        <v>4958</v>
      </c>
      <c r="K19" s="15">
        <f>L19</f>
        <v>0</v>
      </c>
      <c r="L19" s="15"/>
      <c r="M19" s="15">
        <f t="shared" si="0"/>
        <v>0</v>
      </c>
      <c r="N19" s="15">
        <v>0</v>
      </c>
      <c r="O19" s="58" t="str">
        <f t="shared" si="1"/>
        <v>0</v>
      </c>
      <c r="P19" s="39" t="str">
        <f t="shared" si="2"/>
        <v>0</v>
      </c>
      <c r="Q19" s="40">
        <f t="shared" si="3"/>
        <v>24</v>
      </c>
      <c r="R19" s="7"/>
      <c r="S19" s="6">
        <v>24</v>
      </c>
      <c r="T19" s="16"/>
      <c r="U19" s="16"/>
      <c r="V19" s="17"/>
      <c r="W19" s="5"/>
      <c r="X19" s="16"/>
      <c r="Y19" s="16"/>
      <c r="Z19" s="16"/>
      <c r="AA19" s="18"/>
      <c r="AB19" s="8">
        <f t="shared" si="4"/>
        <v>0</v>
      </c>
      <c r="AC19" s="9">
        <f t="shared" si="5"/>
        <v>0</v>
      </c>
      <c r="AD19" s="10">
        <f t="shared" si="8"/>
        <v>0</v>
      </c>
      <c r="AE19" s="36">
        <f t="shared" si="6"/>
        <v>0.40909090909090901</v>
      </c>
      <c r="AF19" s="81">
        <f t="shared" si="7"/>
        <v>14</v>
      </c>
    </row>
    <row r="20" spans="1:32" ht="27" customHeight="1">
      <c r="A20" s="106">
        <v>15</v>
      </c>
      <c r="B20" s="11" t="s">
        <v>57</v>
      </c>
      <c r="C20" s="11" t="s">
        <v>112</v>
      </c>
      <c r="D20" s="52" t="s">
        <v>115</v>
      </c>
      <c r="E20" s="53" t="s">
        <v>148</v>
      </c>
      <c r="F20" s="30" t="s">
        <v>138</v>
      </c>
      <c r="G20" s="33">
        <v>2</v>
      </c>
      <c r="H20" s="35">
        <v>24</v>
      </c>
      <c r="I20" s="7">
        <v>190000</v>
      </c>
      <c r="J20" s="14">
        <v>4495</v>
      </c>
      <c r="K20" s="15">
        <f>L20+2429+7472+8688+7444+11036+10988+11010+10896+8170+1188+8544+8600+10428+2136+6276+9709+8542+9846+6657+2519</f>
        <v>157073</v>
      </c>
      <c r="L20" s="15">
        <f>1799+2696</f>
        <v>4495</v>
      </c>
      <c r="M20" s="15">
        <f t="shared" si="0"/>
        <v>4495</v>
      </c>
      <c r="N20" s="15">
        <v>0</v>
      </c>
      <c r="O20" s="58">
        <f t="shared" si="1"/>
        <v>0</v>
      </c>
      <c r="P20" s="39">
        <f t="shared" si="2"/>
        <v>22</v>
      </c>
      <c r="Q20" s="40">
        <f t="shared" si="3"/>
        <v>2</v>
      </c>
      <c r="R20" s="7"/>
      <c r="S20" s="6">
        <v>2</v>
      </c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0.91666666666666663</v>
      </c>
      <c r="AD20" s="10">
        <f t="shared" si="8"/>
        <v>0.91666666666666663</v>
      </c>
      <c r="AE20" s="36">
        <f t="shared" si="6"/>
        <v>0.40909090909090901</v>
      </c>
      <c r="AF20" s="81">
        <f t="shared" si="7"/>
        <v>15</v>
      </c>
    </row>
    <row r="21" spans="1:32" ht="26.25" customHeight="1">
      <c r="A21" s="92">
        <v>16</v>
      </c>
      <c r="B21" s="11" t="s">
        <v>57</v>
      </c>
      <c r="C21" s="11" t="s">
        <v>113</v>
      </c>
      <c r="D21" s="52"/>
      <c r="E21" s="53" t="s">
        <v>160</v>
      </c>
      <c r="F21" s="12" t="s">
        <v>114</v>
      </c>
      <c r="G21" s="12">
        <v>4</v>
      </c>
      <c r="H21" s="35">
        <v>20</v>
      </c>
      <c r="I21" s="7">
        <v>2000000</v>
      </c>
      <c r="J21" s="14">
        <v>40136</v>
      </c>
      <c r="K21" s="15">
        <f>L21+29876+62940+54476+54396+57856+63452+64136+60836+58660+62760+62928+64084+55912+44824+63988</f>
        <v>901260</v>
      </c>
      <c r="L21" s="15">
        <f>5638*4+4396*4</f>
        <v>40136</v>
      </c>
      <c r="M21" s="15">
        <f t="shared" si="0"/>
        <v>40136</v>
      </c>
      <c r="N21" s="15">
        <v>0</v>
      </c>
      <c r="O21" s="58">
        <f t="shared" si="1"/>
        <v>0</v>
      </c>
      <c r="P21" s="39">
        <f t="shared" si="2"/>
        <v>21</v>
      </c>
      <c r="Q21" s="40">
        <f t="shared" si="3"/>
        <v>3</v>
      </c>
      <c r="R21" s="7"/>
      <c r="S21" s="6">
        <v>3</v>
      </c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0.875</v>
      </c>
      <c r="AD21" s="10">
        <f t="shared" si="8"/>
        <v>0.875</v>
      </c>
      <c r="AE21" s="36">
        <f t="shared" si="6"/>
        <v>0.40909090909090901</v>
      </c>
      <c r="AF21" s="81">
        <f t="shared" si="7"/>
        <v>16</v>
      </c>
    </row>
    <row r="22" spans="1:32" ht="21.75" customHeight="1">
      <c r="A22" s="92">
        <v>31</v>
      </c>
      <c r="B22" s="11" t="s">
        <v>57</v>
      </c>
      <c r="C22" s="11" t="s">
        <v>116</v>
      </c>
      <c r="D22" s="52" t="s">
        <v>115</v>
      </c>
      <c r="E22" s="53" t="s">
        <v>174</v>
      </c>
      <c r="F22" s="12" t="s">
        <v>138</v>
      </c>
      <c r="G22" s="12">
        <v>4</v>
      </c>
      <c r="H22" s="35">
        <v>20</v>
      </c>
      <c r="I22" s="7">
        <v>50000</v>
      </c>
      <c r="J22" s="14">
        <v>24116</v>
      </c>
      <c r="K22" s="15">
        <f>L22+13424+21584+22708+24116</f>
        <v>81832</v>
      </c>
      <c r="L22" s="15"/>
      <c r="M22" s="15">
        <f t="shared" si="0"/>
        <v>0</v>
      </c>
      <c r="N22" s="15">
        <v>0</v>
      </c>
      <c r="O22" s="58" t="str">
        <f t="shared" si="1"/>
        <v>0</v>
      </c>
      <c r="P22" s="39" t="str">
        <f t="shared" si="2"/>
        <v>0</v>
      </c>
      <c r="Q22" s="40">
        <f t="shared" si="3"/>
        <v>24</v>
      </c>
      <c r="R22" s="7"/>
      <c r="S22" s="6"/>
      <c r="T22" s="16"/>
      <c r="U22" s="16"/>
      <c r="V22" s="17"/>
      <c r="W22" s="5">
        <v>24</v>
      </c>
      <c r="X22" s="16"/>
      <c r="Y22" s="16"/>
      <c r="Z22" s="16"/>
      <c r="AA22" s="18"/>
      <c r="AB22" s="8">
        <f t="shared" si="4"/>
        <v>0</v>
      </c>
      <c r="AC22" s="9">
        <f t="shared" si="5"/>
        <v>0</v>
      </c>
      <c r="AD22" s="10">
        <f t="shared" si="8"/>
        <v>0</v>
      </c>
      <c r="AE22" s="36">
        <f t="shared" si="6"/>
        <v>0.40909090909090901</v>
      </c>
      <c r="AF22" s="81">
        <f t="shared" si="7"/>
        <v>31</v>
      </c>
    </row>
    <row r="23" spans="1:32" ht="21.75" customHeight="1">
      <c r="A23" s="92">
        <v>32</v>
      </c>
      <c r="B23" s="11" t="s">
        <v>57</v>
      </c>
      <c r="C23" s="11"/>
      <c r="D23" s="52"/>
      <c r="E23" s="53"/>
      <c r="F23" s="12"/>
      <c r="G23" s="12"/>
      <c r="H23" s="35">
        <v>20</v>
      </c>
      <c r="I23" s="7"/>
      <c r="J23" s="14">
        <v>0</v>
      </c>
      <c r="K23" s="15">
        <f t="shared" ref="K23" si="9">L23</f>
        <v>0</v>
      </c>
      <c r="L23" s="15"/>
      <c r="M23" s="15">
        <f t="shared" si="0"/>
        <v>0</v>
      </c>
      <c r="N23" s="15">
        <v>0</v>
      </c>
      <c r="O23" s="58" t="str">
        <f t="shared" si="1"/>
        <v>0</v>
      </c>
      <c r="P23" s="39" t="str">
        <f t="shared" si="2"/>
        <v>0</v>
      </c>
      <c r="Q23" s="40">
        <f t="shared" si="3"/>
        <v>24</v>
      </c>
      <c r="R23" s="7"/>
      <c r="S23" s="6"/>
      <c r="T23" s="16"/>
      <c r="U23" s="16"/>
      <c r="V23" s="17"/>
      <c r="W23" s="5">
        <v>24</v>
      </c>
      <c r="X23" s="16"/>
      <c r="Y23" s="16"/>
      <c r="Z23" s="16"/>
      <c r="AA23" s="18"/>
      <c r="AB23" s="8" t="str">
        <f t="shared" si="4"/>
        <v>0</v>
      </c>
      <c r="AC23" s="9">
        <f t="shared" si="5"/>
        <v>0</v>
      </c>
      <c r="AD23" s="10">
        <f t="shared" si="8"/>
        <v>0</v>
      </c>
      <c r="AE23" s="36">
        <f t="shared" si="6"/>
        <v>0.40909090909090901</v>
      </c>
      <c r="AF23" s="81">
        <f t="shared" si="7"/>
        <v>32</v>
      </c>
    </row>
    <row r="24" spans="1:32" ht="21.75" customHeight="1">
      <c r="A24" s="92">
        <v>33</v>
      </c>
      <c r="B24" s="11" t="s">
        <v>57</v>
      </c>
      <c r="C24" s="11" t="s">
        <v>116</v>
      </c>
      <c r="D24" s="52" t="s">
        <v>147</v>
      </c>
      <c r="E24" s="53" t="s">
        <v>183</v>
      </c>
      <c r="F24" s="12" t="s">
        <v>124</v>
      </c>
      <c r="G24" s="12">
        <v>3</v>
      </c>
      <c r="H24" s="35">
        <v>20</v>
      </c>
      <c r="I24" s="7">
        <v>50000</v>
      </c>
      <c r="J24" s="14">
        <v>21522</v>
      </c>
      <c r="K24" s="15">
        <f>L24+16720+23067+20250+21522</f>
        <v>81559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14"/>
      <c r="W24" s="5">
        <v>24</v>
      </c>
      <c r="X24" s="16"/>
      <c r="Y24" s="16"/>
      <c r="Z24" s="16"/>
      <c r="AA24" s="18"/>
      <c r="AB24" s="8">
        <f t="shared" si="4"/>
        <v>0</v>
      </c>
      <c r="AC24" s="9">
        <f t="shared" si="5"/>
        <v>0</v>
      </c>
      <c r="AD24" s="10">
        <f t="shared" si="8"/>
        <v>0</v>
      </c>
      <c r="AE24" s="36">
        <f t="shared" si="6"/>
        <v>0.40909090909090901</v>
      </c>
      <c r="AF24" s="81">
        <f t="shared" si="7"/>
        <v>33</v>
      </c>
    </row>
    <row r="25" spans="1:32" ht="21.75" customHeight="1">
      <c r="A25" s="92">
        <v>34</v>
      </c>
      <c r="B25" s="11" t="s">
        <v>57</v>
      </c>
      <c r="C25" s="11" t="s">
        <v>116</v>
      </c>
      <c r="D25" s="52" t="s">
        <v>129</v>
      </c>
      <c r="E25" s="53" t="s">
        <v>172</v>
      </c>
      <c r="F25" s="12" t="s">
        <v>125</v>
      </c>
      <c r="G25" s="12">
        <v>4</v>
      </c>
      <c r="H25" s="35">
        <v>20</v>
      </c>
      <c r="I25" s="7">
        <v>50000</v>
      </c>
      <c r="J25" s="14">
        <v>26548</v>
      </c>
      <c r="K25" s="15">
        <f>L25+15172+24432+25280+26548</f>
        <v>91432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14"/>
      <c r="W25" s="5">
        <v>24</v>
      </c>
      <c r="X25" s="16"/>
      <c r="Y25" s="16"/>
      <c r="Z25" s="16"/>
      <c r="AA25" s="18"/>
      <c r="AB25" s="8">
        <f t="shared" si="4"/>
        <v>0</v>
      </c>
      <c r="AC25" s="9">
        <f t="shared" si="5"/>
        <v>0</v>
      </c>
      <c r="AD25" s="10">
        <f t="shared" si="8"/>
        <v>0</v>
      </c>
      <c r="AE25" s="36">
        <f t="shared" si="6"/>
        <v>0.40909090909090901</v>
      </c>
      <c r="AF25" s="81">
        <f t="shared" si="7"/>
        <v>34</v>
      </c>
    </row>
    <row r="26" spans="1:32" ht="21.75" customHeight="1">
      <c r="A26" s="92">
        <v>35</v>
      </c>
      <c r="B26" s="11" t="s">
        <v>57</v>
      </c>
      <c r="C26" s="11" t="s">
        <v>116</v>
      </c>
      <c r="D26" s="52" t="s">
        <v>121</v>
      </c>
      <c r="E26" s="53" t="s">
        <v>126</v>
      </c>
      <c r="F26" s="12" t="s">
        <v>125</v>
      </c>
      <c r="G26" s="12">
        <v>4</v>
      </c>
      <c r="H26" s="35">
        <v>20</v>
      </c>
      <c r="I26" s="7">
        <v>50000</v>
      </c>
      <c r="J26" s="14">
        <v>26944</v>
      </c>
      <c r="K26" s="15">
        <f>L26+24592+26944+21716</f>
        <v>73252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24</v>
      </c>
      <c r="R26" s="7"/>
      <c r="S26" s="6"/>
      <c r="T26" s="16"/>
      <c r="U26" s="16"/>
      <c r="V26" s="114"/>
      <c r="W26" s="5">
        <v>24</v>
      </c>
      <c r="X26" s="16"/>
      <c r="Y26" s="16"/>
      <c r="Z26" s="16"/>
      <c r="AA26" s="18"/>
      <c r="AB26" s="8">
        <f t="shared" si="4"/>
        <v>0</v>
      </c>
      <c r="AC26" s="9">
        <f t="shared" si="5"/>
        <v>0</v>
      </c>
      <c r="AD26" s="10">
        <f t="shared" si="8"/>
        <v>0</v>
      </c>
      <c r="AE26" s="36">
        <f t="shared" si="6"/>
        <v>0.40909090909090901</v>
      </c>
      <c r="AF26" s="81">
        <f t="shared" si="7"/>
        <v>35</v>
      </c>
    </row>
    <row r="27" spans="1:32" ht="21.75" customHeight="1" thickBot="1">
      <c r="A27" s="92">
        <v>36</v>
      </c>
      <c r="B27" s="11" t="s">
        <v>57</v>
      </c>
      <c r="C27" s="11" t="s">
        <v>113</v>
      </c>
      <c r="D27" s="52"/>
      <c r="E27" s="53" t="s">
        <v>182</v>
      </c>
      <c r="F27" s="12" t="s">
        <v>114</v>
      </c>
      <c r="G27" s="12">
        <v>4</v>
      </c>
      <c r="H27" s="35">
        <v>20</v>
      </c>
      <c r="I27" s="7">
        <v>1000000</v>
      </c>
      <c r="J27" s="14">
        <v>53180</v>
      </c>
      <c r="K27" s="15">
        <f>L27+28388+70816+76368+81764+83428+47688</f>
        <v>441632</v>
      </c>
      <c r="L27" s="15">
        <f>3316*4+9979*4</f>
        <v>53180</v>
      </c>
      <c r="M27" s="15">
        <f t="shared" si="0"/>
        <v>53180</v>
      </c>
      <c r="N27" s="15">
        <v>0</v>
      </c>
      <c r="O27" s="58">
        <f t="shared" si="1"/>
        <v>0</v>
      </c>
      <c r="P27" s="39">
        <f t="shared" si="2"/>
        <v>19</v>
      </c>
      <c r="Q27" s="40">
        <f t="shared" si="3"/>
        <v>5</v>
      </c>
      <c r="R27" s="7"/>
      <c r="S27" s="6"/>
      <c r="T27" s="16"/>
      <c r="U27" s="16"/>
      <c r="V27" s="114">
        <v>5</v>
      </c>
      <c r="W27" s="5"/>
      <c r="X27" s="16"/>
      <c r="Y27" s="16"/>
      <c r="Z27" s="16"/>
      <c r="AA27" s="18"/>
      <c r="AB27" s="8">
        <f t="shared" si="4"/>
        <v>1</v>
      </c>
      <c r="AC27" s="9">
        <f t="shared" si="5"/>
        <v>0.79166666666666663</v>
      </c>
      <c r="AD27" s="10">
        <f t="shared" si="8"/>
        <v>0.79166666666666663</v>
      </c>
      <c r="AE27" s="36">
        <f t="shared" si="6"/>
        <v>0.40909090909090901</v>
      </c>
      <c r="AF27" s="81">
        <f t="shared" si="7"/>
        <v>36</v>
      </c>
    </row>
    <row r="28" spans="1:32" ht="19.5" thickBot="1">
      <c r="A28" s="435" t="s">
        <v>34</v>
      </c>
      <c r="B28" s="436"/>
      <c r="C28" s="436"/>
      <c r="D28" s="436"/>
      <c r="E28" s="436"/>
      <c r="F28" s="436"/>
      <c r="G28" s="436"/>
      <c r="H28" s="437"/>
      <c r="I28" s="22">
        <f t="shared" ref="I28:N28" si="10">SUM(I6:I27)</f>
        <v>3849400</v>
      </c>
      <c r="J28" s="19">
        <f t="shared" si="10"/>
        <v>239827</v>
      </c>
      <c r="K28" s="20">
        <f t="shared" si="10"/>
        <v>2095906</v>
      </c>
      <c r="L28" s="21">
        <f t="shared" si="10"/>
        <v>132067</v>
      </c>
      <c r="M28" s="20">
        <f t="shared" si="10"/>
        <v>132067</v>
      </c>
      <c r="N28" s="21">
        <f t="shared" si="10"/>
        <v>0</v>
      </c>
      <c r="O28" s="41">
        <f t="shared" si="1"/>
        <v>0</v>
      </c>
      <c r="P28" s="42">
        <f t="shared" ref="P28:AA28" si="11">SUM(P6:P27)</f>
        <v>216</v>
      </c>
      <c r="Q28" s="43">
        <f t="shared" si="11"/>
        <v>336</v>
      </c>
      <c r="R28" s="23">
        <f t="shared" si="11"/>
        <v>0</v>
      </c>
      <c r="S28" s="24">
        <f t="shared" si="11"/>
        <v>132</v>
      </c>
      <c r="T28" s="24">
        <f t="shared" si="11"/>
        <v>2</v>
      </c>
      <c r="U28" s="24">
        <f t="shared" si="11"/>
        <v>0</v>
      </c>
      <c r="V28" s="25">
        <f t="shared" si="11"/>
        <v>5</v>
      </c>
      <c r="W28" s="26">
        <f t="shared" si="11"/>
        <v>144</v>
      </c>
      <c r="X28" s="27">
        <f t="shared" si="11"/>
        <v>0</v>
      </c>
      <c r="Y28" s="27">
        <f t="shared" si="11"/>
        <v>0</v>
      </c>
      <c r="Z28" s="27">
        <f t="shared" si="11"/>
        <v>0</v>
      </c>
      <c r="AA28" s="27">
        <f t="shared" si="11"/>
        <v>53</v>
      </c>
      <c r="AB28" s="28">
        <f>AVERAGE(AB6:AB27)</f>
        <v>0.66666666666666663</v>
      </c>
      <c r="AC28" s="4">
        <f>AVERAGE(AC6:AC27)</f>
        <v>0.40909090909090901</v>
      </c>
      <c r="AD28" s="4">
        <f>AVERAGE(AD6:AD27)</f>
        <v>0.40909090909090901</v>
      </c>
      <c r="AE28" s="29"/>
    </row>
    <row r="29" spans="1:32">
      <c r="T29" s="50" t="s">
        <v>130</v>
      </c>
    </row>
    <row r="30" spans="1:32" ht="18.75">
      <c r="A30" s="2"/>
      <c r="B30" s="2" t="s">
        <v>35</v>
      </c>
      <c r="C30" s="2"/>
      <c r="D30" s="2"/>
      <c r="E30" s="2"/>
      <c r="F30" s="2"/>
      <c r="G30" s="2"/>
      <c r="H30" s="3"/>
      <c r="I30" s="3"/>
      <c r="J30" s="2"/>
      <c r="K30" s="2"/>
      <c r="L30" s="2"/>
      <c r="M30" s="2"/>
      <c r="N30" s="2" t="s">
        <v>36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1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 t="s">
        <v>131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F39" s="82"/>
    </row>
    <row r="40" spans="1:32" ht="14.2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F40" s="50"/>
    </row>
    <row r="41" spans="1:32" ht="14.2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F41" s="50"/>
    </row>
    <row r="42" spans="1:32" ht="14.2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50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27">
      <c r="A45" s="59"/>
      <c r="B45" s="59"/>
      <c r="C45" s="59"/>
      <c r="D45" s="59"/>
      <c r="E45" s="59"/>
      <c r="F45" s="37"/>
      <c r="G45" s="37"/>
      <c r="H45" s="38"/>
      <c r="I45" s="38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F45" s="50"/>
    </row>
    <row r="46" spans="1:32" ht="29.25" customHeight="1">
      <c r="A46" s="60"/>
      <c r="B46" s="60"/>
      <c r="C46" s="61"/>
      <c r="D46" s="61"/>
      <c r="E46" s="61"/>
      <c r="F46" s="60"/>
      <c r="G46" s="60"/>
      <c r="H46" s="60"/>
      <c r="I46" s="60"/>
      <c r="J46" s="60"/>
      <c r="K46" s="60"/>
      <c r="L46" s="60"/>
      <c r="M46" s="61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29.25" customHeight="1">
      <c r="A49" s="60"/>
      <c r="B49" s="60"/>
      <c r="C49" s="62"/>
      <c r="D49" s="61"/>
      <c r="E49" s="61"/>
      <c r="F49" s="60"/>
      <c r="G49" s="60"/>
      <c r="H49" s="60"/>
      <c r="I49" s="60"/>
      <c r="J49" s="60"/>
      <c r="K49" s="60"/>
      <c r="L49" s="60"/>
      <c r="M49" s="62"/>
      <c r="N49" s="60"/>
      <c r="O49" s="60"/>
      <c r="P49" s="63"/>
      <c r="Q49" s="63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14.2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F54" s="50"/>
    </row>
    <row r="55" spans="1:32" ht="36" thickBot="1">
      <c r="A55" s="438" t="s">
        <v>45</v>
      </c>
      <c r="B55" s="438"/>
      <c r="C55" s="438"/>
      <c r="D55" s="438"/>
      <c r="E55" s="438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F55" s="50"/>
    </row>
    <row r="56" spans="1:32" ht="26.25" thickBot="1">
      <c r="A56" s="439" t="s">
        <v>786</v>
      </c>
      <c r="B56" s="440"/>
      <c r="C56" s="440"/>
      <c r="D56" s="440"/>
      <c r="E56" s="440"/>
      <c r="F56" s="440"/>
      <c r="G56" s="440"/>
      <c r="H56" s="440"/>
      <c r="I56" s="440"/>
      <c r="J56" s="440"/>
      <c r="K56" s="440"/>
      <c r="L56" s="440"/>
      <c r="M56" s="441"/>
      <c r="N56" s="442" t="s">
        <v>790</v>
      </c>
      <c r="O56" s="443"/>
      <c r="P56" s="443"/>
      <c r="Q56" s="443"/>
      <c r="R56" s="443"/>
      <c r="S56" s="443"/>
      <c r="T56" s="443"/>
      <c r="U56" s="443"/>
      <c r="V56" s="443"/>
      <c r="W56" s="443"/>
      <c r="X56" s="443"/>
      <c r="Y56" s="443"/>
      <c r="Z56" s="443"/>
      <c r="AA56" s="443"/>
      <c r="AB56" s="443"/>
      <c r="AC56" s="443"/>
      <c r="AD56" s="444"/>
    </row>
    <row r="57" spans="1:32" ht="27" customHeight="1">
      <c r="A57" s="445" t="s">
        <v>2</v>
      </c>
      <c r="B57" s="446"/>
      <c r="C57" s="320" t="s">
        <v>46</v>
      </c>
      <c r="D57" s="320" t="s">
        <v>47</v>
      </c>
      <c r="E57" s="320" t="s">
        <v>107</v>
      </c>
      <c r="F57" s="447" t="s">
        <v>106</v>
      </c>
      <c r="G57" s="448"/>
      <c r="H57" s="448"/>
      <c r="I57" s="448"/>
      <c r="J57" s="448"/>
      <c r="K57" s="448"/>
      <c r="L57" s="448"/>
      <c r="M57" s="449"/>
      <c r="N57" s="67" t="s">
        <v>110</v>
      </c>
      <c r="O57" s="320" t="s">
        <v>46</v>
      </c>
      <c r="P57" s="447" t="s">
        <v>47</v>
      </c>
      <c r="Q57" s="450"/>
      <c r="R57" s="447" t="s">
        <v>38</v>
      </c>
      <c r="S57" s="448"/>
      <c r="T57" s="448"/>
      <c r="U57" s="450"/>
      <c r="V57" s="447" t="s">
        <v>48</v>
      </c>
      <c r="W57" s="448"/>
      <c r="X57" s="448"/>
      <c r="Y57" s="448"/>
      <c r="Z57" s="448"/>
      <c r="AA57" s="448"/>
      <c r="AB57" s="448"/>
      <c r="AC57" s="448"/>
      <c r="AD57" s="449"/>
    </row>
    <row r="58" spans="1:32" ht="27" customHeight="1">
      <c r="A58" s="415" t="s">
        <v>127</v>
      </c>
      <c r="B58" s="416"/>
      <c r="C58" s="315" t="s">
        <v>143</v>
      </c>
      <c r="D58" s="315" t="s">
        <v>129</v>
      </c>
      <c r="E58" s="315" t="s">
        <v>311</v>
      </c>
      <c r="F58" s="473" t="s">
        <v>787</v>
      </c>
      <c r="G58" s="474"/>
      <c r="H58" s="474"/>
      <c r="I58" s="474"/>
      <c r="J58" s="474"/>
      <c r="K58" s="474"/>
      <c r="L58" s="474"/>
      <c r="M58" s="475"/>
      <c r="N58" s="319" t="s">
        <v>759</v>
      </c>
      <c r="O58" s="313" t="s">
        <v>184</v>
      </c>
      <c r="P58" s="430"/>
      <c r="Q58" s="431"/>
      <c r="R58" s="430" t="s">
        <v>758</v>
      </c>
      <c r="S58" s="432"/>
      <c r="T58" s="432"/>
      <c r="U58" s="431"/>
      <c r="V58" s="417" t="s">
        <v>153</v>
      </c>
      <c r="W58" s="418"/>
      <c r="X58" s="418"/>
      <c r="Y58" s="418"/>
      <c r="Z58" s="418"/>
      <c r="AA58" s="418"/>
      <c r="AB58" s="418"/>
      <c r="AC58" s="418"/>
      <c r="AD58" s="419"/>
    </row>
    <row r="59" spans="1:32" ht="27" customHeight="1">
      <c r="A59" s="415" t="s">
        <v>112</v>
      </c>
      <c r="B59" s="416"/>
      <c r="C59" s="315" t="s">
        <v>150</v>
      </c>
      <c r="D59" s="315" t="s">
        <v>121</v>
      </c>
      <c r="E59" s="315" t="s">
        <v>188</v>
      </c>
      <c r="F59" s="473" t="s">
        <v>788</v>
      </c>
      <c r="G59" s="474"/>
      <c r="H59" s="474"/>
      <c r="I59" s="474"/>
      <c r="J59" s="474"/>
      <c r="K59" s="474"/>
      <c r="L59" s="474"/>
      <c r="M59" s="475"/>
      <c r="N59" s="319" t="s">
        <v>116</v>
      </c>
      <c r="O59" s="313" t="s">
        <v>388</v>
      </c>
      <c r="P59" s="430" t="s">
        <v>115</v>
      </c>
      <c r="Q59" s="431"/>
      <c r="R59" s="430" t="s">
        <v>769</v>
      </c>
      <c r="S59" s="432"/>
      <c r="T59" s="432"/>
      <c r="U59" s="431"/>
      <c r="V59" s="417" t="s">
        <v>153</v>
      </c>
      <c r="W59" s="418"/>
      <c r="X59" s="418"/>
      <c r="Y59" s="418"/>
      <c r="Z59" s="418"/>
      <c r="AA59" s="418"/>
      <c r="AB59" s="418"/>
      <c r="AC59" s="418"/>
      <c r="AD59" s="419"/>
    </row>
    <row r="60" spans="1:32" ht="27" customHeight="1">
      <c r="A60" s="429" t="s">
        <v>127</v>
      </c>
      <c r="B60" s="420"/>
      <c r="C60" s="316" t="s">
        <v>152</v>
      </c>
      <c r="D60" s="316"/>
      <c r="E60" s="316" t="s">
        <v>700</v>
      </c>
      <c r="F60" s="473" t="s">
        <v>452</v>
      </c>
      <c r="G60" s="474"/>
      <c r="H60" s="474"/>
      <c r="I60" s="474"/>
      <c r="J60" s="474"/>
      <c r="K60" s="474"/>
      <c r="L60" s="474"/>
      <c r="M60" s="475"/>
      <c r="N60" s="319" t="s">
        <v>112</v>
      </c>
      <c r="O60" s="313" t="s">
        <v>212</v>
      </c>
      <c r="P60" s="430" t="s">
        <v>287</v>
      </c>
      <c r="Q60" s="431"/>
      <c r="R60" s="430" t="s">
        <v>770</v>
      </c>
      <c r="S60" s="432"/>
      <c r="T60" s="432"/>
      <c r="U60" s="431"/>
      <c r="V60" s="417" t="s">
        <v>153</v>
      </c>
      <c r="W60" s="418"/>
      <c r="X60" s="418"/>
      <c r="Y60" s="418"/>
      <c r="Z60" s="418"/>
      <c r="AA60" s="418"/>
      <c r="AB60" s="418"/>
      <c r="AC60" s="418"/>
      <c r="AD60" s="419"/>
    </row>
    <row r="61" spans="1:32" ht="27" customHeight="1">
      <c r="A61" s="415" t="s">
        <v>759</v>
      </c>
      <c r="B61" s="416"/>
      <c r="C61" s="315" t="s">
        <v>184</v>
      </c>
      <c r="D61" s="315"/>
      <c r="E61" s="316" t="s">
        <v>758</v>
      </c>
      <c r="F61" s="473" t="s">
        <v>347</v>
      </c>
      <c r="G61" s="474"/>
      <c r="H61" s="474"/>
      <c r="I61" s="474"/>
      <c r="J61" s="474"/>
      <c r="K61" s="474"/>
      <c r="L61" s="474"/>
      <c r="M61" s="475"/>
      <c r="N61" s="319" t="s">
        <v>112</v>
      </c>
      <c r="O61" s="313" t="s">
        <v>150</v>
      </c>
      <c r="P61" s="430" t="s">
        <v>121</v>
      </c>
      <c r="Q61" s="431"/>
      <c r="R61" s="430" t="s">
        <v>188</v>
      </c>
      <c r="S61" s="432"/>
      <c r="T61" s="432"/>
      <c r="U61" s="431"/>
      <c r="V61" s="417" t="s">
        <v>153</v>
      </c>
      <c r="W61" s="418"/>
      <c r="X61" s="418"/>
      <c r="Y61" s="418"/>
      <c r="Z61" s="418"/>
      <c r="AA61" s="418"/>
      <c r="AB61" s="418"/>
      <c r="AC61" s="418"/>
      <c r="AD61" s="419"/>
    </row>
    <row r="62" spans="1:32" ht="27" customHeight="1">
      <c r="A62" s="429" t="s">
        <v>116</v>
      </c>
      <c r="B62" s="420"/>
      <c r="C62" s="316" t="s">
        <v>187</v>
      </c>
      <c r="D62" s="316" t="s">
        <v>129</v>
      </c>
      <c r="E62" s="316" t="s">
        <v>178</v>
      </c>
      <c r="F62" s="473" t="s">
        <v>582</v>
      </c>
      <c r="G62" s="474"/>
      <c r="H62" s="474"/>
      <c r="I62" s="474"/>
      <c r="J62" s="474"/>
      <c r="K62" s="474"/>
      <c r="L62" s="474"/>
      <c r="M62" s="475"/>
      <c r="N62" s="319"/>
      <c r="O62" s="313"/>
      <c r="P62" s="430"/>
      <c r="Q62" s="431"/>
      <c r="R62" s="430"/>
      <c r="S62" s="432"/>
      <c r="T62" s="432"/>
      <c r="U62" s="431"/>
      <c r="V62" s="417"/>
      <c r="W62" s="418"/>
      <c r="X62" s="418"/>
      <c r="Y62" s="418"/>
      <c r="Z62" s="418"/>
      <c r="AA62" s="418"/>
      <c r="AB62" s="418"/>
      <c r="AC62" s="418"/>
      <c r="AD62" s="419"/>
    </row>
    <row r="63" spans="1:32" ht="27" customHeight="1">
      <c r="A63" s="415" t="s">
        <v>116</v>
      </c>
      <c r="B63" s="416"/>
      <c r="C63" s="315" t="s">
        <v>388</v>
      </c>
      <c r="D63" s="315" t="s">
        <v>115</v>
      </c>
      <c r="E63" s="316" t="s">
        <v>769</v>
      </c>
      <c r="F63" s="473" t="s">
        <v>789</v>
      </c>
      <c r="G63" s="474"/>
      <c r="H63" s="474"/>
      <c r="I63" s="474"/>
      <c r="J63" s="474"/>
      <c r="K63" s="474"/>
      <c r="L63" s="474"/>
      <c r="M63" s="475"/>
      <c r="N63" s="319"/>
      <c r="O63" s="313"/>
      <c r="P63" s="430"/>
      <c r="Q63" s="431"/>
      <c r="R63" s="430"/>
      <c r="S63" s="432"/>
      <c r="T63" s="432"/>
      <c r="U63" s="431"/>
      <c r="V63" s="417"/>
      <c r="W63" s="418"/>
      <c r="X63" s="418"/>
      <c r="Y63" s="418"/>
      <c r="Z63" s="418"/>
      <c r="AA63" s="418"/>
      <c r="AB63" s="418"/>
      <c r="AC63" s="418"/>
      <c r="AD63" s="419"/>
    </row>
    <row r="64" spans="1:32" ht="27" customHeight="1">
      <c r="A64" s="415" t="s">
        <v>127</v>
      </c>
      <c r="B64" s="416"/>
      <c r="C64" s="315" t="s">
        <v>204</v>
      </c>
      <c r="D64" s="315" t="s">
        <v>144</v>
      </c>
      <c r="E64" s="316" t="s">
        <v>765</v>
      </c>
      <c r="F64" s="473" t="s">
        <v>122</v>
      </c>
      <c r="G64" s="474"/>
      <c r="H64" s="474"/>
      <c r="I64" s="474"/>
      <c r="J64" s="474"/>
      <c r="K64" s="474"/>
      <c r="L64" s="474"/>
      <c r="M64" s="475"/>
      <c r="N64" s="319"/>
      <c r="O64" s="313"/>
      <c r="P64" s="430"/>
      <c r="Q64" s="431"/>
      <c r="R64" s="430"/>
      <c r="S64" s="432"/>
      <c r="T64" s="432"/>
      <c r="U64" s="431"/>
      <c r="V64" s="417"/>
      <c r="W64" s="418"/>
      <c r="X64" s="418"/>
      <c r="Y64" s="418"/>
      <c r="Z64" s="418"/>
      <c r="AA64" s="418"/>
      <c r="AB64" s="418"/>
      <c r="AC64" s="418"/>
      <c r="AD64" s="419"/>
    </row>
    <row r="65" spans="1:32" ht="27" customHeight="1">
      <c r="A65" s="415" t="s">
        <v>112</v>
      </c>
      <c r="B65" s="416"/>
      <c r="C65" s="315" t="s">
        <v>212</v>
      </c>
      <c r="D65" s="315" t="s">
        <v>287</v>
      </c>
      <c r="E65" s="316" t="s">
        <v>770</v>
      </c>
      <c r="F65" s="473" t="s">
        <v>122</v>
      </c>
      <c r="G65" s="474"/>
      <c r="H65" s="474"/>
      <c r="I65" s="474"/>
      <c r="J65" s="474"/>
      <c r="K65" s="474"/>
      <c r="L65" s="474"/>
      <c r="M65" s="475"/>
      <c r="N65" s="319"/>
      <c r="O65" s="313"/>
      <c r="P65" s="430"/>
      <c r="Q65" s="431"/>
      <c r="R65" s="430"/>
      <c r="S65" s="432"/>
      <c r="T65" s="432"/>
      <c r="U65" s="431"/>
      <c r="V65" s="417"/>
      <c r="W65" s="418"/>
      <c r="X65" s="418"/>
      <c r="Y65" s="418"/>
      <c r="Z65" s="418"/>
      <c r="AA65" s="418"/>
      <c r="AB65" s="418"/>
      <c r="AC65" s="418"/>
      <c r="AD65" s="419"/>
    </row>
    <row r="66" spans="1:32" ht="27" customHeight="1">
      <c r="A66" s="415" t="s">
        <v>127</v>
      </c>
      <c r="B66" s="416"/>
      <c r="C66" s="315" t="s">
        <v>151</v>
      </c>
      <c r="D66" s="315" t="s">
        <v>209</v>
      </c>
      <c r="E66" s="316" t="s">
        <v>784</v>
      </c>
      <c r="F66" s="473" t="s">
        <v>122</v>
      </c>
      <c r="G66" s="474"/>
      <c r="H66" s="474"/>
      <c r="I66" s="474"/>
      <c r="J66" s="474"/>
      <c r="K66" s="474"/>
      <c r="L66" s="474"/>
      <c r="M66" s="475"/>
      <c r="N66" s="319"/>
      <c r="O66" s="313"/>
      <c r="P66" s="420"/>
      <c r="Q66" s="420"/>
      <c r="R66" s="420"/>
      <c r="S66" s="420"/>
      <c r="T66" s="420"/>
      <c r="U66" s="420"/>
      <c r="V66" s="417"/>
      <c r="W66" s="418"/>
      <c r="X66" s="418"/>
      <c r="Y66" s="418"/>
      <c r="Z66" s="418"/>
      <c r="AA66" s="418"/>
      <c r="AB66" s="418"/>
      <c r="AC66" s="418"/>
      <c r="AD66" s="419"/>
      <c r="AF66" s="81">
        <f>8*3000</f>
        <v>24000</v>
      </c>
    </row>
    <row r="67" spans="1:32" ht="27" customHeight="1" thickBot="1">
      <c r="A67" s="421"/>
      <c r="B67" s="422"/>
      <c r="C67" s="317"/>
      <c r="D67" s="318"/>
      <c r="E67" s="317"/>
      <c r="F67" s="423"/>
      <c r="G67" s="424"/>
      <c r="H67" s="424"/>
      <c r="I67" s="424"/>
      <c r="J67" s="424"/>
      <c r="K67" s="424"/>
      <c r="L67" s="424"/>
      <c r="M67" s="425"/>
      <c r="N67" s="105"/>
      <c r="O67" s="97"/>
      <c r="P67" s="426"/>
      <c r="Q67" s="426"/>
      <c r="R67" s="426"/>
      <c r="S67" s="426"/>
      <c r="T67" s="426"/>
      <c r="U67" s="426"/>
      <c r="V67" s="427"/>
      <c r="W67" s="427"/>
      <c r="X67" s="427"/>
      <c r="Y67" s="427"/>
      <c r="Z67" s="427"/>
      <c r="AA67" s="427"/>
      <c r="AB67" s="427"/>
      <c r="AC67" s="427"/>
      <c r="AD67" s="428"/>
      <c r="AF67" s="81">
        <f>16*3000</f>
        <v>48000</v>
      </c>
    </row>
    <row r="68" spans="1:32" ht="27.75" thickBot="1">
      <c r="A68" s="413" t="s">
        <v>791</v>
      </c>
      <c r="B68" s="413"/>
      <c r="C68" s="413"/>
      <c r="D68" s="413"/>
      <c r="E68" s="413"/>
      <c r="F68" s="37"/>
      <c r="G68" s="37"/>
      <c r="H68" s="38"/>
      <c r="I68" s="38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F68" s="81">
        <v>24000</v>
      </c>
    </row>
    <row r="69" spans="1:32" ht="29.25" customHeight="1" thickBot="1">
      <c r="A69" s="414" t="s">
        <v>111</v>
      </c>
      <c r="B69" s="411"/>
      <c r="C69" s="314" t="s">
        <v>2</v>
      </c>
      <c r="D69" s="314" t="s">
        <v>37</v>
      </c>
      <c r="E69" s="314" t="s">
        <v>3</v>
      </c>
      <c r="F69" s="411" t="s">
        <v>109</v>
      </c>
      <c r="G69" s="411"/>
      <c r="H69" s="411"/>
      <c r="I69" s="411"/>
      <c r="J69" s="411"/>
      <c r="K69" s="411" t="s">
        <v>39</v>
      </c>
      <c r="L69" s="411"/>
      <c r="M69" s="314" t="s">
        <v>40</v>
      </c>
      <c r="N69" s="411" t="s">
        <v>41</v>
      </c>
      <c r="O69" s="411"/>
      <c r="P69" s="408" t="s">
        <v>42</v>
      </c>
      <c r="Q69" s="410"/>
      <c r="R69" s="408" t="s">
        <v>43</v>
      </c>
      <c r="S69" s="409"/>
      <c r="T69" s="409"/>
      <c r="U69" s="409"/>
      <c r="V69" s="409"/>
      <c r="W69" s="409"/>
      <c r="X69" s="409"/>
      <c r="Y69" s="409"/>
      <c r="Z69" s="409"/>
      <c r="AA69" s="410"/>
      <c r="AB69" s="411" t="s">
        <v>44</v>
      </c>
      <c r="AC69" s="411"/>
      <c r="AD69" s="412"/>
      <c r="AF69" s="81">
        <f>SUM(AF66:AF68)</f>
        <v>96000</v>
      </c>
    </row>
    <row r="70" spans="1:32" ht="25.5" customHeight="1">
      <c r="A70" s="399">
        <v>1</v>
      </c>
      <c r="B70" s="400"/>
      <c r="C70" s="98" t="s">
        <v>116</v>
      </c>
      <c r="D70" s="309"/>
      <c r="E70" s="312" t="s">
        <v>493</v>
      </c>
      <c r="F70" s="401" t="s">
        <v>783</v>
      </c>
      <c r="G70" s="391"/>
      <c r="H70" s="391"/>
      <c r="I70" s="391"/>
      <c r="J70" s="391"/>
      <c r="K70" s="391">
        <v>7301</v>
      </c>
      <c r="L70" s="391"/>
      <c r="M70" s="51" t="s">
        <v>794</v>
      </c>
      <c r="N70" s="402" t="s">
        <v>240</v>
      </c>
      <c r="O70" s="402"/>
      <c r="P70" s="403">
        <v>50</v>
      </c>
      <c r="Q70" s="403"/>
      <c r="R70" s="404"/>
      <c r="S70" s="404"/>
      <c r="T70" s="404"/>
      <c r="U70" s="404"/>
      <c r="V70" s="404"/>
      <c r="W70" s="404"/>
      <c r="X70" s="404"/>
      <c r="Y70" s="404"/>
      <c r="Z70" s="404"/>
      <c r="AA70" s="404"/>
      <c r="AB70" s="391"/>
      <c r="AC70" s="391"/>
      <c r="AD70" s="392"/>
      <c r="AF70" s="50"/>
    </row>
    <row r="71" spans="1:32" ht="25.5" customHeight="1">
      <c r="A71" s="399">
        <v>2</v>
      </c>
      <c r="B71" s="400"/>
      <c r="C71" s="98" t="s">
        <v>127</v>
      </c>
      <c r="D71" s="309"/>
      <c r="E71" s="312" t="s">
        <v>115</v>
      </c>
      <c r="F71" s="401" t="s">
        <v>792</v>
      </c>
      <c r="G71" s="391"/>
      <c r="H71" s="391"/>
      <c r="I71" s="391"/>
      <c r="J71" s="391"/>
      <c r="K71" s="391" t="s">
        <v>156</v>
      </c>
      <c r="L71" s="391"/>
      <c r="M71" s="51" t="s">
        <v>222</v>
      </c>
      <c r="N71" s="402" t="s">
        <v>240</v>
      </c>
      <c r="O71" s="402"/>
      <c r="P71" s="403">
        <v>50</v>
      </c>
      <c r="Q71" s="403"/>
      <c r="R71" s="404"/>
      <c r="S71" s="404"/>
      <c r="T71" s="404"/>
      <c r="U71" s="404"/>
      <c r="V71" s="404"/>
      <c r="W71" s="404"/>
      <c r="X71" s="404"/>
      <c r="Y71" s="404"/>
      <c r="Z71" s="404"/>
      <c r="AA71" s="404"/>
      <c r="AB71" s="391"/>
      <c r="AC71" s="391"/>
      <c r="AD71" s="392"/>
      <c r="AF71" s="50"/>
    </row>
    <row r="72" spans="1:32" ht="25.5" customHeight="1">
      <c r="A72" s="399">
        <v>3</v>
      </c>
      <c r="B72" s="400"/>
      <c r="C72" s="98" t="s">
        <v>116</v>
      </c>
      <c r="D72" s="309"/>
      <c r="E72" s="312" t="s">
        <v>140</v>
      </c>
      <c r="F72" s="401" t="s">
        <v>793</v>
      </c>
      <c r="G72" s="391"/>
      <c r="H72" s="391"/>
      <c r="I72" s="391"/>
      <c r="J72" s="391"/>
      <c r="K72" s="391">
        <v>8301</v>
      </c>
      <c r="L72" s="391"/>
      <c r="M72" s="51" t="s">
        <v>438</v>
      </c>
      <c r="N72" s="402" t="s">
        <v>159</v>
      </c>
      <c r="O72" s="402"/>
      <c r="P72" s="403">
        <v>50</v>
      </c>
      <c r="Q72" s="403"/>
      <c r="R72" s="404"/>
      <c r="S72" s="404"/>
      <c r="T72" s="404"/>
      <c r="U72" s="404"/>
      <c r="V72" s="404"/>
      <c r="W72" s="404"/>
      <c r="X72" s="404"/>
      <c r="Y72" s="404"/>
      <c r="Z72" s="404"/>
      <c r="AA72" s="404"/>
      <c r="AB72" s="391"/>
      <c r="AC72" s="391"/>
      <c r="AD72" s="392"/>
      <c r="AF72" s="50"/>
    </row>
    <row r="73" spans="1:32" ht="25.5" customHeight="1">
      <c r="A73" s="399">
        <v>4</v>
      </c>
      <c r="B73" s="400"/>
      <c r="C73" s="98"/>
      <c r="D73" s="309"/>
      <c r="E73" s="312"/>
      <c r="F73" s="405"/>
      <c r="G73" s="406"/>
      <c r="H73" s="406"/>
      <c r="I73" s="406"/>
      <c r="J73" s="407"/>
      <c r="K73" s="391"/>
      <c r="L73" s="391"/>
      <c r="M73" s="51"/>
      <c r="N73" s="402"/>
      <c r="O73" s="402"/>
      <c r="P73" s="403"/>
      <c r="Q73" s="403"/>
      <c r="R73" s="404"/>
      <c r="S73" s="404"/>
      <c r="T73" s="404"/>
      <c r="U73" s="404"/>
      <c r="V73" s="404"/>
      <c r="W73" s="404"/>
      <c r="X73" s="404"/>
      <c r="Y73" s="404"/>
      <c r="Z73" s="404"/>
      <c r="AA73" s="404"/>
      <c r="AB73" s="391"/>
      <c r="AC73" s="391"/>
      <c r="AD73" s="392"/>
      <c r="AF73" s="50"/>
    </row>
    <row r="74" spans="1:32" ht="25.5" customHeight="1">
      <c r="A74" s="399">
        <v>5</v>
      </c>
      <c r="B74" s="400"/>
      <c r="C74" s="98"/>
      <c r="D74" s="309"/>
      <c r="E74" s="312"/>
      <c r="F74" s="405"/>
      <c r="G74" s="406"/>
      <c r="H74" s="406"/>
      <c r="I74" s="406"/>
      <c r="J74" s="407"/>
      <c r="K74" s="391"/>
      <c r="L74" s="391"/>
      <c r="M74" s="51"/>
      <c r="N74" s="402"/>
      <c r="O74" s="402"/>
      <c r="P74" s="403"/>
      <c r="Q74" s="403"/>
      <c r="R74" s="404"/>
      <c r="S74" s="404"/>
      <c r="T74" s="404"/>
      <c r="U74" s="404"/>
      <c r="V74" s="404"/>
      <c r="W74" s="404"/>
      <c r="X74" s="404"/>
      <c r="Y74" s="404"/>
      <c r="Z74" s="404"/>
      <c r="AA74" s="404"/>
      <c r="AB74" s="391"/>
      <c r="AC74" s="391"/>
      <c r="AD74" s="392"/>
      <c r="AF74" s="50"/>
    </row>
    <row r="75" spans="1:32" ht="25.5" customHeight="1">
      <c r="A75" s="399">
        <v>6</v>
      </c>
      <c r="B75" s="400"/>
      <c r="C75" s="98"/>
      <c r="D75" s="309"/>
      <c r="E75" s="312"/>
      <c r="F75" s="405"/>
      <c r="G75" s="406"/>
      <c r="H75" s="406"/>
      <c r="I75" s="406"/>
      <c r="J75" s="407"/>
      <c r="K75" s="391"/>
      <c r="L75" s="391"/>
      <c r="M75" s="51"/>
      <c r="N75" s="402"/>
      <c r="O75" s="402"/>
      <c r="P75" s="403"/>
      <c r="Q75" s="403"/>
      <c r="R75" s="404"/>
      <c r="S75" s="404"/>
      <c r="T75" s="404"/>
      <c r="U75" s="404"/>
      <c r="V75" s="404"/>
      <c r="W75" s="404"/>
      <c r="X75" s="404"/>
      <c r="Y75" s="404"/>
      <c r="Z75" s="404"/>
      <c r="AA75" s="404"/>
      <c r="AB75" s="391"/>
      <c r="AC75" s="391"/>
      <c r="AD75" s="392"/>
      <c r="AF75" s="50"/>
    </row>
    <row r="76" spans="1:32" ht="25.5" customHeight="1">
      <c r="A76" s="399">
        <v>7</v>
      </c>
      <c r="B76" s="400"/>
      <c r="C76" s="98"/>
      <c r="D76" s="309"/>
      <c r="E76" s="312"/>
      <c r="F76" s="405"/>
      <c r="G76" s="406"/>
      <c r="H76" s="406"/>
      <c r="I76" s="406"/>
      <c r="J76" s="407"/>
      <c r="K76" s="391"/>
      <c r="L76" s="391"/>
      <c r="M76" s="51"/>
      <c r="N76" s="402"/>
      <c r="O76" s="402"/>
      <c r="P76" s="403"/>
      <c r="Q76" s="403"/>
      <c r="R76" s="404"/>
      <c r="S76" s="404"/>
      <c r="T76" s="404"/>
      <c r="U76" s="404"/>
      <c r="V76" s="404"/>
      <c r="W76" s="404"/>
      <c r="X76" s="404"/>
      <c r="Y76" s="404"/>
      <c r="Z76" s="404"/>
      <c r="AA76" s="404"/>
      <c r="AB76" s="391"/>
      <c r="AC76" s="391"/>
      <c r="AD76" s="392"/>
      <c r="AF76" s="50"/>
    </row>
    <row r="77" spans="1:32" ht="25.5" customHeight="1">
      <c r="A77" s="399">
        <v>8</v>
      </c>
      <c r="B77" s="400"/>
      <c r="C77" s="98"/>
      <c r="D77" s="309"/>
      <c r="E77" s="312"/>
      <c r="F77" s="401"/>
      <c r="G77" s="391"/>
      <c r="H77" s="391"/>
      <c r="I77" s="391"/>
      <c r="J77" s="391"/>
      <c r="K77" s="391"/>
      <c r="L77" s="391"/>
      <c r="M77" s="51"/>
      <c r="N77" s="402"/>
      <c r="O77" s="402"/>
      <c r="P77" s="403"/>
      <c r="Q77" s="403"/>
      <c r="R77" s="404"/>
      <c r="S77" s="404"/>
      <c r="T77" s="404"/>
      <c r="U77" s="404"/>
      <c r="V77" s="404"/>
      <c r="W77" s="404"/>
      <c r="X77" s="404"/>
      <c r="Y77" s="404"/>
      <c r="Z77" s="404"/>
      <c r="AA77" s="404"/>
      <c r="AB77" s="391"/>
      <c r="AC77" s="391"/>
      <c r="AD77" s="392"/>
      <c r="AF77" s="50"/>
    </row>
    <row r="78" spans="1:32" ht="25.5" customHeight="1">
      <c r="A78" s="399">
        <v>9</v>
      </c>
      <c r="B78" s="400"/>
      <c r="C78" s="98"/>
      <c r="D78" s="309"/>
      <c r="E78" s="312"/>
      <c r="F78" s="401"/>
      <c r="G78" s="391"/>
      <c r="H78" s="391"/>
      <c r="I78" s="391"/>
      <c r="J78" s="391"/>
      <c r="K78" s="391"/>
      <c r="L78" s="391"/>
      <c r="M78" s="51"/>
      <c r="N78" s="402"/>
      <c r="O78" s="402"/>
      <c r="P78" s="403"/>
      <c r="Q78" s="403"/>
      <c r="R78" s="404"/>
      <c r="S78" s="404"/>
      <c r="T78" s="404"/>
      <c r="U78" s="404"/>
      <c r="V78" s="404"/>
      <c r="W78" s="404"/>
      <c r="X78" s="404"/>
      <c r="Y78" s="404"/>
      <c r="Z78" s="404"/>
      <c r="AA78" s="404"/>
      <c r="AB78" s="391"/>
      <c r="AC78" s="391"/>
      <c r="AD78" s="392"/>
      <c r="AF78" s="50"/>
    </row>
    <row r="79" spans="1:32" ht="25.5" customHeight="1">
      <c r="A79" s="399">
        <v>10</v>
      </c>
      <c r="B79" s="400"/>
      <c r="C79" s="98"/>
      <c r="D79" s="309"/>
      <c r="E79" s="312"/>
      <c r="F79" s="401"/>
      <c r="G79" s="391"/>
      <c r="H79" s="391"/>
      <c r="I79" s="391"/>
      <c r="J79" s="391"/>
      <c r="K79" s="391"/>
      <c r="L79" s="391"/>
      <c r="M79" s="51"/>
      <c r="N79" s="402"/>
      <c r="O79" s="402"/>
      <c r="P79" s="403"/>
      <c r="Q79" s="403"/>
      <c r="R79" s="404"/>
      <c r="S79" s="404"/>
      <c r="T79" s="404"/>
      <c r="U79" s="404"/>
      <c r="V79" s="404"/>
      <c r="W79" s="404"/>
      <c r="X79" s="404"/>
      <c r="Y79" s="404"/>
      <c r="Z79" s="404"/>
      <c r="AA79" s="404"/>
      <c r="AB79" s="391"/>
      <c r="AC79" s="391"/>
      <c r="AD79" s="392"/>
      <c r="AF79" s="50"/>
    </row>
    <row r="80" spans="1:32" ht="26.25" customHeight="1" thickBot="1">
      <c r="A80" s="371" t="s">
        <v>795</v>
      </c>
      <c r="B80" s="371"/>
      <c r="C80" s="371"/>
      <c r="D80" s="371"/>
      <c r="E80" s="371"/>
      <c r="F80" s="37"/>
      <c r="G80" s="37"/>
      <c r="H80" s="38"/>
      <c r="I80" s="38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F80" s="50"/>
    </row>
    <row r="81" spans="1:32" ht="23.25" thickBot="1">
      <c r="A81" s="393" t="s">
        <v>111</v>
      </c>
      <c r="B81" s="394"/>
      <c r="C81" s="311" t="s">
        <v>2</v>
      </c>
      <c r="D81" s="311" t="s">
        <v>37</v>
      </c>
      <c r="E81" s="311" t="s">
        <v>120</v>
      </c>
      <c r="F81" s="373" t="s">
        <v>38</v>
      </c>
      <c r="G81" s="373"/>
      <c r="H81" s="373"/>
      <c r="I81" s="373"/>
      <c r="J81" s="373"/>
      <c r="K81" s="395" t="s">
        <v>58</v>
      </c>
      <c r="L81" s="396"/>
      <c r="M81" s="396"/>
      <c r="N81" s="396"/>
      <c r="O81" s="396"/>
      <c r="P81" s="396"/>
      <c r="Q81" s="396"/>
      <c r="R81" s="396"/>
      <c r="S81" s="397"/>
      <c r="T81" s="373" t="s">
        <v>49</v>
      </c>
      <c r="U81" s="373"/>
      <c r="V81" s="395" t="s">
        <v>50</v>
      </c>
      <c r="W81" s="397"/>
      <c r="X81" s="396" t="s">
        <v>51</v>
      </c>
      <c r="Y81" s="396"/>
      <c r="Z81" s="396"/>
      <c r="AA81" s="396"/>
      <c r="AB81" s="396"/>
      <c r="AC81" s="396"/>
      <c r="AD81" s="398"/>
      <c r="AF81" s="50"/>
    </row>
    <row r="82" spans="1:32" ht="33.75" customHeight="1">
      <c r="A82" s="365">
        <v>1</v>
      </c>
      <c r="B82" s="366"/>
      <c r="C82" s="310"/>
      <c r="D82" s="310"/>
      <c r="E82" s="65"/>
      <c r="F82" s="380"/>
      <c r="G82" s="381"/>
      <c r="H82" s="381"/>
      <c r="I82" s="381"/>
      <c r="J82" s="382"/>
      <c r="K82" s="383"/>
      <c r="L82" s="384"/>
      <c r="M82" s="384"/>
      <c r="N82" s="384"/>
      <c r="O82" s="384"/>
      <c r="P82" s="384"/>
      <c r="Q82" s="384"/>
      <c r="R82" s="384"/>
      <c r="S82" s="385"/>
      <c r="T82" s="386"/>
      <c r="U82" s="387"/>
      <c r="V82" s="388"/>
      <c r="W82" s="388"/>
      <c r="X82" s="389"/>
      <c r="Y82" s="389"/>
      <c r="Z82" s="389"/>
      <c r="AA82" s="389"/>
      <c r="AB82" s="389"/>
      <c r="AC82" s="389"/>
      <c r="AD82" s="390"/>
      <c r="AF82" s="50"/>
    </row>
    <row r="83" spans="1:32" ht="30" customHeight="1">
      <c r="A83" s="358">
        <f>A82+1</f>
        <v>2</v>
      </c>
      <c r="B83" s="359"/>
      <c r="C83" s="309"/>
      <c r="D83" s="309"/>
      <c r="E83" s="32"/>
      <c r="F83" s="359"/>
      <c r="G83" s="359"/>
      <c r="H83" s="359"/>
      <c r="I83" s="359"/>
      <c r="J83" s="359"/>
      <c r="K83" s="374"/>
      <c r="L83" s="375"/>
      <c r="M83" s="375"/>
      <c r="N83" s="375"/>
      <c r="O83" s="375"/>
      <c r="P83" s="375"/>
      <c r="Q83" s="375"/>
      <c r="R83" s="375"/>
      <c r="S83" s="376"/>
      <c r="T83" s="377"/>
      <c r="U83" s="377"/>
      <c r="V83" s="377"/>
      <c r="W83" s="377"/>
      <c r="X83" s="378"/>
      <c r="Y83" s="378"/>
      <c r="Z83" s="378"/>
      <c r="AA83" s="378"/>
      <c r="AB83" s="378"/>
      <c r="AC83" s="378"/>
      <c r="AD83" s="379"/>
      <c r="AF83" s="50"/>
    </row>
    <row r="84" spans="1:32" ht="30" customHeight="1">
      <c r="A84" s="358">
        <f t="shared" ref="A84:A88" si="12">A83+1</f>
        <v>3</v>
      </c>
      <c r="B84" s="359"/>
      <c r="C84" s="309"/>
      <c r="D84" s="309"/>
      <c r="E84" s="32"/>
      <c r="F84" s="359"/>
      <c r="G84" s="359"/>
      <c r="H84" s="359"/>
      <c r="I84" s="359"/>
      <c r="J84" s="359"/>
      <c r="K84" s="374"/>
      <c r="L84" s="375"/>
      <c r="M84" s="375"/>
      <c r="N84" s="375"/>
      <c r="O84" s="375"/>
      <c r="P84" s="375"/>
      <c r="Q84" s="375"/>
      <c r="R84" s="375"/>
      <c r="S84" s="376"/>
      <c r="T84" s="377"/>
      <c r="U84" s="377"/>
      <c r="V84" s="377"/>
      <c r="W84" s="377"/>
      <c r="X84" s="378"/>
      <c r="Y84" s="378"/>
      <c r="Z84" s="378"/>
      <c r="AA84" s="378"/>
      <c r="AB84" s="378"/>
      <c r="AC84" s="378"/>
      <c r="AD84" s="379"/>
      <c r="AF84" s="50"/>
    </row>
    <row r="85" spans="1:32" ht="30" customHeight="1">
      <c r="A85" s="358">
        <f t="shared" si="12"/>
        <v>4</v>
      </c>
      <c r="B85" s="359"/>
      <c r="C85" s="309"/>
      <c r="D85" s="309"/>
      <c r="E85" s="32"/>
      <c r="F85" s="359"/>
      <c r="G85" s="359"/>
      <c r="H85" s="359"/>
      <c r="I85" s="359"/>
      <c r="J85" s="359"/>
      <c r="K85" s="374"/>
      <c r="L85" s="375"/>
      <c r="M85" s="375"/>
      <c r="N85" s="375"/>
      <c r="O85" s="375"/>
      <c r="P85" s="375"/>
      <c r="Q85" s="375"/>
      <c r="R85" s="375"/>
      <c r="S85" s="376"/>
      <c r="T85" s="377"/>
      <c r="U85" s="377"/>
      <c r="V85" s="377"/>
      <c r="W85" s="377"/>
      <c r="X85" s="378"/>
      <c r="Y85" s="378"/>
      <c r="Z85" s="378"/>
      <c r="AA85" s="378"/>
      <c r="AB85" s="378"/>
      <c r="AC85" s="378"/>
      <c r="AD85" s="379"/>
      <c r="AF85" s="50"/>
    </row>
    <row r="86" spans="1:32" ht="30" customHeight="1">
      <c r="A86" s="358">
        <f t="shared" si="12"/>
        <v>5</v>
      </c>
      <c r="B86" s="359"/>
      <c r="C86" s="309"/>
      <c r="D86" s="309"/>
      <c r="E86" s="32"/>
      <c r="F86" s="359"/>
      <c r="G86" s="359"/>
      <c r="H86" s="359"/>
      <c r="I86" s="359"/>
      <c r="J86" s="359"/>
      <c r="K86" s="374"/>
      <c r="L86" s="375"/>
      <c r="M86" s="375"/>
      <c r="N86" s="375"/>
      <c r="O86" s="375"/>
      <c r="P86" s="375"/>
      <c r="Q86" s="375"/>
      <c r="R86" s="375"/>
      <c r="S86" s="376"/>
      <c r="T86" s="377"/>
      <c r="U86" s="377"/>
      <c r="V86" s="377"/>
      <c r="W86" s="377"/>
      <c r="X86" s="378"/>
      <c r="Y86" s="378"/>
      <c r="Z86" s="378"/>
      <c r="AA86" s="378"/>
      <c r="AB86" s="378"/>
      <c r="AC86" s="378"/>
      <c r="AD86" s="379"/>
      <c r="AF86" s="50"/>
    </row>
    <row r="87" spans="1:32" ht="30" customHeight="1">
      <c r="A87" s="358">
        <f t="shared" si="12"/>
        <v>6</v>
      </c>
      <c r="B87" s="359"/>
      <c r="C87" s="309"/>
      <c r="D87" s="309"/>
      <c r="E87" s="32"/>
      <c r="F87" s="359"/>
      <c r="G87" s="359"/>
      <c r="H87" s="359"/>
      <c r="I87" s="359"/>
      <c r="J87" s="359"/>
      <c r="K87" s="374"/>
      <c r="L87" s="375"/>
      <c r="M87" s="375"/>
      <c r="N87" s="375"/>
      <c r="O87" s="375"/>
      <c r="P87" s="375"/>
      <c r="Q87" s="375"/>
      <c r="R87" s="375"/>
      <c r="S87" s="376"/>
      <c r="T87" s="377"/>
      <c r="U87" s="377"/>
      <c r="V87" s="377"/>
      <c r="W87" s="377"/>
      <c r="X87" s="378"/>
      <c r="Y87" s="378"/>
      <c r="Z87" s="378"/>
      <c r="AA87" s="378"/>
      <c r="AB87" s="378"/>
      <c r="AC87" s="378"/>
      <c r="AD87" s="379"/>
      <c r="AF87" s="50"/>
    </row>
    <row r="88" spans="1:32" ht="30" customHeight="1">
      <c r="A88" s="358">
        <f t="shared" si="12"/>
        <v>7</v>
      </c>
      <c r="B88" s="359"/>
      <c r="C88" s="309"/>
      <c r="D88" s="309"/>
      <c r="E88" s="32"/>
      <c r="F88" s="359"/>
      <c r="G88" s="359"/>
      <c r="H88" s="359"/>
      <c r="I88" s="359"/>
      <c r="J88" s="359"/>
      <c r="K88" s="374"/>
      <c r="L88" s="375"/>
      <c r="M88" s="375"/>
      <c r="N88" s="375"/>
      <c r="O88" s="375"/>
      <c r="P88" s="375"/>
      <c r="Q88" s="375"/>
      <c r="R88" s="375"/>
      <c r="S88" s="376"/>
      <c r="T88" s="377"/>
      <c r="U88" s="377"/>
      <c r="V88" s="377"/>
      <c r="W88" s="377"/>
      <c r="X88" s="378"/>
      <c r="Y88" s="378"/>
      <c r="Z88" s="378"/>
      <c r="AA88" s="378"/>
      <c r="AB88" s="378"/>
      <c r="AC88" s="378"/>
      <c r="AD88" s="379"/>
      <c r="AF88" s="50"/>
    </row>
    <row r="89" spans="1:32" ht="36" thickBot="1">
      <c r="A89" s="371" t="s">
        <v>796</v>
      </c>
      <c r="B89" s="371"/>
      <c r="C89" s="371"/>
      <c r="D89" s="371"/>
      <c r="E89" s="371"/>
      <c r="F89" s="37"/>
      <c r="G89" s="37"/>
      <c r="H89" s="38"/>
      <c r="I89" s="38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F89" s="50"/>
    </row>
    <row r="90" spans="1:32" ht="30.75" customHeight="1" thickBot="1">
      <c r="A90" s="372" t="s">
        <v>111</v>
      </c>
      <c r="B90" s="373"/>
      <c r="C90" s="363" t="s">
        <v>52</v>
      </c>
      <c r="D90" s="363"/>
      <c r="E90" s="363" t="s">
        <v>53</v>
      </c>
      <c r="F90" s="363"/>
      <c r="G90" s="363"/>
      <c r="H90" s="363"/>
      <c r="I90" s="363"/>
      <c r="J90" s="363"/>
      <c r="K90" s="363" t="s">
        <v>54</v>
      </c>
      <c r="L90" s="363"/>
      <c r="M90" s="363"/>
      <c r="N90" s="363"/>
      <c r="O90" s="363"/>
      <c r="P90" s="363"/>
      <c r="Q90" s="363"/>
      <c r="R90" s="363"/>
      <c r="S90" s="363"/>
      <c r="T90" s="363" t="s">
        <v>55</v>
      </c>
      <c r="U90" s="363"/>
      <c r="V90" s="363" t="s">
        <v>56</v>
      </c>
      <c r="W90" s="363"/>
      <c r="X90" s="363"/>
      <c r="Y90" s="363" t="s">
        <v>51</v>
      </c>
      <c r="Z90" s="363"/>
      <c r="AA90" s="363"/>
      <c r="AB90" s="363"/>
      <c r="AC90" s="363"/>
      <c r="AD90" s="364"/>
      <c r="AF90" s="50"/>
    </row>
    <row r="91" spans="1:32" ht="30.75" customHeight="1">
      <c r="A91" s="365">
        <v>1</v>
      </c>
      <c r="B91" s="366"/>
      <c r="C91" s="367"/>
      <c r="D91" s="367"/>
      <c r="E91" s="367"/>
      <c r="F91" s="367"/>
      <c r="G91" s="367"/>
      <c r="H91" s="367"/>
      <c r="I91" s="367"/>
      <c r="J91" s="367"/>
      <c r="K91" s="367"/>
      <c r="L91" s="367"/>
      <c r="M91" s="367"/>
      <c r="N91" s="367"/>
      <c r="O91" s="367"/>
      <c r="P91" s="367"/>
      <c r="Q91" s="367"/>
      <c r="R91" s="367"/>
      <c r="S91" s="367"/>
      <c r="T91" s="367"/>
      <c r="U91" s="367"/>
      <c r="V91" s="368"/>
      <c r="W91" s="368"/>
      <c r="X91" s="368"/>
      <c r="Y91" s="369"/>
      <c r="Z91" s="369"/>
      <c r="AA91" s="369"/>
      <c r="AB91" s="369"/>
      <c r="AC91" s="369"/>
      <c r="AD91" s="370"/>
      <c r="AF91" s="50"/>
    </row>
    <row r="92" spans="1:32" ht="30.75" customHeight="1">
      <c r="A92" s="358">
        <v>2</v>
      </c>
      <c r="B92" s="359"/>
      <c r="C92" s="360"/>
      <c r="D92" s="360"/>
      <c r="E92" s="360"/>
      <c r="F92" s="360"/>
      <c r="G92" s="360"/>
      <c r="H92" s="360"/>
      <c r="I92" s="360"/>
      <c r="J92" s="360"/>
      <c r="K92" s="360"/>
      <c r="L92" s="360"/>
      <c r="M92" s="360"/>
      <c r="N92" s="360"/>
      <c r="O92" s="360"/>
      <c r="P92" s="360"/>
      <c r="Q92" s="360"/>
      <c r="R92" s="360"/>
      <c r="S92" s="360"/>
      <c r="T92" s="361"/>
      <c r="U92" s="361"/>
      <c r="V92" s="362"/>
      <c r="W92" s="362"/>
      <c r="X92" s="362"/>
      <c r="Y92" s="350"/>
      <c r="Z92" s="350"/>
      <c r="AA92" s="350"/>
      <c r="AB92" s="350"/>
      <c r="AC92" s="350"/>
      <c r="AD92" s="351"/>
      <c r="AF92" s="50"/>
    </row>
    <row r="93" spans="1:32" ht="30.75" customHeight="1" thickBot="1">
      <c r="A93" s="352">
        <v>3</v>
      </c>
      <c r="B93" s="353"/>
      <c r="C93" s="354"/>
      <c r="D93" s="354"/>
      <c r="E93" s="354"/>
      <c r="F93" s="354"/>
      <c r="G93" s="354"/>
      <c r="H93" s="354"/>
      <c r="I93" s="354"/>
      <c r="J93" s="354"/>
      <c r="K93" s="354"/>
      <c r="L93" s="354"/>
      <c r="M93" s="354"/>
      <c r="N93" s="354"/>
      <c r="O93" s="354"/>
      <c r="P93" s="354"/>
      <c r="Q93" s="354"/>
      <c r="R93" s="354"/>
      <c r="S93" s="354"/>
      <c r="T93" s="354"/>
      <c r="U93" s="354"/>
      <c r="V93" s="355"/>
      <c r="W93" s="355"/>
      <c r="X93" s="355"/>
      <c r="Y93" s="356"/>
      <c r="Z93" s="356"/>
      <c r="AA93" s="356"/>
      <c r="AB93" s="356"/>
      <c r="AC93" s="356"/>
      <c r="AD93" s="357"/>
      <c r="AF93" s="50"/>
    </row>
  </sheetData>
  <mergeCells count="232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8:H28"/>
    <mergeCell ref="A55:E55"/>
    <mergeCell ref="A56:M56"/>
    <mergeCell ref="N56:AD56"/>
    <mergeCell ref="A57:B57"/>
    <mergeCell ref="F57:M57"/>
    <mergeCell ref="P57:Q57"/>
    <mergeCell ref="R57:U57"/>
    <mergeCell ref="V57:AD57"/>
    <mergeCell ref="I4:O4"/>
    <mergeCell ref="P4:Q4"/>
    <mergeCell ref="R4:V4"/>
    <mergeCell ref="W4:AA4"/>
    <mergeCell ref="AB4:AB5"/>
    <mergeCell ref="AC4:AC5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R66:U66"/>
    <mergeCell ref="V66:AD66"/>
    <mergeCell ref="A67:B67"/>
    <mergeCell ref="F67:M67"/>
    <mergeCell ref="P67:Q67"/>
    <mergeCell ref="R67:U67"/>
    <mergeCell ref="V67:AD67"/>
    <mergeCell ref="A64:B64"/>
    <mergeCell ref="F64:M64"/>
    <mergeCell ref="P64:Q64"/>
    <mergeCell ref="R64:U64"/>
    <mergeCell ref="V64:AD64"/>
    <mergeCell ref="A65:B65"/>
    <mergeCell ref="F65:M65"/>
    <mergeCell ref="P65:Q65"/>
    <mergeCell ref="R65:U65"/>
    <mergeCell ref="V65:AD65"/>
    <mergeCell ref="A68:E68"/>
    <mergeCell ref="A69:B69"/>
    <mergeCell ref="F69:J69"/>
    <mergeCell ref="K69:L69"/>
    <mergeCell ref="N69:O69"/>
    <mergeCell ref="P69:Q69"/>
    <mergeCell ref="A66:B66"/>
    <mergeCell ref="F66:M66"/>
    <mergeCell ref="P66:Q66"/>
    <mergeCell ref="R69:AA69"/>
    <mergeCell ref="AB69:AD69"/>
    <mergeCell ref="A70:B70"/>
    <mergeCell ref="F70:J70"/>
    <mergeCell ref="K70:L70"/>
    <mergeCell ref="N70:O70"/>
    <mergeCell ref="P70:Q70"/>
    <mergeCell ref="R70:AA70"/>
    <mergeCell ref="AB70:AD70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AB73:AD73"/>
    <mergeCell ref="A74:B74"/>
    <mergeCell ref="F74:J74"/>
    <mergeCell ref="K74:L74"/>
    <mergeCell ref="N74:O74"/>
    <mergeCell ref="P74:Q74"/>
    <mergeCell ref="R74:AA74"/>
    <mergeCell ref="AB74:AD74"/>
    <mergeCell ref="A73:B73"/>
    <mergeCell ref="F73:J73"/>
    <mergeCell ref="K73:L73"/>
    <mergeCell ref="N73:O73"/>
    <mergeCell ref="P73:Q73"/>
    <mergeCell ref="R73:AA73"/>
    <mergeCell ref="AB75:AD75"/>
    <mergeCell ref="A76:B76"/>
    <mergeCell ref="F76:J76"/>
    <mergeCell ref="K76:L76"/>
    <mergeCell ref="N76:O76"/>
    <mergeCell ref="P76:Q76"/>
    <mergeCell ref="R76:AA76"/>
    <mergeCell ref="AB76:AD76"/>
    <mergeCell ref="A75:B75"/>
    <mergeCell ref="F75:J75"/>
    <mergeCell ref="K75:L75"/>
    <mergeCell ref="N75:O75"/>
    <mergeCell ref="P75:Q75"/>
    <mergeCell ref="R75:AA75"/>
    <mergeCell ref="AB77:AD77"/>
    <mergeCell ref="A78:B78"/>
    <mergeCell ref="F78:J78"/>
    <mergeCell ref="K78:L78"/>
    <mergeCell ref="N78:O78"/>
    <mergeCell ref="P78:Q78"/>
    <mergeCell ref="R78:AA78"/>
    <mergeCell ref="AB78:AD78"/>
    <mergeCell ref="A77:B77"/>
    <mergeCell ref="F77:J77"/>
    <mergeCell ref="K77:L77"/>
    <mergeCell ref="N77:O77"/>
    <mergeCell ref="P77:Q77"/>
    <mergeCell ref="R77:AA77"/>
    <mergeCell ref="AB79:AD79"/>
    <mergeCell ref="A80:E80"/>
    <mergeCell ref="A81:B81"/>
    <mergeCell ref="F81:J81"/>
    <mergeCell ref="K81:S81"/>
    <mergeCell ref="T81:U81"/>
    <mergeCell ref="V81:W81"/>
    <mergeCell ref="X81:AD81"/>
    <mergeCell ref="A79:B79"/>
    <mergeCell ref="F79:J79"/>
    <mergeCell ref="K79:L79"/>
    <mergeCell ref="N79:O79"/>
    <mergeCell ref="P79:Q79"/>
    <mergeCell ref="R79:AA79"/>
    <mergeCell ref="A83:B83"/>
    <mergeCell ref="F83:J83"/>
    <mergeCell ref="K83:S83"/>
    <mergeCell ref="T83:U83"/>
    <mergeCell ref="V83:W83"/>
    <mergeCell ref="X83:AD83"/>
    <mergeCell ref="A82:B82"/>
    <mergeCell ref="F82:J82"/>
    <mergeCell ref="K82:S82"/>
    <mergeCell ref="T82:U82"/>
    <mergeCell ref="V82:W82"/>
    <mergeCell ref="X82:AD82"/>
    <mergeCell ref="A85:B85"/>
    <mergeCell ref="F85:J85"/>
    <mergeCell ref="K85:S85"/>
    <mergeCell ref="T85:U85"/>
    <mergeCell ref="V85:W85"/>
    <mergeCell ref="X85:AD85"/>
    <mergeCell ref="A84:B84"/>
    <mergeCell ref="F84:J84"/>
    <mergeCell ref="K84:S84"/>
    <mergeCell ref="T84:U84"/>
    <mergeCell ref="V84:W84"/>
    <mergeCell ref="X84:AD84"/>
    <mergeCell ref="V88:W88"/>
    <mergeCell ref="X88:AD88"/>
    <mergeCell ref="A87:B87"/>
    <mergeCell ref="F87:J87"/>
    <mergeCell ref="K87:S87"/>
    <mergeCell ref="T87:U87"/>
    <mergeCell ref="V87:W87"/>
    <mergeCell ref="X87:AD87"/>
    <mergeCell ref="A86:B86"/>
    <mergeCell ref="F86:J86"/>
    <mergeCell ref="K86:S86"/>
    <mergeCell ref="T86:U86"/>
    <mergeCell ref="V86:W86"/>
    <mergeCell ref="X86:AD86"/>
    <mergeCell ref="A89:E89"/>
    <mergeCell ref="A90:B90"/>
    <mergeCell ref="C90:D90"/>
    <mergeCell ref="E90:J90"/>
    <mergeCell ref="K90:S90"/>
    <mergeCell ref="T90:U90"/>
    <mergeCell ref="A88:B88"/>
    <mergeCell ref="F88:J88"/>
    <mergeCell ref="K88:S88"/>
    <mergeCell ref="T88:U88"/>
    <mergeCell ref="V90:X90"/>
    <mergeCell ref="Y90:AD90"/>
    <mergeCell ref="A91:B91"/>
    <mergeCell ref="C91:D91"/>
    <mergeCell ref="E91:J91"/>
    <mergeCell ref="K91:S91"/>
    <mergeCell ref="T91:U91"/>
    <mergeCell ref="V91:X91"/>
    <mergeCell ref="Y91:AD91"/>
    <mergeCell ref="Y92:AD92"/>
    <mergeCell ref="A93:B93"/>
    <mergeCell ref="C93:D93"/>
    <mergeCell ref="E93:J93"/>
    <mergeCell ref="K93:S93"/>
    <mergeCell ref="T93:U93"/>
    <mergeCell ref="V93:X93"/>
    <mergeCell ref="Y93:AD93"/>
    <mergeCell ref="A92:B92"/>
    <mergeCell ref="C92:D92"/>
    <mergeCell ref="E92:J92"/>
    <mergeCell ref="K92:S92"/>
    <mergeCell ref="T92:U92"/>
    <mergeCell ref="V92:X92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r:id="rId1"/>
  <rowBreaks count="1" manualBreakCount="1">
    <brk id="53" max="29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38FED-56C0-4C78-BB65-E8F7442340BD}">
  <sheetPr codeName="Sheet19">
    <pageSetUpPr fitToPage="1"/>
  </sheetPr>
  <dimension ref="A1:AF94"/>
  <sheetViews>
    <sheetView view="pageBreakPreview" zoomScale="70" zoomScaleNormal="72" zoomScaleSheetLayoutView="70" workbookViewId="0">
      <selection activeCell="F78" sqref="F78:J78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1" bestFit="1" customWidth="1"/>
    <col min="33" max="33" width="17.625" style="50" customWidth="1"/>
    <col min="34" max="16384" width="9" style="50"/>
  </cols>
  <sheetData>
    <row r="1" spans="1:32" ht="44.25" customHeight="1">
      <c r="A1" s="461" t="s">
        <v>797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61"/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62"/>
      <c r="B3" s="462"/>
      <c r="C3" s="462"/>
      <c r="D3" s="462"/>
      <c r="E3" s="462"/>
      <c r="F3" s="462"/>
      <c r="G3" s="462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63" t="s">
        <v>0</v>
      </c>
      <c r="B4" s="465" t="s">
        <v>1</v>
      </c>
      <c r="C4" s="465" t="s">
        <v>2</v>
      </c>
      <c r="D4" s="468" t="s">
        <v>3</v>
      </c>
      <c r="E4" s="470" t="s">
        <v>4</v>
      </c>
      <c r="F4" s="468" t="s">
        <v>5</v>
      </c>
      <c r="G4" s="465" t="s">
        <v>6</v>
      </c>
      <c r="H4" s="471" t="s">
        <v>7</v>
      </c>
      <c r="I4" s="451" t="s">
        <v>8</v>
      </c>
      <c r="J4" s="452"/>
      <c r="K4" s="452"/>
      <c r="L4" s="452"/>
      <c r="M4" s="452"/>
      <c r="N4" s="452"/>
      <c r="O4" s="453"/>
      <c r="P4" s="454" t="s">
        <v>9</v>
      </c>
      <c r="Q4" s="455"/>
      <c r="R4" s="456" t="s">
        <v>10</v>
      </c>
      <c r="S4" s="457"/>
      <c r="T4" s="457"/>
      <c r="U4" s="457"/>
      <c r="V4" s="458"/>
      <c r="W4" s="457" t="s">
        <v>11</v>
      </c>
      <c r="X4" s="457"/>
      <c r="Y4" s="457"/>
      <c r="Z4" s="457"/>
      <c r="AA4" s="458"/>
      <c r="AB4" s="459" t="s">
        <v>12</v>
      </c>
      <c r="AC4" s="433" t="s">
        <v>13</v>
      </c>
      <c r="AD4" s="433" t="s">
        <v>14</v>
      </c>
      <c r="AE4" s="54"/>
    </row>
    <row r="5" spans="1:32" ht="51" customHeight="1" thickBot="1">
      <c r="A5" s="464"/>
      <c r="B5" s="466"/>
      <c r="C5" s="467"/>
      <c r="D5" s="469"/>
      <c r="E5" s="469"/>
      <c r="F5" s="469"/>
      <c r="G5" s="466"/>
      <c r="H5" s="472"/>
      <c r="I5" s="55" t="s">
        <v>15</v>
      </c>
      <c r="J5" s="56" t="s">
        <v>16</v>
      </c>
      <c r="K5" s="321" t="s">
        <v>17</v>
      </c>
      <c r="L5" s="321" t="s">
        <v>18</v>
      </c>
      <c r="M5" s="321" t="s">
        <v>19</v>
      </c>
      <c r="N5" s="321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60"/>
      <c r="AC5" s="434"/>
      <c r="AD5" s="434"/>
      <c r="AE5" s="54"/>
    </row>
    <row r="6" spans="1:32" ht="27" customHeight="1">
      <c r="A6" s="106">
        <v>1</v>
      </c>
      <c r="B6" s="11" t="s">
        <v>57</v>
      </c>
      <c r="C6" s="34" t="s">
        <v>127</v>
      </c>
      <c r="D6" s="52" t="s">
        <v>129</v>
      </c>
      <c r="E6" s="53" t="s">
        <v>311</v>
      </c>
      <c r="F6" s="30" t="s">
        <v>321</v>
      </c>
      <c r="G6" s="12">
        <v>2</v>
      </c>
      <c r="H6" s="13">
        <v>24</v>
      </c>
      <c r="I6" s="31">
        <v>20000</v>
      </c>
      <c r="J6" s="14">
        <v>5046</v>
      </c>
      <c r="K6" s="15">
        <f>L6</f>
        <v>5046</v>
      </c>
      <c r="L6" s="15">
        <f>2523*2</f>
        <v>5046</v>
      </c>
      <c r="M6" s="15">
        <f t="shared" ref="M6:M28" si="0">L6-N6</f>
        <v>5046</v>
      </c>
      <c r="N6" s="15">
        <v>0</v>
      </c>
      <c r="O6" s="58">
        <f t="shared" ref="O6:O29" si="1">IF(L6=0,"0",N6/L6)</f>
        <v>0</v>
      </c>
      <c r="P6" s="39">
        <f t="shared" ref="P6:P28" si="2">IF(L6=0,"0",(24-Q6))</f>
        <v>12</v>
      </c>
      <c r="Q6" s="40">
        <f t="shared" ref="Q6:Q28" si="3">SUM(R6:AA6)</f>
        <v>12</v>
      </c>
      <c r="R6" s="7"/>
      <c r="S6" s="6">
        <v>12</v>
      </c>
      <c r="T6" s="16"/>
      <c r="U6" s="16"/>
      <c r="V6" s="17"/>
      <c r="W6" s="5"/>
      <c r="X6" s="16"/>
      <c r="Y6" s="16"/>
      <c r="Z6" s="16"/>
      <c r="AA6" s="18"/>
      <c r="AB6" s="8">
        <f t="shared" ref="AB6:AB28" si="4">IF(J6=0,"0",(L6/J6))</f>
        <v>1</v>
      </c>
      <c r="AC6" s="9">
        <f t="shared" ref="AC6:AC28" si="5">IF(P6=0,"0",(P6/24))</f>
        <v>0.5</v>
      </c>
      <c r="AD6" s="10">
        <f>AC6*AB6*(1-O6)</f>
        <v>0.5</v>
      </c>
      <c r="AE6" s="36">
        <f t="shared" ref="AE6:AE28" si="6">$AD$29</f>
        <v>0.47463768115942034</v>
      </c>
      <c r="AF6" s="81">
        <f t="shared" ref="AF6:AF28" si="7">A6</f>
        <v>1</v>
      </c>
    </row>
    <row r="7" spans="1:32" ht="27" customHeight="1">
      <c r="A7" s="106">
        <v>2</v>
      </c>
      <c r="B7" s="11" t="s">
        <v>57</v>
      </c>
      <c r="C7" s="34" t="s">
        <v>112</v>
      </c>
      <c r="D7" s="52" t="s">
        <v>140</v>
      </c>
      <c r="E7" s="53" t="s">
        <v>315</v>
      </c>
      <c r="F7" s="30" t="s">
        <v>139</v>
      </c>
      <c r="G7" s="12">
        <v>1</v>
      </c>
      <c r="H7" s="13">
        <v>24</v>
      </c>
      <c r="I7" s="31">
        <v>55000</v>
      </c>
      <c r="J7" s="14">
        <v>6074</v>
      </c>
      <c r="K7" s="15">
        <f>L7+4962+5479+5974+5609</f>
        <v>28098</v>
      </c>
      <c r="L7" s="15">
        <f>2989+3085</f>
        <v>6074</v>
      </c>
      <c r="M7" s="15">
        <f t="shared" si="0"/>
        <v>6074</v>
      </c>
      <c r="N7" s="15">
        <v>0</v>
      </c>
      <c r="O7" s="58">
        <f t="shared" si="1"/>
        <v>0</v>
      </c>
      <c r="P7" s="39">
        <f t="shared" si="2"/>
        <v>24</v>
      </c>
      <c r="Q7" s="40">
        <f t="shared" si="3"/>
        <v>0</v>
      </c>
      <c r="R7" s="7"/>
      <c r="S7" s="6"/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1</v>
      </c>
      <c r="AD7" s="10">
        <f t="shared" ref="AD7:AD28" si="8">AC7*AB7*(1-O7)</f>
        <v>1</v>
      </c>
      <c r="AE7" s="36">
        <f t="shared" si="6"/>
        <v>0.47463768115942034</v>
      </c>
      <c r="AF7" s="81">
        <f t="shared" si="7"/>
        <v>2</v>
      </c>
    </row>
    <row r="8" spans="1:32" ht="27" customHeight="1">
      <c r="A8" s="92">
        <v>3</v>
      </c>
      <c r="B8" s="11" t="s">
        <v>57</v>
      </c>
      <c r="C8" s="34" t="s">
        <v>116</v>
      </c>
      <c r="D8" s="52" t="s">
        <v>141</v>
      </c>
      <c r="E8" s="53" t="s">
        <v>798</v>
      </c>
      <c r="F8" s="30" t="s">
        <v>124</v>
      </c>
      <c r="G8" s="12">
        <v>2</v>
      </c>
      <c r="H8" s="13">
        <v>22</v>
      </c>
      <c r="I8" s="31">
        <v>500</v>
      </c>
      <c r="J8" s="5">
        <v>4328</v>
      </c>
      <c r="K8" s="15">
        <f>L8</f>
        <v>4328</v>
      </c>
      <c r="L8" s="15">
        <f>2164*2</f>
        <v>4328</v>
      </c>
      <c r="M8" s="15">
        <f t="shared" si="0"/>
        <v>4328</v>
      </c>
      <c r="N8" s="15">
        <v>0</v>
      </c>
      <c r="O8" s="58">
        <f t="shared" si="1"/>
        <v>0</v>
      </c>
      <c r="P8" s="39">
        <f t="shared" si="2"/>
        <v>11</v>
      </c>
      <c r="Q8" s="40">
        <f t="shared" si="3"/>
        <v>13</v>
      </c>
      <c r="R8" s="7"/>
      <c r="S8" s="6"/>
      <c r="T8" s="16"/>
      <c r="U8" s="16"/>
      <c r="V8" s="17"/>
      <c r="W8" s="5"/>
      <c r="X8" s="16"/>
      <c r="Y8" s="16"/>
      <c r="Z8" s="16"/>
      <c r="AA8" s="18">
        <v>13</v>
      </c>
      <c r="AB8" s="8">
        <f t="shared" si="4"/>
        <v>1</v>
      </c>
      <c r="AC8" s="9">
        <f t="shared" si="5"/>
        <v>0.45833333333333331</v>
      </c>
      <c r="AD8" s="10">
        <f t="shared" si="8"/>
        <v>0.45833333333333331</v>
      </c>
      <c r="AE8" s="36">
        <f t="shared" si="6"/>
        <v>0.47463768115942034</v>
      </c>
      <c r="AF8" s="81">
        <f t="shared" si="7"/>
        <v>3</v>
      </c>
    </row>
    <row r="9" spans="1:32" ht="27" customHeight="1">
      <c r="A9" s="92">
        <v>4</v>
      </c>
      <c r="B9" s="11" t="s">
        <v>57</v>
      </c>
      <c r="C9" s="34" t="s">
        <v>116</v>
      </c>
      <c r="D9" s="52" t="s">
        <v>284</v>
      </c>
      <c r="E9" s="53" t="s">
        <v>312</v>
      </c>
      <c r="F9" s="30" t="s">
        <v>323</v>
      </c>
      <c r="G9" s="12">
        <v>1</v>
      </c>
      <c r="H9" s="13">
        <v>24</v>
      </c>
      <c r="I9" s="7">
        <v>60000</v>
      </c>
      <c r="J9" s="14">
        <v>6273</v>
      </c>
      <c r="K9" s="15">
        <f>L9+3954+360+4890+6432+4873+5904+4751+4306+5070+5164+5544+6344+5987</f>
        <v>69852</v>
      </c>
      <c r="L9" s="15">
        <f>3094+3179</f>
        <v>6273</v>
      </c>
      <c r="M9" s="15">
        <f t="shared" si="0"/>
        <v>6273</v>
      </c>
      <c r="N9" s="15">
        <v>0</v>
      </c>
      <c r="O9" s="58">
        <f t="shared" si="1"/>
        <v>0</v>
      </c>
      <c r="P9" s="39">
        <f t="shared" si="2"/>
        <v>24</v>
      </c>
      <c r="Q9" s="40">
        <f t="shared" si="3"/>
        <v>0</v>
      </c>
      <c r="R9" s="7"/>
      <c r="S9" s="6"/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1</v>
      </c>
      <c r="AD9" s="10">
        <f t="shared" si="8"/>
        <v>1</v>
      </c>
      <c r="AE9" s="36">
        <f t="shared" si="6"/>
        <v>0.47463768115942034</v>
      </c>
      <c r="AF9" s="81">
        <f t="shared" si="7"/>
        <v>4</v>
      </c>
    </row>
    <row r="10" spans="1:32" ht="27" customHeight="1">
      <c r="A10" s="92">
        <v>5</v>
      </c>
      <c r="B10" s="11" t="s">
        <v>57</v>
      </c>
      <c r="C10" s="11" t="s">
        <v>112</v>
      </c>
      <c r="D10" s="52" t="s">
        <v>121</v>
      </c>
      <c r="E10" s="53" t="s">
        <v>188</v>
      </c>
      <c r="F10" s="30" t="s">
        <v>124</v>
      </c>
      <c r="G10" s="33">
        <v>1</v>
      </c>
      <c r="H10" s="35">
        <v>24</v>
      </c>
      <c r="I10" s="7">
        <v>115000</v>
      </c>
      <c r="J10" s="14">
        <v>1203</v>
      </c>
      <c r="K10" s="15">
        <f>L10+5338+5669+5744+4980+3619+1932+309+2790+5660+4715+1739+3127+5884+1203</f>
        <v>52709</v>
      </c>
      <c r="L10" s="15"/>
      <c r="M10" s="15">
        <f t="shared" si="0"/>
        <v>0</v>
      </c>
      <c r="N10" s="15">
        <v>0</v>
      </c>
      <c r="O10" s="58" t="str">
        <f t="shared" si="1"/>
        <v>0</v>
      </c>
      <c r="P10" s="39" t="str">
        <f t="shared" si="2"/>
        <v>0</v>
      </c>
      <c r="Q10" s="40">
        <f t="shared" si="3"/>
        <v>24</v>
      </c>
      <c r="R10" s="7"/>
      <c r="S10" s="6">
        <v>24</v>
      </c>
      <c r="T10" s="16"/>
      <c r="U10" s="16"/>
      <c r="V10" s="17"/>
      <c r="W10" s="5"/>
      <c r="X10" s="16"/>
      <c r="Y10" s="16"/>
      <c r="Z10" s="16"/>
      <c r="AA10" s="18"/>
      <c r="AB10" s="8">
        <f t="shared" si="4"/>
        <v>0</v>
      </c>
      <c r="AC10" s="9">
        <f t="shared" si="5"/>
        <v>0</v>
      </c>
      <c r="AD10" s="10">
        <f t="shared" si="8"/>
        <v>0</v>
      </c>
      <c r="AE10" s="36">
        <f t="shared" si="6"/>
        <v>0.47463768115942034</v>
      </c>
      <c r="AF10" s="81">
        <f t="shared" si="7"/>
        <v>5</v>
      </c>
    </row>
    <row r="11" spans="1:32" ht="27" customHeight="1">
      <c r="A11" s="92">
        <v>6</v>
      </c>
      <c r="B11" s="11" t="s">
        <v>57</v>
      </c>
      <c r="C11" s="11" t="s">
        <v>127</v>
      </c>
      <c r="D11" s="52" t="s">
        <v>209</v>
      </c>
      <c r="E11" s="53" t="s">
        <v>784</v>
      </c>
      <c r="F11" s="30" t="s">
        <v>327</v>
      </c>
      <c r="G11" s="33">
        <v>1</v>
      </c>
      <c r="H11" s="35">
        <v>24</v>
      </c>
      <c r="I11" s="7">
        <v>3000</v>
      </c>
      <c r="J11" s="14">
        <v>1477</v>
      </c>
      <c r="K11" s="15">
        <f>L11+2139</f>
        <v>3616</v>
      </c>
      <c r="L11" s="15">
        <v>1477</v>
      </c>
      <c r="M11" s="15">
        <f t="shared" si="0"/>
        <v>1477</v>
      </c>
      <c r="N11" s="15">
        <v>0</v>
      </c>
      <c r="O11" s="58">
        <f t="shared" si="1"/>
        <v>0</v>
      </c>
      <c r="P11" s="39">
        <f t="shared" si="2"/>
        <v>7</v>
      </c>
      <c r="Q11" s="40">
        <f t="shared" si="3"/>
        <v>17</v>
      </c>
      <c r="R11" s="7"/>
      <c r="S11" s="6"/>
      <c r="T11" s="16"/>
      <c r="U11" s="16"/>
      <c r="V11" s="17"/>
      <c r="W11" s="5">
        <v>17</v>
      </c>
      <c r="X11" s="16"/>
      <c r="Y11" s="16"/>
      <c r="Z11" s="16"/>
      <c r="AA11" s="18"/>
      <c r="AB11" s="8">
        <f t="shared" si="4"/>
        <v>1</v>
      </c>
      <c r="AC11" s="9">
        <f t="shared" si="5"/>
        <v>0.29166666666666669</v>
      </c>
      <c r="AD11" s="10">
        <f t="shared" si="8"/>
        <v>0.29166666666666669</v>
      </c>
      <c r="AE11" s="36">
        <f t="shared" si="6"/>
        <v>0.47463768115942034</v>
      </c>
      <c r="AF11" s="81">
        <f t="shared" si="7"/>
        <v>6</v>
      </c>
    </row>
    <row r="12" spans="1:32" ht="27" customHeight="1">
      <c r="A12" s="92">
        <v>6</v>
      </c>
      <c r="B12" s="11" t="s">
        <v>57</v>
      </c>
      <c r="C12" s="11" t="s">
        <v>116</v>
      </c>
      <c r="D12" s="52" t="s">
        <v>635</v>
      </c>
      <c r="E12" s="53" t="s">
        <v>799</v>
      </c>
      <c r="F12" s="30" t="s">
        <v>128</v>
      </c>
      <c r="G12" s="33">
        <v>2</v>
      </c>
      <c r="H12" s="35">
        <v>24</v>
      </c>
      <c r="I12" s="7">
        <v>600</v>
      </c>
      <c r="J12" s="14">
        <v>6154</v>
      </c>
      <c r="K12" s="15">
        <f>L12</f>
        <v>6154</v>
      </c>
      <c r="L12" s="15">
        <f>986*2+2091*2</f>
        <v>6154</v>
      </c>
      <c r="M12" s="15">
        <f t="shared" ref="M12" si="9">L12-N12</f>
        <v>6154</v>
      </c>
      <c r="N12" s="15">
        <v>0</v>
      </c>
      <c r="O12" s="58">
        <f t="shared" ref="O12" si="10">IF(L12=0,"0",N12/L12)</f>
        <v>0</v>
      </c>
      <c r="P12" s="39">
        <f t="shared" ref="P12" si="11">IF(L12=0,"0",(24-Q12))</f>
        <v>14</v>
      </c>
      <c r="Q12" s="40">
        <f t="shared" ref="Q12" si="12">SUM(R12:AA12)</f>
        <v>10</v>
      </c>
      <c r="R12" s="7"/>
      <c r="S12" s="6"/>
      <c r="T12" s="16"/>
      <c r="U12" s="16"/>
      <c r="V12" s="17"/>
      <c r="W12" s="5">
        <v>10</v>
      </c>
      <c r="X12" s="16"/>
      <c r="Y12" s="16"/>
      <c r="Z12" s="16"/>
      <c r="AA12" s="18"/>
      <c r="AB12" s="8">
        <f t="shared" ref="AB12" si="13">IF(J12=0,"0",(L12/J12))</f>
        <v>1</v>
      </c>
      <c r="AC12" s="9">
        <f t="shared" ref="AC12" si="14">IF(P12=0,"0",(P12/24))</f>
        <v>0.58333333333333337</v>
      </c>
      <c r="AD12" s="10">
        <f t="shared" ref="AD12" si="15">AC12*AB12*(1-O12)</f>
        <v>0.58333333333333337</v>
      </c>
      <c r="AE12" s="36">
        <f t="shared" si="6"/>
        <v>0.47463768115942034</v>
      </c>
      <c r="AF12" s="81">
        <f t="shared" ref="AF12" si="16">A12</f>
        <v>6</v>
      </c>
    </row>
    <row r="13" spans="1:32" ht="27" customHeight="1">
      <c r="A13" s="92">
        <v>7</v>
      </c>
      <c r="B13" s="11" t="s">
        <v>57</v>
      </c>
      <c r="C13" s="34" t="s">
        <v>112</v>
      </c>
      <c r="D13" s="52" t="s">
        <v>147</v>
      </c>
      <c r="E13" s="53" t="s">
        <v>547</v>
      </c>
      <c r="F13" s="30" t="s">
        <v>286</v>
      </c>
      <c r="G13" s="12">
        <v>1</v>
      </c>
      <c r="H13" s="13">
        <v>22</v>
      </c>
      <c r="I13" s="31">
        <v>40000</v>
      </c>
      <c r="J13" s="5">
        <v>5174</v>
      </c>
      <c r="K13" s="15">
        <f>L13+4452+3191+2676+3717+4759+5028+4406</f>
        <v>33403</v>
      </c>
      <c r="L13" s="15">
        <f>2557+2617</f>
        <v>5174</v>
      </c>
      <c r="M13" s="15">
        <f t="shared" si="0"/>
        <v>5174</v>
      </c>
      <c r="N13" s="15">
        <v>0</v>
      </c>
      <c r="O13" s="58">
        <f t="shared" si="1"/>
        <v>0</v>
      </c>
      <c r="P13" s="39">
        <f t="shared" si="2"/>
        <v>24</v>
      </c>
      <c r="Q13" s="40">
        <f t="shared" si="3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1</v>
      </c>
      <c r="AD13" s="10">
        <f t="shared" si="8"/>
        <v>1</v>
      </c>
      <c r="AE13" s="36">
        <f t="shared" si="6"/>
        <v>0.47463768115942034</v>
      </c>
      <c r="AF13" s="81">
        <f t="shared" si="7"/>
        <v>7</v>
      </c>
    </row>
    <row r="14" spans="1:32" ht="27" customHeight="1">
      <c r="A14" s="92">
        <v>8</v>
      </c>
      <c r="B14" s="11" t="s">
        <v>57</v>
      </c>
      <c r="C14" s="11" t="s">
        <v>127</v>
      </c>
      <c r="D14" s="52" t="s">
        <v>209</v>
      </c>
      <c r="E14" s="53" t="s">
        <v>180</v>
      </c>
      <c r="F14" s="30" t="s">
        <v>123</v>
      </c>
      <c r="G14" s="33">
        <v>1</v>
      </c>
      <c r="H14" s="35">
        <v>22</v>
      </c>
      <c r="I14" s="7">
        <v>17400</v>
      </c>
      <c r="J14" s="14">
        <v>2427</v>
      </c>
      <c r="K14" s="15">
        <f>L14+3357+4440+1929+1975+4105+1402</f>
        <v>19635</v>
      </c>
      <c r="L14" s="15">
        <f>820+1607</f>
        <v>2427</v>
      </c>
      <c r="M14" s="15">
        <f t="shared" si="0"/>
        <v>2427</v>
      </c>
      <c r="N14" s="15">
        <v>0</v>
      </c>
      <c r="O14" s="58">
        <f t="shared" si="1"/>
        <v>0</v>
      </c>
      <c r="P14" s="39">
        <f t="shared" si="2"/>
        <v>15</v>
      </c>
      <c r="Q14" s="40">
        <f t="shared" si="3"/>
        <v>9</v>
      </c>
      <c r="R14" s="7"/>
      <c r="S14" s="6">
        <v>9</v>
      </c>
      <c r="T14" s="16"/>
      <c r="U14" s="16"/>
      <c r="V14" s="17"/>
      <c r="W14" s="5"/>
      <c r="X14" s="16"/>
      <c r="Y14" s="16"/>
      <c r="Z14" s="16"/>
      <c r="AA14" s="18"/>
      <c r="AB14" s="8">
        <f t="shared" si="4"/>
        <v>1</v>
      </c>
      <c r="AC14" s="9">
        <f t="shared" si="5"/>
        <v>0.625</v>
      </c>
      <c r="AD14" s="10">
        <f t="shared" si="8"/>
        <v>0.625</v>
      </c>
      <c r="AE14" s="36">
        <f t="shared" si="6"/>
        <v>0.47463768115942034</v>
      </c>
      <c r="AF14" s="81">
        <f t="shared" si="7"/>
        <v>8</v>
      </c>
    </row>
    <row r="15" spans="1:32" ht="27" customHeight="1">
      <c r="A15" s="99">
        <v>9</v>
      </c>
      <c r="B15" s="11" t="s">
        <v>57</v>
      </c>
      <c r="C15" s="34" t="s">
        <v>759</v>
      </c>
      <c r="D15" s="52"/>
      <c r="E15" s="53" t="s">
        <v>758</v>
      </c>
      <c r="F15" s="30" t="s">
        <v>785</v>
      </c>
      <c r="G15" s="33">
        <v>1</v>
      </c>
      <c r="H15" s="35">
        <v>50</v>
      </c>
      <c r="I15" s="7">
        <v>500</v>
      </c>
      <c r="J15" s="5">
        <v>712</v>
      </c>
      <c r="K15" s="15">
        <f>L15+208</f>
        <v>920</v>
      </c>
      <c r="L15" s="15">
        <v>712</v>
      </c>
      <c r="M15" s="15">
        <f t="shared" si="0"/>
        <v>712</v>
      </c>
      <c r="N15" s="15">
        <v>0</v>
      </c>
      <c r="O15" s="58">
        <f t="shared" si="1"/>
        <v>0</v>
      </c>
      <c r="P15" s="39">
        <f t="shared" si="2"/>
        <v>10</v>
      </c>
      <c r="Q15" s="40">
        <f t="shared" si="3"/>
        <v>14</v>
      </c>
      <c r="R15" s="7"/>
      <c r="S15" s="6">
        <v>14</v>
      </c>
      <c r="T15" s="16"/>
      <c r="U15" s="16"/>
      <c r="V15" s="17"/>
      <c r="W15" s="5"/>
      <c r="X15" s="16"/>
      <c r="Y15" s="16"/>
      <c r="Z15" s="16"/>
      <c r="AA15" s="18"/>
      <c r="AB15" s="8">
        <f t="shared" si="4"/>
        <v>1</v>
      </c>
      <c r="AC15" s="9">
        <f t="shared" si="5"/>
        <v>0.41666666666666669</v>
      </c>
      <c r="AD15" s="10">
        <f t="shared" si="8"/>
        <v>0.41666666666666669</v>
      </c>
      <c r="AE15" s="36">
        <f t="shared" si="6"/>
        <v>0.47463768115942034</v>
      </c>
      <c r="AF15" s="81">
        <f t="shared" si="7"/>
        <v>9</v>
      </c>
    </row>
    <row r="16" spans="1:32" ht="27" customHeight="1">
      <c r="A16" s="106">
        <v>10</v>
      </c>
      <c r="B16" s="11" t="s">
        <v>57</v>
      </c>
      <c r="C16" s="34" t="s">
        <v>112</v>
      </c>
      <c r="D16" s="52" t="s">
        <v>208</v>
      </c>
      <c r="E16" s="53" t="s">
        <v>555</v>
      </c>
      <c r="F16" s="30" t="s">
        <v>142</v>
      </c>
      <c r="G16" s="12">
        <v>1</v>
      </c>
      <c r="H16" s="13">
        <v>24</v>
      </c>
      <c r="I16" s="31">
        <v>2500</v>
      </c>
      <c r="J16" s="14">
        <v>2828</v>
      </c>
      <c r="K16" s="15">
        <f>L16+2828</f>
        <v>2828</v>
      </c>
      <c r="L16" s="15"/>
      <c r="M16" s="15">
        <f t="shared" si="0"/>
        <v>0</v>
      </c>
      <c r="N16" s="15">
        <v>0</v>
      </c>
      <c r="O16" s="58" t="str">
        <f t="shared" si="1"/>
        <v>0</v>
      </c>
      <c r="P16" s="39" t="str">
        <f t="shared" si="2"/>
        <v>0</v>
      </c>
      <c r="Q16" s="40">
        <f t="shared" si="3"/>
        <v>24</v>
      </c>
      <c r="R16" s="7"/>
      <c r="S16" s="6"/>
      <c r="T16" s="16"/>
      <c r="U16" s="16"/>
      <c r="V16" s="17"/>
      <c r="W16" s="5"/>
      <c r="X16" s="16"/>
      <c r="Y16" s="16"/>
      <c r="Z16" s="16"/>
      <c r="AA16" s="18">
        <v>24</v>
      </c>
      <c r="AB16" s="8">
        <f t="shared" si="4"/>
        <v>0</v>
      </c>
      <c r="AC16" s="9">
        <f t="shared" si="5"/>
        <v>0</v>
      </c>
      <c r="AD16" s="10">
        <f t="shared" si="8"/>
        <v>0</v>
      </c>
      <c r="AE16" s="36">
        <f t="shared" si="6"/>
        <v>0.47463768115942034</v>
      </c>
      <c r="AF16" s="81">
        <f t="shared" si="7"/>
        <v>10</v>
      </c>
    </row>
    <row r="17" spans="1:32" ht="27" customHeight="1">
      <c r="A17" s="92">
        <v>11</v>
      </c>
      <c r="B17" s="11" t="s">
        <v>57</v>
      </c>
      <c r="C17" s="34" t="s">
        <v>116</v>
      </c>
      <c r="D17" s="52" t="s">
        <v>129</v>
      </c>
      <c r="E17" s="53" t="s">
        <v>178</v>
      </c>
      <c r="F17" s="30" t="s">
        <v>124</v>
      </c>
      <c r="G17" s="12">
        <v>1</v>
      </c>
      <c r="H17" s="13">
        <v>22</v>
      </c>
      <c r="I17" s="31">
        <v>90000</v>
      </c>
      <c r="J17" s="5">
        <v>8174</v>
      </c>
      <c r="K17" s="15">
        <f>L17+8120+11780+9608+2367+4983+6240+3068+8262+5992+5220+6666</f>
        <v>80480</v>
      </c>
      <c r="L17" s="15">
        <f>2286+2944*2</f>
        <v>8174</v>
      </c>
      <c r="M17" s="15">
        <f t="shared" si="0"/>
        <v>8174</v>
      </c>
      <c r="N17" s="15">
        <v>0</v>
      </c>
      <c r="O17" s="58">
        <f t="shared" si="1"/>
        <v>0</v>
      </c>
      <c r="P17" s="39">
        <f t="shared" si="2"/>
        <v>22</v>
      </c>
      <c r="Q17" s="40">
        <f t="shared" si="3"/>
        <v>2</v>
      </c>
      <c r="R17" s="7"/>
      <c r="S17" s="6">
        <v>2</v>
      </c>
      <c r="T17" s="16"/>
      <c r="U17" s="16"/>
      <c r="V17" s="17"/>
      <c r="W17" s="5"/>
      <c r="X17" s="16"/>
      <c r="Y17" s="16"/>
      <c r="Z17" s="16"/>
      <c r="AA17" s="18"/>
      <c r="AB17" s="8">
        <f t="shared" si="4"/>
        <v>1</v>
      </c>
      <c r="AC17" s="9">
        <f t="shared" si="5"/>
        <v>0.91666666666666663</v>
      </c>
      <c r="AD17" s="10">
        <f t="shared" si="8"/>
        <v>0.91666666666666663</v>
      </c>
      <c r="AE17" s="36">
        <f t="shared" si="6"/>
        <v>0.47463768115942034</v>
      </c>
      <c r="AF17" s="81">
        <f t="shared" si="7"/>
        <v>11</v>
      </c>
    </row>
    <row r="18" spans="1:32" ht="27" customHeight="1">
      <c r="A18" s="106">
        <v>12</v>
      </c>
      <c r="B18" s="11" t="s">
        <v>57</v>
      </c>
      <c r="C18" s="34" t="s">
        <v>127</v>
      </c>
      <c r="D18" s="52" t="s">
        <v>121</v>
      </c>
      <c r="E18" s="53" t="s">
        <v>800</v>
      </c>
      <c r="F18" s="30" t="s">
        <v>625</v>
      </c>
      <c r="G18" s="12">
        <v>1</v>
      </c>
      <c r="H18" s="13">
        <v>24</v>
      </c>
      <c r="I18" s="7">
        <v>4000</v>
      </c>
      <c r="J18" s="14">
        <v>4163</v>
      </c>
      <c r="K18" s="15">
        <f>L18</f>
        <v>4163</v>
      </c>
      <c r="L18" s="15">
        <f>2338+1825</f>
        <v>4163</v>
      </c>
      <c r="M18" s="15">
        <f t="shared" si="0"/>
        <v>4163</v>
      </c>
      <c r="N18" s="15">
        <v>0</v>
      </c>
      <c r="O18" s="58">
        <f t="shared" si="1"/>
        <v>0</v>
      </c>
      <c r="P18" s="39">
        <f t="shared" si="2"/>
        <v>23</v>
      </c>
      <c r="Q18" s="40">
        <f t="shared" si="3"/>
        <v>1</v>
      </c>
      <c r="R18" s="7"/>
      <c r="S18" s="6"/>
      <c r="T18" s="16"/>
      <c r="U18" s="16"/>
      <c r="V18" s="17"/>
      <c r="W18" s="5">
        <v>1</v>
      </c>
      <c r="X18" s="16"/>
      <c r="Y18" s="16"/>
      <c r="Z18" s="16"/>
      <c r="AA18" s="18"/>
      <c r="AB18" s="8">
        <f t="shared" si="4"/>
        <v>1</v>
      </c>
      <c r="AC18" s="9">
        <f t="shared" si="5"/>
        <v>0.95833333333333337</v>
      </c>
      <c r="AD18" s="10">
        <f t="shared" si="8"/>
        <v>0.95833333333333337</v>
      </c>
      <c r="AE18" s="36">
        <f t="shared" si="6"/>
        <v>0.47463768115942034</v>
      </c>
      <c r="AF18" s="81">
        <f t="shared" si="7"/>
        <v>12</v>
      </c>
    </row>
    <row r="19" spans="1:32" ht="27" customHeight="1">
      <c r="A19" s="92">
        <v>13</v>
      </c>
      <c r="B19" s="11" t="s">
        <v>57</v>
      </c>
      <c r="C19" s="34" t="s">
        <v>116</v>
      </c>
      <c r="D19" s="52" t="s">
        <v>115</v>
      </c>
      <c r="E19" s="53" t="s">
        <v>769</v>
      </c>
      <c r="F19" s="30" t="s">
        <v>138</v>
      </c>
      <c r="G19" s="12">
        <v>1</v>
      </c>
      <c r="H19" s="13">
        <v>22</v>
      </c>
      <c r="I19" s="31">
        <v>17000</v>
      </c>
      <c r="J19" s="5">
        <v>666</v>
      </c>
      <c r="K19" s="15">
        <f>L19+1550</f>
        <v>2216</v>
      </c>
      <c r="L19" s="15">
        <f>101+565</f>
        <v>666</v>
      </c>
      <c r="M19" s="15">
        <f t="shared" si="0"/>
        <v>666</v>
      </c>
      <c r="N19" s="15">
        <v>0</v>
      </c>
      <c r="O19" s="58">
        <f t="shared" si="1"/>
        <v>0</v>
      </c>
      <c r="P19" s="39">
        <f t="shared" si="2"/>
        <v>4</v>
      </c>
      <c r="Q19" s="40">
        <f t="shared" si="3"/>
        <v>20</v>
      </c>
      <c r="R19" s="7"/>
      <c r="S19" s="6">
        <v>20</v>
      </c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0.16666666666666666</v>
      </c>
      <c r="AD19" s="10">
        <f t="shared" si="8"/>
        <v>0.16666666666666666</v>
      </c>
      <c r="AE19" s="36">
        <f t="shared" si="6"/>
        <v>0.47463768115942034</v>
      </c>
      <c r="AF19" s="81">
        <f t="shared" si="7"/>
        <v>13</v>
      </c>
    </row>
    <row r="20" spans="1:32" ht="27" customHeight="1">
      <c r="A20" s="92">
        <v>14</v>
      </c>
      <c r="B20" s="11" t="s">
        <v>57</v>
      </c>
      <c r="C20" s="11" t="s">
        <v>112</v>
      </c>
      <c r="D20" s="52" t="s">
        <v>287</v>
      </c>
      <c r="E20" s="53" t="s">
        <v>770</v>
      </c>
      <c r="F20" s="30" t="s">
        <v>124</v>
      </c>
      <c r="G20" s="33">
        <v>1</v>
      </c>
      <c r="H20" s="35">
        <v>24</v>
      </c>
      <c r="I20" s="7">
        <v>35000</v>
      </c>
      <c r="J20" s="14">
        <v>2187</v>
      </c>
      <c r="K20" s="15">
        <f>L20</f>
        <v>2187</v>
      </c>
      <c r="L20" s="15">
        <f>1203+984</f>
        <v>2187</v>
      </c>
      <c r="M20" s="15">
        <f t="shared" si="0"/>
        <v>2187</v>
      </c>
      <c r="N20" s="15">
        <v>0</v>
      </c>
      <c r="O20" s="58">
        <f t="shared" si="1"/>
        <v>0</v>
      </c>
      <c r="P20" s="39">
        <f t="shared" si="2"/>
        <v>10</v>
      </c>
      <c r="Q20" s="40">
        <f t="shared" si="3"/>
        <v>14</v>
      </c>
      <c r="R20" s="7"/>
      <c r="S20" s="6">
        <v>14</v>
      </c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0.41666666666666669</v>
      </c>
      <c r="AD20" s="10">
        <f t="shared" si="8"/>
        <v>0.41666666666666669</v>
      </c>
      <c r="AE20" s="36">
        <f t="shared" si="6"/>
        <v>0.47463768115942034</v>
      </c>
      <c r="AF20" s="81">
        <f t="shared" si="7"/>
        <v>14</v>
      </c>
    </row>
    <row r="21" spans="1:32" ht="27" customHeight="1">
      <c r="A21" s="106">
        <v>15</v>
      </c>
      <c r="B21" s="11" t="s">
        <v>57</v>
      </c>
      <c r="C21" s="11" t="s">
        <v>112</v>
      </c>
      <c r="D21" s="52" t="s">
        <v>115</v>
      </c>
      <c r="E21" s="53" t="s">
        <v>148</v>
      </c>
      <c r="F21" s="30" t="s">
        <v>138</v>
      </c>
      <c r="G21" s="33">
        <v>2</v>
      </c>
      <c r="H21" s="35">
        <v>24</v>
      </c>
      <c r="I21" s="7">
        <v>190000</v>
      </c>
      <c r="J21" s="14">
        <v>3045</v>
      </c>
      <c r="K21" s="15">
        <f>L21+2429+7472+8688+7444+11036+10988+11010+10896+8170+1188+8544+8600+10428+2136+6276+9709+8542+9846+6657+2519+4495</f>
        <v>160118</v>
      </c>
      <c r="L21" s="15">
        <f>259+2786</f>
        <v>3045</v>
      </c>
      <c r="M21" s="15">
        <f t="shared" si="0"/>
        <v>3045</v>
      </c>
      <c r="N21" s="15">
        <v>0</v>
      </c>
      <c r="O21" s="58">
        <f t="shared" si="1"/>
        <v>0</v>
      </c>
      <c r="P21" s="39">
        <f t="shared" si="2"/>
        <v>14</v>
      </c>
      <c r="Q21" s="40">
        <f t="shared" si="3"/>
        <v>10</v>
      </c>
      <c r="R21" s="7"/>
      <c r="S21" s="6">
        <v>10</v>
      </c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0.58333333333333337</v>
      </c>
      <c r="AD21" s="10">
        <f t="shared" si="8"/>
        <v>0.58333333333333337</v>
      </c>
      <c r="AE21" s="36">
        <f t="shared" si="6"/>
        <v>0.47463768115942034</v>
      </c>
      <c r="AF21" s="81">
        <f t="shared" si="7"/>
        <v>15</v>
      </c>
    </row>
    <row r="22" spans="1:32" ht="26.25" customHeight="1">
      <c r="A22" s="92">
        <v>16</v>
      </c>
      <c r="B22" s="11" t="s">
        <v>57</v>
      </c>
      <c r="C22" s="11" t="s">
        <v>113</v>
      </c>
      <c r="D22" s="52"/>
      <c r="E22" s="53" t="s">
        <v>160</v>
      </c>
      <c r="F22" s="12" t="s">
        <v>114</v>
      </c>
      <c r="G22" s="12">
        <v>4</v>
      </c>
      <c r="H22" s="35">
        <v>20</v>
      </c>
      <c r="I22" s="7">
        <v>2000000</v>
      </c>
      <c r="J22" s="14">
        <v>63248</v>
      </c>
      <c r="K22" s="15">
        <f>L22+29876+62940+54476+54396+57856+63452+64136+60836+58660+62760+62928+64084+55912+44824+63988+40136</f>
        <v>964508</v>
      </c>
      <c r="L22" s="15">
        <f>7915*4+7897*4</f>
        <v>63248</v>
      </c>
      <c r="M22" s="15">
        <f t="shared" si="0"/>
        <v>63248</v>
      </c>
      <c r="N22" s="15">
        <v>0</v>
      </c>
      <c r="O22" s="58">
        <f t="shared" si="1"/>
        <v>0</v>
      </c>
      <c r="P22" s="39">
        <f t="shared" si="2"/>
        <v>24</v>
      </c>
      <c r="Q22" s="40">
        <f t="shared" si="3"/>
        <v>0</v>
      </c>
      <c r="R22" s="7"/>
      <c r="S22" s="6"/>
      <c r="T22" s="16"/>
      <c r="U22" s="16"/>
      <c r="V22" s="17"/>
      <c r="W22" s="5"/>
      <c r="X22" s="16"/>
      <c r="Y22" s="16"/>
      <c r="Z22" s="16"/>
      <c r="AA22" s="18"/>
      <c r="AB22" s="8">
        <f t="shared" si="4"/>
        <v>1</v>
      </c>
      <c r="AC22" s="9">
        <f t="shared" si="5"/>
        <v>1</v>
      </c>
      <c r="AD22" s="10">
        <f t="shared" si="8"/>
        <v>1</v>
      </c>
      <c r="AE22" s="36">
        <f t="shared" si="6"/>
        <v>0.47463768115942034</v>
      </c>
      <c r="AF22" s="81">
        <f t="shared" si="7"/>
        <v>16</v>
      </c>
    </row>
    <row r="23" spans="1:32" ht="21.75" customHeight="1">
      <c r="A23" s="92">
        <v>31</v>
      </c>
      <c r="B23" s="11" t="s">
        <v>57</v>
      </c>
      <c r="C23" s="11" t="s">
        <v>116</v>
      </c>
      <c r="D23" s="52" t="s">
        <v>115</v>
      </c>
      <c r="E23" s="53" t="s">
        <v>174</v>
      </c>
      <c r="F23" s="12" t="s">
        <v>138</v>
      </c>
      <c r="G23" s="12">
        <v>4</v>
      </c>
      <c r="H23" s="35">
        <v>20</v>
      </c>
      <c r="I23" s="7">
        <v>50000</v>
      </c>
      <c r="J23" s="14">
        <v>24116</v>
      </c>
      <c r="K23" s="15">
        <f>L23+13424+21584+22708+24116</f>
        <v>81832</v>
      </c>
      <c r="L23" s="15"/>
      <c r="M23" s="15">
        <f t="shared" si="0"/>
        <v>0</v>
      </c>
      <c r="N23" s="15">
        <v>0</v>
      </c>
      <c r="O23" s="58" t="str">
        <f t="shared" si="1"/>
        <v>0</v>
      </c>
      <c r="P23" s="39" t="str">
        <f t="shared" si="2"/>
        <v>0</v>
      </c>
      <c r="Q23" s="40">
        <f t="shared" si="3"/>
        <v>24</v>
      </c>
      <c r="R23" s="7"/>
      <c r="S23" s="6"/>
      <c r="T23" s="16"/>
      <c r="U23" s="16"/>
      <c r="V23" s="17"/>
      <c r="W23" s="5">
        <v>24</v>
      </c>
      <c r="X23" s="16"/>
      <c r="Y23" s="16"/>
      <c r="Z23" s="16"/>
      <c r="AA23" s="18"/>
      <c r="AB23" s="8">
        <f t="shared" si="4"/>
        <v>0</v>
      </c>
      <c r="AC23" s="9">
        <f t="shared" si="5"/>
        <v>0</v>
      </c>
      <c r="AD23" s="10">
        <f t="shared" si="8"/>
        <v>0</v>
      </c>
      <c r="AE23" s="36">
        <f t="shared" si="6"/>
        <v>0.47463768115942034</v>
      </c>
      <c r="AF23" s="81">
        <f t="shared" si="7"/>
        <v>31</v>
      </c>
    </row>
    <row r="24" spans="1:32" ht="21.75" customHeight="1">
      <c r="A24" s="92">
        <v>32</v>
      </c>
      <c r="B24" s="11" t="s">
        <v>57</v>
      </c>
      <c r="C24" s="11"/>
      <c r="D24" s="52"/>
      <c r="E24" s="53"/>
      <c r="F24" s="12"/>
      <c r="G24" s="12"/>
      <c r="H24" s="35">
        <v>20</v>
      </c>
      <c r="I24" s="7"/>
      <c r="J24" s="14">
        <v>0</v>
      </c>
      <c r="K24" s="15">
        <f t="shared" ref="K24" si="17">L24</f>
        <v>0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7"/>
      <c r="W24" s="5">
        <v>24</v>
      </c>
      <c r="X24" s="16"/>
      <c r="Y24" s="16"/>
      <c r="Z24" s="16"/>
      <c r="AA24" s="18"/>
      <c r="AB24" s="8" t="str">
        <f t="shared" si="4"/>
        <v>0</v>
      </c>
      <c r="AC24" s="9">
        <f t="shared" si="5"/>
        <v>0</v>
      </c>
      <c r="AD24" s="10">
        <f t="shared" si="8"/>
        <v>0</v>
      </c>
      <c r="AE24" s="36">
        <f t="shared" si="6"/>
        <v>0.47463768115942034</v>
      </c>
      <c r="AF24" s="81">
        <f t="shared" si="7"/>
        <v>32</v>
      </c>
    </row>
    <row r="25" spans="1:32" ht="21.75" customHeight="1">
      <c r="A25" s="92">
        <v>33</v>
      </c>
      <c r="B25" s="11" t="s">
        <v>57</v>
      </c>
      <c r="C25" s="11" t="s">
        <v>116</v>
      </c>
      <c r="D25" s="52" t="s">
        <v>147</v>
      </c>
      <c r="E25" s="53" t="s">
        <v>183</v>
      </c>
      <c r="F25" s="12" t="s">
        <v>124</v>
      </c>
      <c r="G25" s="12">
        <v>3</v>
      </c>
      <c r="H25" s="35">
        <v>20</v>
      </c>
      <c r="I25" s="7">
        <v>50000</v>
      </c>
      <c r="J25" s="14">
        <v>21522</v>
      </c>
      <c r="K25" s="15">
        <f>L25+16720+23067+20250+21522</f>
        <v>81559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14"/>
      <c r="W25" s="5">
        <v>24</v>
      </c>
      <c r="X25" s="16"/>
      <c r="Y25" s="16"/>
      <c r="Z25" s="16"/>
      <c r="AA25" s="18"/>
      <c r="AB25" s="8">
        <f t="shared" si="4"/>
        <v>0</v>
      </c>
      <c r="AC25" s="9">
        <f t="shared" si="5"/>
        <v>0</v>
      </c>
      <c r="AD25" s="10">
        <f t="shared" si="8"/>
        <v>0</v>
      </c>
      <c r="AE25" s="36">
        <f t="shared" si="6"/>
        <v>0.47463768115942034</v>
      </c>
      <c r="AF25" s="81">
        <f t="shared" si="7"/>
        <v>33</v>
      </c>
    </row>
    <row r="26" spans="1:32" ht="21.75" customHeight="1">
      <c r="A26" s="92">
        <v>34</v>
      </c>
      <c r="B26" s="11" t="s">
        <v>57</v>
      </c>
      <c r="C26" s="11" t="s">
        <v>116</v>
      </c>
      <c r="D26" s="52" t="s">
        <v>129</v>
      </c>
      <c r="E26" s="53" t="s">
        <v>172</v>
      </c>
      <c r="F26" s="12" t="s">
        <v>125</v>
      </c>
      <c r="G26" s="12">
        <v>4</v>
      </c>
      <c r="H26" s="35">
        <v>20</v>
      </c>
      <c r="I26" s="7">
        <v>50000</v>
      </c>
      <c r="J26" s="14">
        <v>26548</v>
      </c>
      <c r="K26" s="15">
        <f>L26+15172+24432+25280+26548</f>
        <v>91432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24</v>
      </c>
      <c r="R26" s="7"/>
      <c r="S26" s="6"/>
      <c r="T26" s="16"/>
      <c r="U26" s="16"/>
      <c r="V26" s="114"/>
      <c r="W26" s="5">
        <v>24</v>
      </c>
      <c r="X26" s="16"/>
      <c r="Y26" s="16"/>
      <c r="Z26" s="16"/>
      <c r="AA26" s="18"/>
      <c r="AB26" s="8">
        <f t="shared" si="4"/>
        <v>0</v>
      </c>
      <c r="AC26" s="9">
        <f t="shared" si="5"/>
        <v>0</v>
      </c>
      <c r="AD26" s="10">
        <f t="shared" si="8"/>
        <v>0</v>
      </c>
      <c r="AE26" s="36">
        <f t="shared" si="6"/>
        <v>0.47463768115942034</v>
      </c>
      <c r="AF26" s="81">
        <f t="shared" si="7"/>
        <v>34</v>
      </c>
    </row>
    <row r="27" spans="1:32" ht="21.75" customHeight="1">
      <c r="A27" s="92">
        <v>35</v>
      </c>
      <c r="B27" s="11" t="s">
        <v>57</v>
      </c>
      <c r="C27" s="11" t="s">
        <v>116</v>
      </c>
      <c r="D27" s="52" t="s">
        <v>121</v>
      </c>
      <c r="E27" s="53" t="s">
        <v>126</v>
      </c>
      <c r="F27" s="12" t="s">
        <v>125</v>
      </c>
      <c r="G27" s="12">
        <v>4</v>
      </c>
      <c r="H27" s="35">
        <v>20</v>
      </c>
      <c r="I27" s="7">
        <v>50000</v>
      </c>
      <c r="J27" s="14">
        <v>26944</v>
      </c>
      <c r="K27" s="15">
        <f>L27+24592+26944+21716</f>
        <v>73252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24</v>
      </c>
      <c r="R27" s="7"/>
      <c r="S27" s="6"/>
      <c r="T27" s="16"/>
      <c r="U27" s="16"/>
      <c r="V27" s="114"/>
      <c r="W27" s="5">
        <v>24</v>
      </c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8"/>
        <v>0</v>
      </c>
      <c r="AE27" s="36">
        <f t="shared" si="6"/>
        <v>0.47463768115942034</v>
      </c>
      <c r="AF27" s="81">
        <f t="shared" si="7"/>
        <v>35</v>
      </c>
    </row>
    <row r="28" spans="1:32" ht="21.75" customHeight="1" thickBot="1">
      <c r="A28" s="92">
        <v>36</v>
      </c>
      <c r="B28" s="11" t="s">
        <v>57</v>
      </c>
      <c r="C28" s="11" t="s">
        <v>113</v>
      </c>
      <c r="D28" s="52"/>
      <c r="E28" s="53" t="s">
        <v>182</v>
      </c>
      <c r="F28" s="12" t="s">
        <v>114</v>
      </c>
      <c r="G28" s="12">
        <v>4</v>
      </c>
      <c r="H28" s="35">
        <v>20</v>
      </c>
      <c r="I28" s="7">
        <v>1000000</v>
      </c>
      <c r="J28" s="14">
        <v>83092</v>
      </c>
      <c r="K28" s="15">
        <f>L28+28388+70816+76368+81764+83428+47688+53180</f>
        <v>524724</v>
      </c>
      <c r="L28" s="15">
        <f>10000*4+10773*4</f>
        <v>83092</v>
      </c>
      <c r="M28" s="15">
        <f t="shared" si="0"/>
        <v>83092</v>
      </c>
      <c r="N28" s="15">
        <v>0</v>
      </c>
      <c r="O28" s="58">
        <f t="shared" si="1"/>
        <v>0</v>
      </c>
      <c r="P28" s="39">
        <f t="shared" si="2"/>
        <v>24</v>
      </c>
      <c r="Q28" s="40">
        <f t="shared" si="3"/>
        <v>0</v>
      </c>
      <c r="R28" s="7"/>
      <c r="S28" s="6"/>
      <c r="T28" s="16"/>
      <c r="U28" s="16"/>
      <c r="V28" s="114"/>
      <c r="W28" s="5"/>
      <c r="X28" s="16"/>
      <c r="Y28" s="16"/>
      <c r="Z28" s="16"/>
      <c r="AA28" s="18"/>
      <c r="AB28" s="8">
        <f t="shared" si="4"/>
        <v>1</v>
      </c>
      <c r="AC28" s="9">
        <f t="shared" si="5"/>
        <v>1</v>
      </c>
      <c r="AD28" s="10">
        <f t="shared" si="8"/>
        <v>1</v>
      </c>
      <c r="AE28" s="36">
        <f t="shared" si="6"/>
        <v>0.47463768115942034</v>
      </c>
      <c r="AF28" s="81">
        <f t="shared" si="7"/>
        <v>36</v>
      </c>
    </row>
    <row r="29" spans="1:32" ht="19.5" thickBot="1">
      <c r="A29" s="435" t="s">
        <v>34</v>
      </c>
      <c r="B29" s="436"/>
      <c r="C29" s="436"/>
      <c r="D29" s="436"/>
      <c r="E29" s="436"/>
      <c r="F29" s="436"/>
      <c r="G29" s="436"/>
      <c r="H29" s="437"/>
      <c r="I29" s="22">
        <f t="shared" ref="I29:N29" si="18">SUM(I6:I28)</f>
        <v>3850500</v>
      </c>
      <c r="J29" s="19">
        <f t="shared" si="18"/>
        <v>305401</v>
      </c>
      <c r="K29" s="20">
        <f t="shared" si="18"/>
        <v>2293060</v>
      </c>
      <c r="L29" s="21">
        <f t="shared" si="18"/>
        <v>202240</v>
      </c>
      <c r="M29" s="20">
        <f t="shared" si="18"/>
        <v>202240</v>
      </c>
      <c r="N29" s="21">
        <f t="shared" si="18"/>
        <v>0</v>
      </c>
      <c r="O29" s="41">
        <f t="shared" si="1"/>
        <v>0</v>
      </c>
      <c r="P29" s="42">
        <f t="shared" ref="P29:AA29" si="19">SUM(P6:P28)</f>
        <v>262</v>
      </c>
      <c r="Q29" s="43">
        <f t="shared" si="19"/>
        <v>290</v>
      </c>
      <c r="R29" s="23">
        <f t="shared" si="19"/>
        <v>0</v>
      </c>
      <c r="S29" s="24">
        <f t="shared" si="19"/>
        <v>105</v>
      </c>
      <c r="T29" s="24">
        <f t="shared" si="19"/>
        <v>0</v>
      </c>
      <c r="U29" s="24">
        <f t="shared" si="19"/>
        <v>0</v>
      </c>
      <c r="V29" s="25">
        <f t="shared" si="19"/>
        <v>0</v>
      </c>
      <c r="W29" s="26">
        <f t="shared" si="19"/>
        <v>148</v>
      </c>
      <c r="X29" s="27">
        <f t="shared" si="19"/>
        <v>0</v>
      </c>
      <c r="Y29" s="27">
        <f t="shared" si="19"/>
        <v>0</v>
      </c>
      <c r="Z29" s="27">
        <f t="shared" si="19"/>
        <v>0</v>
      </c>
      <c r="AA29" s="27">
        <f t="shared" si="19"/>
        <v>37</v>
      </c>
      <c r="AB29" s="28">
        <f>AVERAGE(AB6:AB28)</f>
        <v>0.72727272727272729</v>
      </c>
      <c r="AC29" s="4">
        <f>AVERAGE(AC6:AC28)</f>
        <v>0.47463768115942034</v>
      </c>
      <c r="AD29" s="4">
        <f>AVERAGE(AD6:AD28)</f>
        <v>0.47463768115942034</v>
      </c>
      <c r="AE29" s="29"/>
    </row>
    <row r="30" spans="1:32">
      <c r="T30" s="50" t="s">
        <v>130</v>
      </c>
    </row>
    <row r="31" spans="1:32" ht="18.75">
      <c r="A31" s="2"/>
      <c r="B31" s="2" t="s">
        <v>35</v>
      </c>
      <c r="C31" s="2"/>
      <c r="D31" s="2"/>
      <c r="E31" s="2"/>
      <c r="F31" s="2"/>
      <c r="G31" s="2"/>
      <c r="H31" s="3"/>
      <c r="I31" s="3"/>
      <c r="J31" s="2"/>
      <c r="K31" s="2"/>
      <c r="L31" s="2"/>
      <c r="M31" s="2"/>
      <c r="N31" s="2" t="s">
        <v>36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1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 t="s">
        <v>131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F40" s="82"/>
    </row>
    <row r="41" spans="1:32" ht="14.2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F41" s="50"/>
    </row>
    <row r="42" spans="1:32" ht="14.2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50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14.2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F45" s="50"/>
    </row>
    <row r="46" spans="1:32" ht="27">
      <c r="A46" s="59"/>
      <c r="B46" s="59"/>
      <c r="C46" s="59"/>
      <c r="D46" s="59"/>
      <c r="E46" s="59"/>
      <c r="F46" s="37"/>
      <c r="G46" s="37"/>
      <c r="H46" s="38"/>
      <c r="I46" s="38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F46" s="50"/>
    </row>
    <row r="47" spans="1:32" ht="29.25" customHeight="1">
      <c r="A47" s="60"/>
      <c r="B47" s="60"/>
      <c r="C47" s="61"/>
      <c r="D47" s="61"/>
      <c r="E47" s="61"/>
      <c r="F47" s="60"/>
      <c r="G47" s="60"/>
      <c r="H47" s="60"/>
      <c r="I47" s="60"/>
      <c r="J47" s="60"/>
      <c r="K47" s="60"/>
      <c r="L47" s="60"/>
      <c r="M47" s="61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29.25" customHeight="1">
      <c r="A49" s="60"/>
      <c r="B49" s="60"/>
      <c r="C49" s="62"/>
      <c r="D49" s="61"/>
      <c r="E49" s="61"/>
      <c r="F49" s="60"/>
      <c r="G49" s="60"/>
      <c r="H49" s="60"/>
      <c r="I49" s="60"/>
      <c r="J49" s="60"/>
      <c r="K49" s="60"/>
      <c r="L49" s="60"/>
      <c r="M49" s="62"/>
      <c r="N49" s="60"/>
      <c r="O49" s="60"/>
      <c r="P49" s="63"/>
      <c r="Q49" s="63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29.25" customHeight="1">
      <c r="A54" s="60"/>
      <c r="B54" s="60"/>
      <c r="C54" s="62"/>
      <c r="D54" s="61"/>
      <c r="E54" s="61"/>
      <c r="F54" s="60"/>
      <c r="G54" s="60"/>
      <c r="H54" s="60"/>
      <c r="I54" s="60"/>
      <c r="J54" s="60"/>
      <c r="K54" s="60"/>
      <c r="L54" s="60"/>
      <c r="M54" s="62"/>
      <c r="N54" s="60"/>
      <c r="O54" s="60"/>
      <c r="P54" s="63"/>
      <c r="Q54" s="63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0"/>
      <c r="AC54" s="60"/>
      <c r="AD54" s="60"/>
      <c r="AF54" s="50"/>
    </row>
    <row r="55" spans="1:32" ht="14.25" customHeight="1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F55" s="50"/>
    </row>
    <row r="56" spans="1:32" ht="36" thickBot="1">
      <c r="A56" s="438" t="s">
        <v>45</v>
      </c>
      <c r="B56" s="438"/>
      <c r="C56" s="438"/>
      <c r="D56" s="438"/>
      <c r="E56" s="438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F56" s="50"/>
    </row>
    <row r="57" spans="1:32" ht="26.25" thickBot="1">
      <c r="A57" s="439" t="s">
        <v>801</v>
      </c>
      <c r="B57" s="440"/>
      <c r="C57" s="440"/>
      <c r="D57" s="440"/>
      <c r="E57" s="440"/>
      <c r="F57" s="440"/>
      <c r="G57" s="440"/>
      <c r="H57" s="440"/>
      <c r="I57" s="440"/>
      <c r="J57" s="440"/>
      <c r="K57" s="440"/>
      <c r="L57" s="440"/>
      <c r="M57" s="441"/>
      <c r="N57" s="442" t="s">
        <v>806</v>
      </c>
      <c r="O57" s="443"/>
      <c r="P57" s="443"/>
      <c r="Q57" s="443"/>
      <c r="R57" s="443"/>
      <c r="S57" s="443"/>
      <c r="T57" s="443"/>
      <c r="U57" s="443"/>
      <c r="V57" s="443"/>
      <c r="W57" s="443"/>
      <c r="X57" s="443"/>
      <c r="Y57" s="443"/>
      <c r="Z57" s="443"/>
      <c r="AA57" s="443"/>
      <c r="AB57" s="443"/>
      <c r="AC57" s="443"/>
      <c r="AD57" s="444"/>
    </row>
    <row r="58" spans="1:32" ht="27" customHeight="1">
      <c r="A58" s="445" t="s">
        <v>2</v>
      </c>
      <c r="B58" s="446"/>
      <c r="C58" s="320" t="s">
        <v>46</v>
      </c>
      <c r="D58" s="320" t="s">
        <v>47</v>
      </c>
      <c r="E58" s="320" t="s">
        <v>107</v>
      </c>
      <c r="F58" s="447" t="s">
        <v>106</v>
      </c>
      <c r="G58" s="448"/>
      <c r="H58" s="448"/>
      <c r="I58" s="448"/>
      <c r="J58" s="448"/>
      <c r="K58" s="448"/>
      <c r="L58" s="448"/>
      <c r="M58" s="449"/>
      <c r="N58" s="67" t="s">
        <v>110</v>
      </c>
      <c r="O58" s="320" t="s">
        <v>46</v>
      </c>
      <c r="P58" s="447" t="s">
        <v>47</v>
      </c>
      <c r="Q58" s="450"/>
      <c r="R58" s="447" t="s">
        <v>38</v>
      </c>
      <c r="S58" s="448"/>
      <c r="T58" s="448"/>
      <c r="U58" s="450"/>
      <c r="V58" s="447" t="s">
        <v>48</v>
      </c>
      <c r="W58" s="448"/>
      <c r="X58" s="448"/>
      <c r="Y58" s="448"/>
      <c r="Z58" s="448"/>
      <c r="AA58" s="448"/>
      <c r="AB58" s="448"/>
      <c r="AC58" s="448"/>
      <c r="AD58" s="449"/>
    </row>
    <row r="59" spans="1:32" ht="27" customHeight="1">
      <c r="A59" s="415" t="s">
        <v>127</v>
      </c>
      <c r="B59" s="416"/>
      <c r="C59" s="315" t="s">
        <v>143</v>
      </c>
      <c r="D59" s="315" t="s">
        <v>129</v>
      </c>
      <c r="E59" s="315" t="s">
        <v>311</v>
      </c>
      <c r="F59" s="473" t="s">
        <v>153</v>
      </c>
      <c r="G59" s="474"/>
      <c r="H59" s="474"/>
      <c r="I59" s="474"/>
      <c r="J59" s="474"/>
      <c r="K59" s="474"/>
      <c r="L59" s="474"/>
      <c r="M59" s="475"/>
      <c r="N59" s="319" t="s">
        <v>116</v>
      </c>
      <c r="O59" s="313" t="s">
        <v>154</v>
      </c>
      <c r="P59" s="430" t="s">
        <v>807</v>
      </c>
      <c r="Q59" s="431"/>
      <c r="R59" s="430" t="s">
        <v>808</v>
      </c>
      <c r="S59" s="432"/>
      <c r="T59" s="432"/>
      <c r="U59" s="431"/>
      <c r="V59" s="417" t="s">
        <v>122</v>
      </c>
      <c r="W59" s="418"/>
      <c r="X59" s="418"/>
      <c r="Y59" s="418"/>
      <c r="Z59" s="418"/>
      <c r="AA59" s="418"/>
      <c r="AB59" s="418"/>
      <c r="AC59" s="418"/>
      <c r="AD59" s="419"/>
    </row>
    <row r="60" spans="1:32" ht="27" customHeight="1">
      <c r="A60" s="429" t="s">
        <v>127</v>
      </c>
      <c r="B60" s="420"/>
      <c r="C60" s="325" t="s">
        <v>152</v>
      </c>
      <c r="D60" s="325"/>
      <c r="E60" s="325" t="s">
        <v>700</v>
      </c>
      <c r="F60" s="473" t="s">
        <v>452</v>
      </c>
      <c r="G60" s="474"/>
      <c r="H60" s="474"/>
      <c r="I60" s="474"/>
      <c r="J60" s="474"/>
      <c r="K60" s="474"/>
      <c r="L60" s="474"/>
      <c r="M60" s="475"/>
      <c r="N60" s="319" t="s">
        <v>116</v>
      </c>
      <c r="O60" s="313" t="s">
        <v>388</v>
      </c>
      <c r="P60" s="430" t="s">
        <v>115</v>
      </c>
      <c r="Q60" s="431"/>
      <c r="R60" s="430" t="s">
        <v>769</v>
      </c>
      <c r="S60" s="432"/>
      <c r="T60" s="432"/>
      <c r="U60" s="431"/>
      <c r="V60" s="417" t="s">
        <v>153</v>
      </c>
      <c r="W60" s="418"/>
      <c r="X60" s="418"/>
      <c r="Y60" s="418"/>
      <c r="Z60" s="418"/>
      <c r="AA60" s="418"/>
      <c r="AB60" s="418"/>
      <c r="AC60" s="418"/>
      <c r="AD60" s="419"/>
    </row>
    <row r="61" spans="1:32" ht="27" customHeight="1">
      <c r="A61" s="415" t="s">
        <v>759</v>
      </c>
      <c r="B61" s="416"/>
      <c r="C61" s="328" t="s">
        <v>184</v>
      </c>
      <c r="D61" s="328"/>
      <c r="E61" s="325" t="s">
        <v>758</v>
      </c>
      <c r="F61" s="473" t="s">
        <v>802</v>
      </c>
      <c r="G61" s="474"/>
      <c r="H61" s="474"/>
      <c r="I61" s="474"/>
      <c r="J61" s="474"/>
      <c r="K61" s="474"/>
      <c r="L61" s="474"/>
      <c r="M61" s="475"/>
      <c r="N61" s="319" t="s">
        <v>112</v>
      </c>
      <c r="O61" s="313" t="s">
        <v>212</v>
      </c>
      <c r="P61" s="430" t="s">
        <v>287</v>
      </c>
      <c r="Q61" s="431"/>
      <c r="R61" s="430" t="s">
        <v>770</v>
      </c>
      <c r="S61" s="432"/>
      <c r="T61" s="432"/>
      <c r="U61" s="431"/>
      <c r="V61" s="417" t="s">
        <v>153</v>
      </c>
      <c r="W61" s="418"/>
      <c r="X61" s="418"/>
      <c r="Y61" s="418"/>
      <c r="Z61" s="418"/>
      <c r="AA61" s="418"/>
      <c r="AB61" s="418"/>
      <c r="AC61" s="418"/>
      <c r="AD61" s="419"/>
    </row>
    <row r="62" spans="1:32" ht="27" customHeight="1">
      <c r="A62" s="415" t="s">
        <v>116</v>
      </c>
      <c r="B62" s="416"/>
      <c r="C62" s="315" t="s">
        <v>240</v>
      </c>
      <c r="D62" s="315" t="s">
        <v>803</v>
      </c>
      <c r="E62" s="316" t="s">
        <v>798</v>
      </c>
      <c r="F62" s="473" t="s">
        <v>122</v>
      </c>
      <c r="G62" s="474"/>
      <c r="H62" s="474"/>
      <c r="I62" s="474"/>
      <c r="J62" s="474"/>
      <c r="K62" s="474"/>
      <c r="L62" s="474"/>
      <c r="M62" s="475"/>
      <c r="N62" s="319" t="s">
        <v>112</v>
      </c>
      <c r="O62" s="313" t="s">
        <v>150</v>
      </c>
      <c r="P62" s="430" t="s">
        <v>121</v>
      </c>
      <c r="Q62" s="431"/>
      <c r="R62" s="430" t="s">
        <v>188</v>
      </c>
      <c r="S62" s="432"/>
      <c r="T62" s="432"/>
      <c r="U62" s="431"/>
      <c r="V62" s="417" t="s">
        <v>153</v>
      </c>
      <c r="W62" s="418"/>
      <c r="X62" s="418"/>
      <c r="Y62" s="418"/>
      <c r="Z62" s="418"/>
      <c r="AA62" s="418"/>
      <c r="AB62" s="418"/>
      <c r="AC62" s="418"/>
      <c r="AD62" s="419"/>
    </row>
    <row r="63" spans="1:32" ht="27" customHeight="1">
      <c r="A63" s="429" t="s">
        <v>116</v>
      </c>
      <c r="B63" s="420"/>
      <c r="C63" s="316" t="s">
        <v>187</v>
      </c>
      <c r="D63" s="316" t="s">
        <v>129</v>
      </c>
      <c r="E63" s="316" t="s">
        <v>178</v>
      </c>
      <c r="F63" s="473" t="s">
        <v>631</v>
      </c>
      <c r="G63" s="474"/>
      <c r="H63" s="474"/>
      <c r="I63" s="474"/>
      <c r="J63" s="474"/>
      <c r="K63" s="474"/>
      <c r="L63" s="474"/>
      <c r="M63" s="475"/>
      <c r="N63" s="319" t="s">
        <v>112</v>
      </c>
      <c r="O63" s="313" t="s">
        <v>811</v>
      </c>
      <c r="P63" s="430" t="s">
        <v>115</v>
      </c>
      <c r="Q63" s="431"/>
      <c r="R63" s="430" t="s">
        <v>809</v>
      </c>
      <c r="S63" s="432"/>
      <c r="T63" s="432"/>
      <c r="U63" s="431"/>
      <c r="V63" s="417" t="s">
        <v>153</v>
      </c>
      <c r="W63" s="418"/>
      <c r="X63" s="418"/>
      <c r="Y63" s="418"/>
      <c r="Z63" s="418"/>
      <c r="AA63" s="418"/>
      <c r="AB63" s="418"/>
      <c r="AC63" s="418"/>
      <c r="AD63" s="419"/>
    </row>
    <row r="64" spans="1:32" ht="27" customHeight="1">
      <c r="A64" s="415" t="s">
        <v>116</v>
      </c>
      <c r="B64" s="416"/>
      <c r="C64" s="315" t="s">
        <v>388</v>
      </c>
      <c r="D64" s="315" t="s">
        <v>115</v>
      </c>
      <c r="E64" s="316" t="s">
        <v>769</v>
      </c>
      <c r="F64" s="473" t="s">
        <v>804</v>
      </c>
      <c r="G64" s="474"/>
      <c r="H64" s="474"/>
      <c r="I64" s="474"/>
      <c r="J64" s="474"/>
      <c r="K64" s="474"/>
      <c r="L64" s="474"/>
      <c r="M64" s="475"/>
      <c r="N64" s="319" t="s">
        <v>116</v>
      </c>
      <c r="O64" s="313" t="s">
        <v>812</v>
      </c>
      <c r="P64" s="430" t="s">
        <v>813</v>
      </c>
      <c r="Q64" s="431"/>
      <c r="R64" s="430" t="s">
        <v>814</v>
      </c>
      <c r="S64" s="432"/>
      <c r="T64" s="432"/>
      <c r="U64" s="431"/>
      <c r="V64" s="417" t="s">
        <v>122</v>
      </c>
      <c r="W64" s="418"/>
      <c r="X64" s="418"/>
      <c r="Y64" s="418"/>
      <c r="Z64" s="418"/>
      <c r="AA64" s="418"/>
      <c r="AB64" s="418"/>
      <c r="AC64" s="418"/>
      <c r="AD64" s="419"/>
    </row>
    <row r="65" spans="1:32" ht="27" customHeight="1">
      <c r="A65" s="415" t="s">
        <v>127</v>
      </c>
      <c r="B65" s="416"/>
      <c r="C65" s="315" t="s">
        <v>204</v>
      </c>
      <c r="D65" s="315" t="s">
        <v>121</v>
      </c>
      <c r="E65" s="316" t="s">
        <v>800</v>
      </c>
      <c r="F65" s="473" t="s">
        <v>122</v>
      </c>
      <c r="G65" s="474"/>
      <c r="H65" s="474"/>
      <c r="I65" s="474"/>
      <c r="J65" s="474"/>
      <c r="K65" s="474"/>
      <c r="L65" s="474"/>
      <c r="M65" s="475"/>
      <c r="N65" s="319"/>
      <c r="O65" s="313"/>
      <c r="P65" s="430"/>
      <c r="Q65" s="431"/>
      <c r="R65" s="430"/>
      <c r="S65" s="432"/>
      <c r="T65" s="432"/>
      <c r="U65" s="431"/>
      <c r="V65" s="417"/>
      <c r="W65" s="418"/>
      <c r="X65" s="418"/>
      <c r="Y65" s="418"/>
      <c r="Z65" s="418"/>
      <c r="AA65" s="418"/>
      <c r="AB65" s="418"/>
      <c r="AC65" s="418"/>
      <c r="AD65" s="419"/>
    </row>
    <row r="66" spans="1:32" ht="27" customHeight="1">
      <c r="A66" s="415" t="s">
        <v>112</v>
      </c>
      <c r="B66" s="416"/>
      <c r="C66" s="315" t="s">
        <v>212</v>
      </c>
      <c r="D66" s="315" t="s">
        <v>287</v>
      </c>
      <c r="E66" s="316" t="s">
        <v>770</v>
      </c>
      <c r="F66" s="473" t="s">
        <v>582</v>
      </c>
      <c r="G66" s="474"/>
      <c r="H66" s="474"/>
      <c r="I66" s="474"/>
      <c r="J66" s="474"/>
      <c r="K66" s="474"/>
      <c r="L66" s="474"/>
      <c r="M66" s="475"/>
      <c r="N66" s="319"/>
      <c r="O66" s="313"/>
      <c r="P66" s="430"/>
      <c r="Q66" s="431"/>
      <c r="R66" s="430"/>
      <c r="S66" s="432"/>
      <c r="T66" s="432"/>
      <c r="U66" s="431"/>
      <c r="V66" s="417"/>
      <c r="W66" s="418"/>
      <c r="X66" s="418"/>
      <c r="Y66" s="418"/>
      <c r="Z66" s="418"/>
      <c r="AA66" s="418"/>
      <c r="AB66" s="418"/>
      <c r="AC66" s="418"/>
      <c r="AD66" s="419"/>
    </row>
    <row r="67" spans="1:32" ht="27" customHeight="1">
      <c r="A67" s="415" t="s">
        <v>116</v>
      </c>
      <c r="B67" s="416"/>
      <c r="C67" s="315" t="s">
        <v>151</v>
      </c>
      <c r="D67" s="315" t="s">
        <v>635</v>
      </c>
      <c r="E67" s="316" t="s">
        <v>805</v>
      </c>
      <c r="F67" s="473" t="s">
        <v>122</v>
      </c>
      <c r="G67" s="474"/>
      <c r="H67" s="474"/>
      <c r="I67" s="474"/>
      <c r="J67" s="474"/>
      <c r="K67" s="474"/>
      <c r="L67" s="474"/>
      <c r="M67" s="475"/>
      <c r="N67" s="319"/>
      <c r="O67" s="313"/>
      <c r="P67" s="420"/>
      <c r="Q67" s="420"/>
      <c r="R67" s="420"/>
      <c r="S67" s="420"/>
      <c r="T67" s="420"/>
      <c r="U67" s="420"/>
      <c r="V67" s="417"/>
      <c r="W67" s="418"/>
      <c r="X67" s="418"/>
      <c r="Y67" s="418"/>
      <c r="Z67" s="418"/>
      <c r="AA67" s="418"/>
      <c r="AB67" s="418"/>
      <c r="AC67" s="418"/>
      <c r="AD67" s="419"/>
      <c r="AF67" s="81">
        <f>8*3000</f>
        <v>24000</v>
      </c>
    </row>
    <row r="68" spans="1:32" ht="27" customHeight="1" thickBot="1">
      <c r="A68" s="421" t="s">
        <v>112</v>
      </c>
      <c r="B68" s="422"/>
      <c r="C68" s="317" t="s">
        <v>811</v>
      </c>
      <c r="D68" s="318" t="s">
        <v>115</v>
      </c>
      <c r="E68" s="317" t="s">
        <v>809</v>
      </c>
      <c r="F68" s="423" t="s">
        <v>810</v>
      </c>
      <c r="G68" s="424"/>
      <c r="H68" s="424"/>
      <c r="I68" s="424"/>
      <c r="J68" s="424"/>
      <c r="K68" s="424"/>
      <c r="L68" s="424"/>
      <c r="M68" s="425"/>
      <c r="N68" s="105"/>
      <c r="O68" s="97"/>
      <c r="P68" s="426"/>
      <c r="Q68" s="426"/>
      <c r="R68" s="426"/>
      <c r="S68" s="426"/>
      <c r="T68" s="426"/>
      <c r="U68" s="426"/>
      <c r="V68" s="427"/>
      <c r="W68" s="427"/>
      <c r="X68" s="427"/>
      <c r="Y68" s="427"/>
      <c r="Z68" s="427"/>
      <c r="AA68" s="427"/>
      <c r="AB68" s="427"/>
      <c r="AC68" s="427"/>
      <c r="AD68" s="428"/>
      <c r="AF68" s="81">
        <f>16*3000</f>
        <v>48000</v>
      </c>
    </row>
    <row r="69" spans="1:32" ht="27.75" thickBot="1">
      <c r="A69" s="413" t="s">
        <v>815</v>
      </c>
      <c r="B69" s="413"/>
      <c r="C69" s="413"/>
      <c r="D69" s="413"/>
      <c r="E69" s="413"/>
      <c r="F69" s="37"/>
      <c r="G69" s="37"/>
      <c r="H69" s="38"/>
      <c r="I69" s="38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F69" s="81">
        <v>24000</v>
      </c>
    </row>
    <row r="70" spans="1:32" ht="29.25" customHeight="1" thickBot="1">
      <c r="A70" s="414" t="s">
        <v>111</v>
      </c>
      <c r="B70" s="411"/>
      <c r="C70" s="314" t="s">
        <v>2</v>
      </c>
      <c r="D70" s="314" t="s">
        <v>37</v>
      </c>
      <c r="E70" s="314" t="s">
        <v>3</v>
      </c>
      <c r="F70" s="411" t="s">
        <v>109</v>
      </c>
      <c r="G70" s="411"/>
      <c r="H70" s="411"/>
      <c r="I70" s="411"/>
      <c r="J70" s="411"/>
      <c r="K70" s="411" t="s">
        <v>39</v>
      </c>
      <c r="L70" s="411"/>
      <c r="M70" s="314" t="s">
        <v>40</v>
      </c>
      <c r="N70" s="411" t="s">
        <v>41</v>
      </c>
      <c r="O70" s="411"/>
      <c r="P70" s="408" t="s">
        <v>42</v>
      </c>
      <c r="Q70" s="410"/>
      <c r="R70" s="408" t="s">
        <v>43</v>
      </c>
      <c r="S70" s="409"/>
      <c r="T70" s="409"/>
      <c r="U70" s="409"/>
      <c r="V70" s="409"/>
      <c r="W70" s="409"/>
      <c r="X70" s="409"/>
      <c r="Y70" s="409"/>
      <c r="Z70" s="409"/>
      <c r="AA70" s="410"/>
      <c r="AB70" s="411" t="s">
        <v>44</v>
      </c>
      <c r="AC70" s="411"/>
      <c r="AD70" s="412"/>
      <c r="AF70" s="81">
        <f>SUM(AF67:AF69)</f>
        <v>96000</v>
      </c>
    </row>
    <row r="71" spans="1:32" ht="25.5" customHeight="1">
      <c r="A71" s="399">
        <v>1</v>
      </c>
      <c r="B71" s="400"/>
      <c r="C71" s="98" t="s">
        <v>820</v>
      </c>
      <c r="D71" s="309"/>
      <c r="E71" s="312" t="s">
        <v>823</v>
      </c>
      <c r="F71" s="401" t="s">
        <v>816</v>
      </c>
      <c r="G71" s="391"/>
      <c r="H71" s="391"/>
      <c r="I71" s="391"/>
      <c r="J71" s="391"/>
      <c r="K71" s="391" t="s">
        <v>825</v>
      </c>
      <c r="L71" s="391"/>
      <c r="M71" s="51" t="s">
        <v>272</v>
      </c>
      <c r="N71" s="402" t="s">
        <v>240</v>
      </c>
      <c r="O71" s="402"/>
      <c r="P71" s="403">
        <v>100</v>
      </c>
      <c r="Q71" s="403"/>
      <c r="R71" s="404"/>
      <c r="S71" s="404"/>
      <c r="T71" s="404"/>
      <c r="U71" s="404"/>
      <c r="V71" s="404"/>
      <c r="W71" s="404"/>
      <c r="X71" s="404"/>
      <c r="Y71" s="404"/>
      <c r="Z71" s="404"/>
      <c r="AA71" s="404"/>
      <c r="AB71" s="391"/>
      <c r="AC71" s="391"/>
      <c r="AD71" s="392"/>
      <c r="AF71" s="50"/>
    </row>
    <row r="72" spans="1:32" ht="25.5" customHeight="1">
      <c r="A72" s="399">
        <v>2</v>
      </c>
      <c r="B72" s="400"/>
      <c r="C72" s="98" t="s">
        <v>820</v>
      </c>
      <c r="D72" s="309"/>
      <c r="E72" s="312" t="s">
        <v>807</v>
      </c>
      <c r="F72" s="401" t="s">
        <v>817</v>
      </c>
      <c r="G72" s="391"/>
      <c r="H72" s="391"/>
      <c r="I72" s="391"/>
      <c r="J72" s="391"/>
      <c r="K72" s="391" t="s">
        <v>323</v>
      </c>
      <c r="L72" s="391"/>
      <c r="M72" s="51" t="s">
        <v>272</v>
      </c>
      <c r="N72" s="402" t="s">
        <v>240</v>
      </c>
      <c r="O72" s="402"/>
      <c r="P72" s="403">
        <v>100</v>
      </c>
      <c r="Q72" s="403"/>
      <c r="R72" s="404"/>
      <c r="S72" s="404"/>
      <c r="T72" s="404"/>
      <c r="U72" s="404"/>
      <c r="V72" s="404"/>
      <c r="W72" s="404"/>
      <c r="X72" s="404"/>
      <c r="Y72" s="404"/>
      <c r="Z72" s="404"/>
      <c r="AA72" s="404"/>
      <c r="AB72" s="391"/>
      <c r="AC72" s="391"/>
      <c r="AD72" s="392"/>
      <c r="AF72" s="50"/>
    </row>
    <row r="73" spans="1:32" ht="25.5" customHeight="1">
      <c r="A73" s="399">
        <v>3</v>
      </c>
      <c r="B73" s="400"/>
      <c r="C73" s="98" t="s">
        <v>821</v>
      </c>
      <c r="D73" s="309"/>
      <c r="E73" s="312" t="s">
        <v>824</v>
      </c>
      <c r="F73" s="401" t="s">
        <v>818</v>
      </c>
      <c r="G73" s="391"/>
      <c r="H73" s="391"/>
      <c r="I73" s="391"/>
      <c r="J73" s="391"/>
      <c r="K73" s="391" t="s">
        <v>826</v>
      </c>
      <c r="L73" s="391"/>
      <c r="M73" s="51" t="s">
        <v>222</v>
      </c>
      <c r="N73" s="402" t="s">
        <v>159</v>
      </c>
      <c r="O73" s="402"/>
      <c r="P73" s="403">
        <v>20</v>
      </c>
      <c r="Q73" s="403"/>
      <c r="R73" s="404" t="s">
        <v>827</v>
      </c>
      <c r="S73" s="404"/>
      <c r="T73" s="404"/>
      <c r="U73" s="404"/>
      <c r="V73" s="404"/>
      <c r="W73" s="404"/>
      <c r="X73" s="404"/>
      <c r="Y73" s="404"/>
      <c r="Z73" s="404"/>
      <c r="AA73" s="404"/>
      <c r="AB73" s="391"/>
      <c r="AC73" s="391"/>
      <c r="AD73" s="392"/>
      <c r="AF73" s="50"/>
    </row>
    <row r="74" spans="1:32" ht="25.5" customHeight="1">
      <c r="A74" s="399">
        <v>4</v>
      </c>
      <c r="B74" s="400"/>
      <c r="C74" s="98" t="s">
        <v>822</v>
      </c>
      <c r="D74" s="309"/>
      <c r="E74" s="312" t="s">
        <v>824</v>
      </c>
      <c r="F74" s="405" t="s">
        <v>819</v>
      </c>
      <c r="G74" s="406"/>
      <c r="H74" s="406"/>
      <c r="I74" s="406"/>
      <c r="J74" s="407"/>
      <c r="K74" s="391" t="s">
        <v>826</v>
      </c>
      <c r="L74" s="391"/>
      <c r="M74" s="51" t="s">
        <v>222</v>
      </c>
      <c r="N74" s="402" t="s">
        <v>828</v>
      </c>
      <c r="O74" s="402"/>
      <c r="P74" s="403"/>
      <c r="Q74" s="403"/>
      <c r="R74" s="404" t="s">
        <v>829</v>
      </c>
      <c r="S74" s="404"/>
      <c r="T74" s="404"/>
      <c r="U74" s="404"/>
      <c r="V74" s="404"/>
      <c r="W74" s="404"/>
      <c r="X74" s="404"/>
      <c r="Y74" s="404"/>
      <c r="Z74" s="404"/>
      <c r="AA74" s="404"/>
      <c r="AB74" s="391"/>
      <c r="AC74" s="391"/>
      <c r="AD74" s="392"/>
      <c r="AF74" s="50"/>
    </row>
    <row r="75" spans="1:32" ht="25.5" customHeight="1">
      <c r="A75" s="399">
        <v>5</v>
      </c>
      <c r="B75" s="400"/>
      <c r="C75" s="98"/>
      <c r="D75" s="309"/>
      <c r="E75" s="312"/>
      <c r="F75" s="405"/>
      <c r="G75" s="406"/>
      <c r="H75" s="406"/>
      <c r="I75" s="406"/>
      <c r="J75" s="407"/>
      <c r="K75" s="391"/>
      <c r="L75" s="391"/>
      <c r="M75" s="51"/>
      <c r="N75" s="402"/>
      <c r="O75" s="402"/>
      <c r="P75" s="403"/>
      <c r="Q75" s="403"/>
      <c r="R75" s="404"/>
      <c r="S75" s="404"/>
      <c r="T75" s="404"/>
      <c r="U75" s="404"/>
      <c r="V75" s="404"/>
      <c r="W75" s="404"/>
      <c r="X75" s="404"/>
      <c r="Y75" s="404"/>
      <c r="Z75" s="404"/>
      <c r="AA75" s="404"/>
      <c r="AB75" s="391"/>
      <c r="AC75" s="391"/>
      <c r="AD75" s="392"/>
      <c r="AF75" s="50"/>
    </row>
    <row r="76" spans="1:32" ht="25.5" customHeight="1">
      <c r="A76" s="399">
        <v>6</v>
      </c>
      <c r="B76" s="400"/>
      <c r="C76" s="98"/>
      <c r="D76" s="309"/>
      <c r="E76" s="312"/>
      <c r="F76" s="405"/>
      <c r="G76" s="406"/>
      <c r="H76" s="406"/>
      <c r="I76" s="406"/>
      <c r="J76" s="407"/>
      <c r="K76" s="391"/>
      <c r="L76" s="391"/>
      <c r="M76" s="51"/>
      <c r="N76" s="402"/>
      <c r="O76" s="402"/>
      <c r="P76" s="403"/>
      <c r="Q76" s="403"/>
      <c r="R76" s="404"/>
      <c r="S76" s="404"/>
      <c r="T76" s="404"/>
      <c r="U76" s="404"/>
      <c r="V76" s="404"/>
      <c r="W76" s="404"/>
      <c r="X76" s="404"/>
      <c r="Y76" s="404"/>
      <c r="Z76" s="404"/>
      <c r="AA76" s="404"/>
      <c r="AB76" s="391"/>
      <c r="AC76" s="391"/>
      <c r="AD76" s="392"/>
      <c r="AF76" s="50"/>
    </row>
    <row r="77" spans="1:32" ht="25.5" customHeight="1">
      <c r="A77" s="399">
        <v>7</v>
      </c>
      <c r="B77" s="400"/>
      <c r="C77" s="98"/>
      <c r="D77" s="309"/>
      <c r="E77" s="312"/>
      <c r="F77" s="405"/>
      <c r="G77" s="406"/>
      <c r="H77" s="406"/>
      <c r="I77" s="406"/>
      <c r="J77" s="407"/>
      <c r="K77" s="391"/>
      <c r="L77" s="391"/>
      <c r="M77" s="51"/>
      <c r="N77" s="402"/>
      <c r="O77" s="402"/>
      <c r="P77" s="403"/>
      <c r="Q77" s="403"/>
      <c r="R77" s="404"/>
      <c r="S77" s="404"/>
      <c r="T77" s="404"/>
      <c r="U77" s="404"/>
      <c r="V77" s="404"/>
      <c r="W77" s="404"/>
      <c r="X77" s="404"/>
      <c r="Y77" s="404"/>
      <c r="Z77" s="404"/>
      <c r="AA77" s="404"/>
      <c r="AB77" s="391"/>
      <c r="AC77" s="391"/>
      <c r="AD77" s="392"/>
      <c r="AF77" s="50"/>
    </row>
    <row r="78" spans="1:32" ht="25.5" customHeight="1">
      <c r="A78" s="399">
        <v>8</v>
      </c>
      <c r="B78" s="400"/>
      <c r="C78" s="98"/>
      <c r="D78" s="309"/>
      <c r="E78" s="312"/>
      <c r="F78" s="401"/>
      <c r="G78" s="391"/>
      <c r="H78" s="391"/>
      <c r="I78" s="391"/>
      <c r="J78" s="391"/>
      <c r="K78" s="391"/>
      <c r="L78" s="391"/>
      <c r="M78" s="51"/>
      <c r="N78" s="402"/>
      <c r="O78" s="402"/>
      <c r="P78" s="403"/>
      <c r="Q78" s="403"/>
      <c r="R78" s="404"/>
      <c r="S78" s="404"/>
      <c r="T78" s="404"/>
      <c r="U78" s="404"/>
      <c r="V78" s="404"/>
      <c r="W78" s="404"/>
      <c r="X78" s="404"/>
      <c r="Y78" s="404"/>
      <c r="Z78" s="404"/>
      <c r="AA78" s="404"/>
      <c r="AB78" s="391"/>
      <c r="AC78" s="391"/>
      <c r="AD78" s="392"/>
      <c r="AF78" s="50"/>
    </row>
    <row r="79" spans="1:32" ht="25.5" customHeight="1">
      <c r="A79" s="399">
        <v>9</v>
      </c>
      <c r="B79" s="400"/>
      <c r="C79" s="98"/>
      <c r="D79" s="309"/>
      <c r="E79" s="312"/>
      <c r="F79" s="401"/>
      <c r="G79" s="391"/>
      <c r="H79" s="391"/>
      <c r="I79" s="391"/>
      <c r="J79" s="391"/>
      <c r="K79" s="391"/>
      <c r="L79" s="391"/>
      <c r="M79" s="51"/>
      <c r="N79" s="402"/>
      <c r="O79" s="402"/>
      <c r="P79" s="403"/>
      <c r="Q79" s="403"/>
      <c r="R79" s="404"/>
      <c r="S79" s="404"/>
      <c r="T79" s="404"/>
      <c r="U79" s="404"/>
      <c r="V79" s="404"/>
      <c r="W79" s="404"/>
      <c r="X79" s="404"/>
      <c r="Y79" s="404"/>
      <c r="Z79" s="404"/>
      <c r="AA79" s="404"/>
      <c r="AB79" s="391"/>
      <c r="AC79" s="391"/>
      <c r="AD79" s="392"/>
      <c r="AF79" s="50"/>
    </row>
    <row r="80" spans="1:32" ht="25.5" customHeight="1">
      <c r="A80" s="399">
        <v>10</v>
      </c>
      <c r="B80" s="400"/>
      <c r="C80" s="98"/>
      <c r="D80" s="309"/>
      <c r="E80" s="312"/>
      <c r="F80" s="401"/>
      <c r="G80" s="391"/>
      <c r="H80" s="391"/>
      <c r="I80" s="391"/>
      <c r="J80" s="391"/>
      <c r="K80" s="391"/>
      <c r="L80" s="391"/>
      <c r="M80" s="51"/>
      <c r="N80" s="402"/>
      <c r="O80" s="402"/>
      <c r="P80" s="403"/>
      <c r="Q80" s="403"/>
      <c r="R80" s="404"/>
      <c r="S80" s="404"/>
      <c r="T80" s="404"/>
      <c r="U80" s="404"/>
      <c r="V80" s="404"/>
      <c r="W80" s="404"/>
      <c r="X80" s="404"/>
      <c r="Y80" s="404"/>
      <c r="Z80" s="404"/>
      <c r="AA80" s="404"/>
      <c r="AB80" s="391"/>
      <c r="AC80" s="391"/>
      <c r="AD80" s="392"/>
      <c r="AF80" s="50"/>
    </row>
    <row r="81" spans="1:32" ht="26.25" customHeight="1" thickBot="1">
      <c r="A81" s="371" t="s">
        <v>830</v>
      </c>
      <c r="B81" s="371"/>
      <c r="C81" s="371"/>
      <c r="D81" s="371"/>
      <c r="E81" s="371"/>
      <c r="F81" s="37"/>
      <c r="G81" s="37"/>
      <c r="H81" s="38"/>
      <c r="I81" s="38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F81" s="50"/>
    </row>
    <row r="82" spans="1:32" ht="23.25" thickBot="1">
      <c r="A82" s="393" t="s">
        <v>111</v>
      </c>
      <c r="B82" s="394"/>
      <c r="C82" s="311" t="s">
        <v>2</v>
      </c>
      <c r="D82" s="311" t="s">
        <v>37</v>
      </c>
      <c r="E82" s="311" t="s">
        <v>120</v>
      </c>
      <c r="F82" s="373" t="s">
        <v>38</v>
      </c>
      <c r="G82" s="373"/>
      <c r="H82" s="373"/>
      <c r="I82" s="373"/>
      <c r="J82" s="373"/>
      <c r="K82" s="395" t="s">
        <v>58</v>
      </c>
      <c r="L82" s="396"/>
      <c r="M82" s="396"/>
      <c r="N82" s="396"/>
      <c r="O82" s="396"/>
      <c r="P82" s="396"/>
      <c r="Q82" s="396"/>
      <c r="R82" s="396"/>
      <c r="S82" s="397"/>
      <c r="T82" s="373" t="s">
        <v>49</v>
      </c>
      <c r="U82" s="373"/>
      <c r="V82" s="395" t="s">
        <v>50</v>
      </c>
      <c r="W82" s="397"/>
      <c r="X82" s="396" t="s">
        <v>51</v>
      </c>
      <c r="Y82" s="396"/>
      <c r="Z82" s="396"/>
      <c r="AA82" s="396"/>
      <c r="AB82" s="396"/>
      <c r="AC82" s="396"/>
      <c r="AD82" s="398"/>
      <c r="AF82" s="50"/>
    </row>
    <row r="83" spans="1:32" ht="33.75" customHeight="1">
      <c r="A83" s="365">
        <v>1</v>
      </c>
      <c r="B83" s="366"/>
      <c r="C83" s="310"/>
      <c r="D83" s="310"/>
      <c r="E83" s="65"/>
      <c r="F83" s="380"/>
      <c r="G83" s="381"/>
      <c r="H83" s="381"/>
      <c r="I83" s="381"/>
      <c r="J83" s="382"/>
      <c r="K83" s="383"/>
      <c r="L83" s="384"/>
      <c r="M83" s="384"/>
      <c r="N83" s="384"/>
      <c r="O83" s="384"/>
      <c r="P83" s="384"/>
      <c r="Q83" s="384"/>
      <c r="R83" s="384"/>
      <c r="S83" s="385"/>
      <c r="T83" s="386"/>
      <c r="U83" s="387"/>
      <c r="V83" s="388"/>
      <c r="W83" s="388"/>
      <c r="X83" s="389"/>
      <c r="Y83" s="389"/>
      <c r="Z83" s="389"/>
      <c r="AA83" s="389"/>
      <c r="AB83" s="389"/>
      <c r="AC83" s="389"/>
      <c r="AD83" s="390"/>
      <c r="AF83" s="50"/>
    </row>
    <row r="84" spans="1:32" ht="30" customHeight="1">
      <c r="A84" s="358">
        <f>A83+1</f>
        <v>2</v>
      </c>
      <c r="B84" s="359"/>
      <c r="C84" s="309"/>
      <c r="D84" s="309"/>
      <c r="E84" s="32"/>
      <c r="F84" s="359"/>
      <c r="G84" s="359"/>
      <c r="H84" s="359"/>
      <c r="I84" s="359"/>
      <c r="J84" s="359"/>
      <c r="K84" s="374"/>
      <c r="L84" s="375"/>
      <c r="M84" s="375"/>
      <c r="N84" s="375"/>
      <c r="O84" s="375"/>
      <c r="P84" s="375"/>
      <c r="Q84" s="375"/>
      <c r="R84" s="375"/>
      <c r="S84" s="376"/>
      <c r="T84" s="377"/>
      <c r="U84" s="377"/>
      <c r="V84" s="377"/>
      <c r="W84" s="377"/>
      <c r="X84" s="378"/>
      <c r="Y84" s="378"/>
      <c r="Z84" s="378"/>
      <c r="AA84" s="378"/>
      <c r="AB84" s="378"/>
      <c r="AC84" s="378"/>
      <c r="AD84" s="379"/>
      <c r="AF84" s="50"/>
    </row>
    <row r="85" spans="1:32" ht="30" customHeight="1">
      <c r="A85" s="358">
        <f t="shared" ref="A85:A89" si="20">A84+1</f>
        <v>3</v>
      </c>
      <c r="B85" s="359"/>
      <c r="C85" s="309"/>
      <c r="D85" s="309"/>
      <c r="E85" s="32"/>
      <c r="F85" s="359"/>
      <c r="G85" s="359"/>
      <c r="H85" s="359"/>
      <c r="I85" s="359"/>
      <c r="J85" s="359"/>
      <c r="K85" s="374"/>
      <c r="L85" s="375"/>
      <c r="M85" s="375"/>
      <c r="N85" s="375"/>
      <c r="O85" s="375"/>
      <c r="P85" s="375"/>
      <c r="Q85" s="375"/>
      <c r="R85" s="375"/>
      <c r="S85" s="376"/>
      <c r="T85" s="377"/>
      <c r="U85" s="377"/>
      <c r="V85" s="377"/>
      <c r="W85" s="377"/>
      <c r="X85" s="378"/>
      <c r="Y85" s="378"/>
      <c r="Z85" s="378"/>
      <c r="AA85" s="378"/>
      <c r="AB85" s="378"/>
      <c r="AC85" s="378"/>
      <c r="AD85" s="379"/>
      <c r="AF85" s="50"/>
    </row>
    <row r="86" spans="1:32" ht="30" customHeight="1">
      <c r="A86" s="358">
        <f t="shared" si="20"/>
        <v>4</v>
      </c>
      <c r="B86" s="359"/>
      <c r="C86" s="309"/>
      <c r="D86" s="309"/>
      <c r="E86" s="32"/>
      <c r="F86" s="359"/>
      <c r="G86" s="359"/>
      <c r="H86" s="359"/>
      <c r="I86" s="359"/>
      <c r="J86" s="359"/>
      <c r="K86" s="374"/>
      <c r="L86" s="375"/>
      <c r="M86" s="375"/>
      <c r="N86" s="375"/>
      <c r="O86" s="375"/>
      <c r="P86" s="375"/>
      <c r="Q86" s="375"/>
      <c r="R86" s="375"/>
      <c r="S86" s="376"/>
      <c r="T86" s="377"/>
      <c r="U86" s="377"/>
      <c r="V86" s="377"/>
      <c r="W86" s="377"/>
      <c r="X86" s="378"/>
      <c r="Y86" s="378"/>
      <c r="Z86" s="378"/>
      <c r="AA86" s="378"/>
      <c r="AB86" s="378"/>
      <c r="AC86" s="378"/>
      <c r="AD86" s="379"/>
      <c r="AF86" s="50"/>
    </row>
    <row r="87" spans="1:32" ht="30" customHeight="1">
      <c r="A87" s="358">
        <f t="shared" si="20"/>
        <v>5</v>
      </c>
      <c r="B87" s="359"/>
      <c r="C87" s="309"/>
      <c r="D87" s="309"/>
      <c r="E87" s="32"/>
      <c r="F87" s="359"/>
      <c r="G87" s="359"/>
      <c r="H87" s="359"/>
      <c r="I87" s="359"/>
      <c r="J87" s="359"/>
      <c r="K87" s="374"/>
      <c r="L87" s="375"/>
      <c r="M87" s="375"/>
      <c r="N87" s="375"/>
      <c r="O87" s="375"/>
      <c r="P87" s="375"/>
      <c r="Q87" s="375"/>
      <c r="R87" s="375"/>
      <c r="S87" s="376"/>
      <c r="T87" s="377"/>
      <c r="U87" s="377"/>
      <c r="V87" s="377"/>
      <c r="W87" s="377"/>
      <c r="X87" s="378"/>
      <c r="Y87" s="378"/>
      <c r="Z87" s="378"/>
      <c r="AA87" s="378"/>
      <c r="AB87" s="378"/>
      <c r="AC87" s="378"/>
      <c r="AD87" s="379"/>
      <c r="AF87" s="50"/>
    </row>
    <row r="88" spans="1:32" ht="30" customHeight="1">
      <c r="A88" s="358">
        <f t="shared" si="20"/>
        <v>6</v>
      </c>
      <c r="B88" s="359"/>
      <c r="C88" s="309"/>
      <c r="D88" s="309"/>
      <c r="E88" s="32"/>
      <c r="F88" s="359"/>
      <c r="G88" s="359"/>
      <c r="H88" s="359"/>
      <c r="I88" s="359"/>
      <c r="J88" s="359"/>
      <c r="K88" s="374"/>
      <c r="L88" s="375"/>
      <c r="M88" s="375"/>
      <c r="N88" s="375"/>
      <c r="O88" s="375"/>
      <c r="P88" s="375"/>
      <c r="Q88" s="375"/>
      <c r="R88" s="375"/>
      <c r="S88" s="376"/>
      <c r="T88" s="377"/>
      <c r="U88" s="377"/>
      <c r="V88" s="377"/>
      <c r="W88" s="377"/>
      <c r="X88" s="378"/>
      <c r="Y88" s="378"/>
      <c r="Z88" s="378"/>
      <c r="AA88" s="378"/>
      <c r="AB88" s="378"/>
      <c r="AC88" s="378"/>
      <c r="AD88" s="379"/>
      <c r="AF88" s="50"/>
    </row>
    <row r="89" spans="1:32" ht="30" customHeight="1">
      <c r="A89" s="358">
        <f t="shared" si="20"/>
        <v>7</v>
      </c>
      <c r="B89" s="359"/>
      <c r="C89" s="309"/>
      <c r="D89" s="309"/>
      <c r="E89" s="32"/>
      <c r="F89" s="359"/>
      <c r="G89" s="359"/>
      <c r="H89" s="359"/>
      <c r="I89" s="359"/>
      <c r="J89" s="359"/>
      <c r="K89" s="374"/>
      <c r="L89" s="375"/>
      <c r="M89" s="375"/>
      <c r="N89" s="375"/>
      <c r="O89" s="375"/>
      <c r="P89" s="375"/>
      <c r="Q89" s="375"/>
      <c r="R89" s="375"/>
      <c r="S89" s="376"/>
      <c r="T89" s="377"/>
      <c r="U89" s="377"/>
      <c r="V89" s="377"/>
      <c r="W89" s="377"/>
      <c r="X89" s="378"/>
      <c r="Y89" s="378"/>
      <c r="Z89" s="378"/>
      <c r="AA89" s="378"/>
      <c r="AB89" s="378"/>
      <c r="AC89" s="378"/>
      <c r="AD89" s="379"/>
      <c r="AF89" s="50"/>
    </row>
    <row r="90" spans="1:32" ht="36" thickBot="1">
      <c r="A90" s="371" t="s">
        <v>831</v>
      </c>
      <c r="B90" s="371"/>
      <c r="C90" s="371"/>
      <c r="D90" s="371"/>
      <c r="E90" s="371"/>
      <c r="F90" s="37"/>
      <c r="G90" s="37"/>
      <c r="H90" s="38"/>
      <c r="I90" s="38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F90" s="50"/>
    </row>
    <row r="91" spans="1:32" ht="30.75" customHeight="1" thickBot="1">
      <c r="A91" s="372" t="s">
        <v>111</v>
      </c>
      <c r="B91" s="373"/>
      <c r="C91" s="363" t="s">
        <v>52</v>
      </c>
      <c r="D91" s="363"/>
      <c r="E91" s="363" t="s">
        <v>53</v>
      </c>
      <c r="F91" s="363"/>
      <c r="G91" s="363"/>
      <c r="H91" s="363"/>
      <c r="I91" s="363"/>
      <c r="J91" s="363"/>
      <c r="K91" s="363" t="s">
        <v>54</v>
      </c>
      <c r="L91" s="363"/>
      <c r="M91" s="363"/>
      <c r="N91" s="363"/>
      <c r="O91" s="363"/>
      <c r="P91" s="363"/>
      <c r="Q91" s="363"/>
      <c r="R91" s="363"/>
      <c r="S91" s="363"/>
      <c r="T91" s="363" t="s">
        <v>55</v>
      </c>
      <c r="U91" s="363"/>
      <c r="V91" s="363" t="s">
        <v>56</v>
      </c>
      <c r="W91" s="363"/>
      <c r="X91" s="363"/>
      <c r="Y91" s="363" t="s">
        <v>51</v>
      </c>
      <c r="Z91" s="363"/>
      <c r="AA91" s="363"/>
      <c r="AB91" s="363"/>
      <c r="AC91" s="363"/>
      <c r="AD91" s="364"/>
      <c r="AF91" s="50"/>
    </row>
    <row r="92" spans="1:32" ht="30.75" customHeight="1">
      <c r="A92" s="365">
        <v>1</v>
      </c>
      <c r="B92" s="366"/>
      <c r="C92" s="367"/>
      <c r="D92" s="367"/>
      <c r="E92" s="367"/>
      <c r="F92" s="367"/>
      <c r="G92" s="367"/>
      <c r="H92" s="367"/>
      <c r="I92" s="367"/>
      <c r="J92" s="367"/>
      <c r="K92" s="367"/>
      <c r="L92" s="367"/>
      <c r="M92" s="367"/>
      <c r="N92" s="367"/>
      <c r="O92" s="367"/>
      <c r="P92" s="367"/>
      <c r="Q92" s="367"/>
      <c r="R92" s="367"/>
      <c r="S92" s="367"/>
      <c r="T92" s="367"/>
      <c r="U92" s="367"/>
      <c r="V92" s="368"/>
      <c r="W92" s="368"/>
      <c r="X92" s="368"/>
      <c r="Y92" s="369"/>
      <c r="Z92" s="369"/>
      <c r="AA92" s="369"/>
      <c r="AB92" s="369"/>
      <c r="AC92" s="369"/>
      <c r="AD92" s="370"/>
      <c r="AF92" s="50"/>
    </row>
    <row r="93" spans="1:32" ht="30.75" customHeight="1">
      <c r="A93" s="358">
        <v>2</v>
      </c>
      <c r="B93" s="359"/>
      <c r="C93" s="360"/>
      <c r="D93" s="360"/>
      <c r="E93" s="360"/>
      <c r="F93" s="360"/>
      <c r="G93" s="360"/>
      <c r="H93" s="360"/>
      <c r="I93" s="360"/>
      <c r="J93" s="360"/>
      <c r="K93" s="360"/>
      <c r="L93" s="360"/>
      <c r="M93" s="360"/>
      <c r="N93" s="360"/>
      <c r="O93" s="360"/>
      <c r="P93" s="360"/>
      <c r="Q93" s="360"/>
      <c r="R93" s="360"/>
      <c r="S93" s="360"/>
      <c r="T93" s="361"/>
      <c r="U93" s="361"/>
      <c r="V93" s="362"/>
      <c r="W93" s="362"/>
      <c r="X93" s="362"/>
      <c r="Y93" s="350"/>
      <c r="Z93" s="350"/>
      <c r="AA93" s="350"/>
      <c r="AB93" s="350"/>
      <c r="AC93" s="350"/>
      <c r="AD93" s="351"/>
      <c r="AF93" s="50"/>
    </row>
    <row r="94" spans="1:32" ht="30.75" customHeight="1" thickBot="1">
      <c r="A94" s="352">
        <v>3</v>
      </c>
      <c r="B94" s="353"/>
      <c r="C94" s="354"/>
      <c r="D94" s="354"/>
      <c r="E94" s="354"/>
      <c r="F94" s="354"/>
      <c r="G94" s="354"/>
      <c r="H94" s="354"/>
      <c r="I94" s="354"/>
      <c r="J94" s="354"/>
      <c r="K94" s="354"/>
      <c r="L94" s="354"/>
      <c r="M94" s="354"/>
      <c r="N94" s="354"/>
      <c r="O94" s="354"/>
      <c r="P94" s="354"/>
      <c r="Q94" s="354"/>
      <c r="R94" s="354"/>
      <c r="S94" s="354"/>
      <c r="T94" s="354"/>
      <c r="U94" s="354"/>
      <c r="V94" s="355"/>
      <c r="W94" s="355"/>
      <c r="X94" s="355"/>
      <c r="Y94" s="356"/>
      <c r="Z94" s="356"/>
      <c r="AA94" s="356"/>
      <c r="AB94" s="356"/>
      <c r="AC94" s="356"/>
      <c r="AD94" s="357"/>
      <c r="AF94" s="50"/>
    </row>
  </sheetData>
  <mergeCells count="232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9:H29"/>
    <mergeCell ref="A56:E56"/>
    <mergeCell ref="A57:M57"/>
    <mergeCell ref="N57:AD57"/>
    <mergeCell ref="A58:B58"/>
    <mergeCell ref="F58:M58"/>
    <mergeCell ref="P58:Q58"/>
    <mergeCell ref="R58:U58"/>
    <mergeCell ref="V58:AD58"/>
    <mergeCell ref="I4:O4"/>
    <mergeCell ref="P4:Q4"/>
    <mergeCell ref="R4:V4"/>
    <mergeCell ref="W4:AA4"/>
    <mergeCell ref="AB4:AB5"/>
    <mergeCell ref="AC4:AC5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A64:B64"/>
    <mergeCell ref="F64:M64"/>
    <mergeCell ref="P64:Q64"/>
    <mergeCell ref="R64:U64"/>
    <mergeCell ref="V64:AD64"/>
    <mergeCell ref="R67:U67"/>
    <mergeCell ref="V67:AD67"/>
    <mergeCell ref="A68:B68"/>
    <mergeCell ref="F68:M68"/>
    <mergeCell ref="P68:Q68"/>
    <mergeCell ref="R68:U68"/>
    <mergeCell ref="V68:AD68"/>
    <mergeCell ref="A65:B65"/>
    <mergeCell ref="F65:M65"/>
    <mergeCell ref="P65:Q65"/>
    <mergeCell ref="R65:U65"/>
    <mergeCell ref="V65:AD65"/>
    <mergeCell ref="A66:B66"/>
    <mergeCell ref="F66:M66"/>
    <mergeCell ref="P66:Q66"/>
    <mergeCell ref="R66:U66"/>
    <mergeCell ref="V66:AD66"/>
    <mergeCell ref="A69:E69"/>
    <mergeCell ref="A70:B70"/>
    <mergeCell ref="F70:J70"/>
    <mergeCell ref="K70:L70"/>
    <mergeCell ref="N70:O70"/>
    <mergeCell ref="P70:Q70"/>
    <mergeCell ref="A67:B67"/>
    <mergeCell ref="F67:M67"/>
    <mergeCell ref="P67:Q67"/>
    <mergeCell ref="R70:AA70"/>
    <mergeCell ref="AB70:AD70"/>
    <mergeCell ref="A71:B71"/>
    <mergeCell ref="F71:J71"/>
    <mergeCell ref="K71:L71"/>
    <mergeCell ref="N71:O71"/>
    <mergeCell ref="P71:Q71"/>
    <mergeCell ref="R71:AA71"/>
    <mergeCell ref="AB71:AD71"/>
    <mergeCell ref="AB72:AD72"/>
    <mergeCell ref="A73:B73"/>
    <mergeCell ref="F73:J73"/>
    <mergeCell ref="K73:L73"/>
    <mergeCell ref="N73:O73"/>
    <mergeCell ref="P73:Q73"/>
    <mergeCell ref="R73:AA73"/>
    <mergeCell ref="AB73:AD73"/>
    <mergeCell ref="A72:B72"/>
    <mergeCell ref="F72:J72"/>
    <mergeCell ref="K72:L72"/>
    <mergeCell ref="N72:O72"/>
    <mergeCell ref="P72:Q72"/>
    <mergeCell ref="R72:AA72"/>
    <mergeCell ref="AB74:AD74"/>
    <mergeCell ref="A75:B75"/>
    <mergeCell ref="F75:J75"/>
    <mergeCell ref="K75:L75"/>
    <mergeCell ref="N75:O75"/>
    <mergeCell ref="P75:Q75"/>
    <mergeCell ref="R75:AA75"/>
    <mergeCell ref="AB75:AD75"/>
    <mergeCell ref="A74:B74"/>
    <mergeCell ref="F74:J74"/>
    <mergeCell ref="K74:L74"/>
    <mergeCell ref="N74:O74"/>
    <mergeCell ref="P74:Q74"/>
    <mergeCell ref="R74:AA74"/>
    <mergeCell ref="AB76:AD76"/>
    <mergeCell ref="A77:B77"/>
    <mergeCell ref="F77:J77"/>
    <mergeCell ref="K77:L77"/>
    <mergeCell ref="N77:O77"/>
    <mergeCell ref="P77:Q77"/>
    <mergeCell ref="R77:AA77"/>
    <mergeCell ref="AB77:AD77"/>
    <mergeCell ref="A76:B76"/>
    <mergeCell ref="F76:J76"/>
    <mergeCell ref="K76:L76"/>
    <mergeCell ref="N76:O76"/>
    <mergeCell ref="P76:Q76"/>
    <mergeCell ref="R76:AA76"/>
    <mergeCell ref="AB78:AD78"/>
    <mergeCell ref="A79:B79"/>
    <mergeCell ref="F79:J79"/>
    <mergeCell ref="K79:L79"/>
    <mergeCell ref="N79:O79"/>
    <mergeCell ref="P79:Q79"/>
    <mergeCell ref="R79:AA79"/>
    <mergeCell ref="AB79:AD79"/>
    <mergeCell ref="A78:B78"/>
    <mergeCell ref="F78:J78"/>
    <mergeCell ref="K78:L78"/>
    <mergeCell ref="N78:O78"/>
    <mergeCell ref="P78:Q78"/>
    <mergeCell ref="R78:AA78"/>
    <mergeCell ref="AB80:AD80"/>
    <mergeCell ref="A81:E81"/>
    <mergeCell ref="A82:B82"/>
    <mergeCell ref="F82:J82"/>
    <mergeCell ref="K82:S82"/>
    <mergeCell ref="T82:U82"/>
    <mergeCell ref="V82:W82"/>
    <mergeCell ref="X82:AD82"/>
    <mergeCell ref="A80:B80"/>
    <mergeCell ref="F80:J80"/>
    <mergeCell ref="K80:L80"/>
    <mergeCell ref="N80:O80"/>
    <mergeCell ref="P80:Q80"/>
    <mergeCell ref="R80:AA80"/>
    <mergeCell ref="A84:B84"/>
    <mergeCell ref="F84:J84"/>
    <mergeCell ref="K84:S84"/>
    <mergeCell ref="T84:U84"/>
    <mergeCell ref="V84:W84"/>
    <mergeCell ref="X84:AD84"/>
    <mergeCell ref="A83:B83"/>
    <mergeCell ref="F83:J83"/>
    <mergeCell ref="K83:S83"/>
    <mergeCell ref="T83:U83"/>
    <mergeCell ref="V83:W83"/>
    <mergeCell ref="X83:AD83"/>
    <mergeCell ref="A86:B86"/>
    <mergeCell ref="F86:J86"/>
    <mergeCell ref="K86:S86"/>
    <mergeCell ref="T86:U86"/>
    <mergeCell ref="V86:W86"/>
    <mergeCell ref="X86:AD86"/>
    <mergeCell ref="A85:B85"/>
    <mergeCell ref="F85:J85"/>
    <mergeCell ref="K85:S85"/>
    <mergeCell ref="T85:U85"/>
    <mergeCell ref="V85:W85"/>
    <mergeCell ref="X85:AD85"/>
    <mergeCell ref="V89:W89"/>
    <mergeCell ref="X89:AD89"/>
    <mergeCell ref="A88:B88"/>
    <mergeCell ref="F88:J88"/>
    <mergeCell ref="K88:S88"/>
    <mergeCell ref="T88:U88"/>
    <mergeCell ref="V88:W88"/>
    <mergeCell ref="X88:AD88"/>
    <mergeCell ref="A87:B87"/>
    <mergeCell ref="F87:J87"/>
    <mergeCell ref="K87:S87"/>
    <mergeCell ref="T87:U87"/>
    <mergeCell ref="V87:W87"/>
    <mergeCell ref="X87:AD87"/>
    <mergeCell ref="A90:E90"/>
    <mergeCell ref="A91:B91"/>
    <mergeCell ref="C91:D91"/>
    <mergeCell ref="E91:J91"/>
    <mergeCell ref="K91:S91"/>
    <mergeCell ref="T91:U91"/>
    <mergeCell ref="A89:B89"/>
    <mergeCell ref="F89:J89"/>
    <mergeCell ref="K89:S89"/>
    <mergeCell ref="T89:U89"/>
    <mergeCell ref="V91:X91"/>
    <mergeCell ref="Y91:AD91"/>
    <mergeCell ref="A92:B92"/>
    <mergeCell ref="C92:D92"/>
    <mergeCell ref="E92:J92"/>
    <mergeCell ref="K92:S92"/>
    <mergeCell ref="T92:U92"/>
    <mergeCell ref="V92:X92"/>
    <mergeCell ref="Y92:AD92"/>
    <mergeCell ref="Y93:AD93"/>
    <mergeCell ref="A94:B94"/>
    <mergeCell ref="C94:D94"/>
    <mergeCell ref="E94:J94"/>
    <mergeCell ref="K94:S94"/>
    <mergeCell ref="T94:U94"/>
    <mergeCell ref="V94:X94"/>
    <mergeCell ref="Y94:AD94"/>
    <mergeCell ref="A93:B93"/>
    <mergeCell ref="C93:D93"/>
    <mergeCell ref="E93:J93"/>
    <mergeCell ref="K93:S93"/>
    <mergeCell ref="T93:U93"/>
    <mergeCell ref="V93:X93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54" max="29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2A191-F152-4587-99FE-746CA80AC24E}">
  <sheetPr>
    <pageSetUpPr fitToPage="1"/>
  </sheetPr>
  <dimension ref="A1:AF94"/>
  <sheetViews>
    <sheetView view="pageBreakPreview" zoomScale="70" zoomScaleNormal="72" zoomScaleSheetLayoutView="70" workbookViewId="0">
      <selection activeCell="F85" sqref="F85:J85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1" bestFit="1" customWidth="1"/>
    <col min="33" max="33" width="17.625" style="50" customWidth="1"/>
    <col min="34" max="16384" width="9" style="50"/>
  </cols>
  <sheetData>
    <row r="1" spans="1:32" ht="44.25" customHeight="1">
      <c r="A1" s="461" t="s">
        <v>832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61"/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62"/>
      <c r="B3" s="462"/>
      <c r="C3" s="462"/>
      <c r="D3" s="462"/>
      <c r="E3" s="462"/>
      <c r="F3" s="462"/>
      <c r="G3" s="462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63" t="s">
        <v>0</v>
      </c>
      <c r="B4" s="465" t="s">
        <v>1</v>
      </c>
      <c r="C4" s="465" t="s">
        <v>2</v>
      </c>
      <c r="D4" s="468" t="s">
        <v>3</v>
      </c>
      <c r="E4" s="470" t="s">
        <v>4</v>
      </c>
      <c r="F4" s="468" t="s">
        <v>5</v>
      </c>
      <c r="G4" s="465" t="s">
        <v>6</v>
      </c>
      <c r="H4" s="471" t="s">
        <v>7</v>
      </c>
      <c r="I4" s="451" t="s">
        <v>8</v>
      </c>
      <c r="J4" s="452"/>
      <c r="K4" s="452"/>
      <c r="L4" s="452"/>
      <c r="M4" s="452"/>
      <c r="N4" s="452"/>
      <c r="O4" s="453"/>
      <c r="P4" s="454" t="s">
        <v>9</v>
      </c>
      <c r="Q4" s="455"/>
      <c r="R4" s="456" t="s">
        <v>10</v>
      </c>
      <c r="S4" s="457"/>
      <c r="T4" s="457"/>
      <c r="U4" s="457"/>
      <c r="V4" s="458"/>
      <c r="W4" s="457" t="s">
        <v>11</v>
      </c>
      <c r="X4" s="457"/>
      <c r="Y4" s="457"/>
      <c r="Z4" s="457"/>
      <c r="AA4" s="458"/>
      <c r="AB4" s="459" t="s">
        <v>12</v>
      </c>
      <c r="AC4" s="433" t="s">
        <v>13</v>
      </c>
      <c r="AD4" s="433" t="s">
        <v>14</v>
      </c>
      <c r="AE4" s="54"/>
    </row>
    <row r="5" spans="1:32" ht="51" customHeight="1" thickBot="1">
      <c r="A5" s="464"/>
      <c r="B5" s="466"/>
      <c r="C5" s="467"/>
      <c r="D5" s="469"/>
      <c r="E5" s="469"/>
      <c r="F5" s="469"/>
      <c r="G5" s="466"/>
      <c r="H5" s="472"/>
      <c r="I5" s="55" t="s">
        <v>15</v>
      </c>
      <c r="J5" s="56" t="s">
        <v>16</v>
      </c>
      <c r="K5" s="322" t="s">
        <v>17</v>
      </c>
      <c r="L5" s="322" t="s">
        <v>18</v>
      </c>
      <c r="M5" s="322" t="s">
        <v>19</v>
      </c>
      <c r="N5" s="322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60"/>
      <c r="AC5" s="434"/>
      <c r="AD5" s="434"/>
      <c r="AE5" s="54"/>
    </row>
    <row r="6" spans="1:32" ht="27" customHeight="1">
      <c r="A6" s="106">
        <v>1</v>
      </c>
      <c r="B6" s="11" t="s">
        <v>57</v>
      </c>
      <c r="C6" s="34" t="s">
        <v>127</v>
      </c>
      <c r="D6" s="52" t="s">
        <v>129</v>
      </c>
      <c r="E6" s="53" t="s">
        <v>311</v>
      </c>
      <c r="F6" s="30" t="s">
        <v>321</v>
      </c>
      <c r="G6" s="12">
        <v>2</v>
      </c>
      <c r="H6" s="13">
        <v>24</v>
      </c>
      <c r="I6" s="31">
        <v>20000</v>
      </c>
      <c r="J6" s="14">
        <v>2812</v>
      </c>
      <c r="K6" s="15">
        <f>L6+5046</f>
        <v>7858</v>
      </c>
      <c r="L6" s="15">
        <f>1406*2</f>
        <v>2812</v>
      </c>
      <c r="M6" s="15">
        <f t="shared" ref="M6:M28" si="0">L6-N6</f>
        <v>2812</v>
      </c>
      <c r="N6" s="15">
        <v>0</v>
      </c>
      <c r="O6" s="58">
        <f t="shared" ref="O6:O29" si="1">IF(L6=0,"0",N6/L6)</f>
        <v>0</v>
      </c>
      <c r="P6" s="39">
        <f t="shared" ref="P6:P28" si="2">IF(L6=0,"0",(24-Q6))</f>
        <v>7</v>
      </c>
      <c r="Q6" s="40">
        <f t="shared" ref="Q6:Q28" si="3">SUM(R6:AA6)</f>
        <v>17</v>
      </c>
      <c r="R6" s="7"/>
      <c r="S6" s="6">
        <v>17</v>
      </c>
      <c r="T6" s="16"/>
      <c r="U6" s="16"/>
      <c r="V6" s="17"/>
      <c r="W6" s="5"/>
      <c r="X6" s="16"/>
      <c r="Y6" s="16"/>
      <c r="Z6" s="16"/>
      <c r="AA6" s="18"/>
      <c r="AB6" s="8">
        <f t="shared" ref="AB6:AB28" si="4">IF(J6=0,"0",(L6/J6))</f>
        <v>1</v>
      </c>
      <c r="AC6" s="9">
        <f t="shared" ref="AC6:AC28" si="5">IF(P6=0,"0",(P6/24))</f>
        <v>0.29166666666666669</v>
      </c>
      <c r="AD6" s="10">
        <f>AC6*AB6*(1-O6)</f>
        <v>0.29166666666666669</v>
      </c>
      <c r="AE6" s="36">
        <f t="shared" ref="AE6:AE28" si="6">$AD$29</f>
        <v>0.43840579710144922</v>
      </c>
      <c r="AF6" s="81">
        <f t="shared" ref="AF6:AF28" si="7">A6</f>
        <v>1</v>
      </c>
    </row>
    <row r="7" spans="1:32" ht="27" customHeight="1">
      <c r="A7" s="106">
        <v>2</v>
      </c>
      <c r="B7" s="11" t="s">
        <v>57</v>
      </c>
      <c r="C7" s="34" t="s">
        <v>112</v>
      </c>
      <c r="D7" s="52" t="s">
        <v>140</v>
      </c>
      <c r="E7" s="53" t="s">
        <v>315</v>
      </c>
      <c r="F7" s="30" t="s">
        <v>139</v>
      </c>
      <c r="G7" s="12">
        <v>1</v>
      </c>
      <c r="H7" s="13">
        <v>24</v>
      </c>
      <c r="I7" s="31">
        <v>55000</v>
      </c>
      <c r="J7" s="14">
        <v>5975</v>
      </c>
      <c r="K7" s="15">
        <f>L7+4962+5479+5974+5609+6074</f>
        <v>34073</v>
      </c>
      <c r="L7" s="15">
        <f>2942+3033</f>
        <v>5975</v>
      </c>
      <c r="M7" s="15">
        <f t="shared" si="0"/>
        <v>5975</v>
      </c>
      <c r="N7" s="15">
        <v>0</v>
      </c>
      <c r="O7" s="58">
        <f t="shared" si="1"/>
        <v>0</v>
      </c>
      <c r="P7" s="39">
        <f t="shared" si="2"/>
        <v>24</v>
      </c>
      <c r="Q7" s="40">
        <f t="shared" si="3"/>
        <v>0</v>
      </c>
      <c r="R7" s="7"/>
      <c r="S7" s="6"/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1</v>
      </c>
      <c r="AD7" s="10">
        <f t="shared" ref="AD7:AD28" si="8">AC7*AB7*(1-O7)</f>
        <v>1</v>
      </c>
      <c r="AE7" s="36">
        <f t="shared" si="6"/>
        <v>0.43840579710144922</v>
      </c>
      <c r="AF7" s="81">
        <f t="shared" si="7"/>
        <v>2</v>
      </c>
    </row>
    <row r="8" spans="1:32" ht="27" customHeight="1">
      <c r="A8" s="92">
        <v>3</v>
      </c>
      <c r="B8" s="11" t="s">
        <v>57</v>
      </c>
      <c r="C8" s="34" t="s">
        <v>112</v>
      </c>
      <c r="D8" s="52" t="s">
        <v>115</v>
      </c>
      <c r="E8" s="53" t="s">
        <v>486</v>
      </c>
      <c r="F8" s="30" t="s">
        <v>286</v>
      </c>
      <c r="G8" s="12">
        <v>1</v>
      </c>
      <c r="H8" s="13">
        <v>22</v>
      </c>
      <c r="I8" s="31">
        <v>7000</v>
      </c>
      <c r="J8" s="5">
        <v>2445</v>
      </c>
      <c r="K8" s="15">
        <f>L8</f>
        <v>2445</v>
      </c>
      <c r="L8" s="15">
        <v>2445</v>
      </c>
      <c r="M8" s="15">
        <f t="shared" si="0"/>
        <v>2445</v>
      </c>
      <c r="N8" s="15">
        <v>0</v>
      </c>
      <c r="O8" s="58">
        <f t="shared" si="1"/>
        <v>0</v>
      </c>
      <c r="P8" s="39">
        <f t="shared" si="2"/>
        <v>11</v>
      </c>
      <c r="Q8" s="40">
        <f t="shared" si="3"/>
        <v>13</v>
      </c>
      <c r="R8" s="7"/>
      <c r="S8" s="6"/>
      <c r="T8" s="16"/>
      <c r="U8" s="16"/>
      <c r="V8" s="17"/>
      <c r="W8" s="5"/>
      <c r="X8" s="16"/>
      <c r="Y8" s="16"/>
      <c r="Z8" s="16"/>
      <c r="AA8" s="18">
        <v>13</v>
      </c>
      <c r="AB8" s="8">
        <f t="shared" si="4"/>
        <v>1</v>
      </c>
      <c r="AC8" s="9">
        <f t="shared" si="5"/>
        <v>0.45833333333333331</v>
      </c>
      <c r="AD8" s="10">
        <f t="shared" si="8"/>
        <v>0.45833333333333331</v>
      </c>
      <c r="AE8" s="36">
        <f t="shared" si="6"/>
        <v>0.43840579710144922</v>
      </c>
      <c r="AF8" s="81">
        <f t="shared" si="7"/>
        <v>3</v>
      </c>
    </row>
    <row r="9" spans="1:32" ht="27" customHeight="1">
      <c r="A9" s="92">
        <v>4</v>
      </c>
      <c r="B9" s="11" t="s">
        <v>57</v>
      </c>
      <c r="C9" s="34" t="s">
        <v>116</v>
      </c>
      <c r="D9" s="52" t="s">
        <v>284</v>
      </c>
      <c r="E9" s="53" t="s">
        <v>808</v>
      </c>
      <c r="F9" s="30" t="s">
        <v>145</v>
      </c>
      <c r="G9" s="12">
        <v>1</v>
      </c>
      <c r="H9" s="13">
        <v>24</v>
      </c>
      <c r="I9" s="7">
        <v>20000</v>
      </c>
      <c r="J9" s="14">
        <v>3984</v>
      </c>
      <c r="K9" s="15">
        <f>L9</f>
        <v>3984</v>
      </c>
      <c r="L9" s="15">
        <f>1106+2878</f>
        <v>3984</v>
      </c>
      <c r="M9" s="15">
        <f t="shared" si="0"/>
        <v>3984</v>
      </c>
      <c r="N9" s="15">
        <v>0</v>
      </c>
      <c r="O9" s="58">
        <f t="shared" si="1"/>
        <v>0</v>
      </c>
      <c r="P9" s="39">
        <f t="shared" si="2"/>
        <v>20</v>
      </c>
      <c r="Q9" s="40">
        <f t="shared" si="3"/>
        <v>4</v>
      </c>
      <c r="R9" s="7"/>
      <c r="S9" s="6">
        <v>4</v>
      </c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0.83333333333333337</v>
      </c>
      <c r="AD9" s="10">
        <f t="shared" si="8"/>
        <v>0.83333333333333337</v>
      </c>
      <c r="AE9" s="36">
        <f t="shared" si="6"/>
        <v>0.43840579710144922</v>
      </c>
      <c r="AF9" s="81">
        <f t="shared" si="7"/>
        <v>4</v>
      </c>
    </row>
    <row r="10" spans="1:32" ht="27" customHeight="1">
      <c r="A10" s="92">
        <v>5</v>
      </c>
      <c r="B10" s="11" t="s">
        <v>57</v>
      </c>
      <c r="C10" s="11" t="s">
        <v>112</v>
      </c>
      <c r="D10" s="52" t="s">
        <v>121</v>
      </c>
      <c r="E10" s="53" t="s">
        <v>188</v>
      </c>
      <c r="F10" s="30" t="s">
        <v>124</v>
      </c>
      <c r="G10" s="33">
        <v>1</v>
      </c>
      <c r="H10" s="35">
        <v>24</v>
      </c>
      <c r="I10" s="7">
        <v>115000</v>
      </c>
      <c r="J10" s="14">
        <v>3638</v>
      </c>
      <c r="K10" s="15">
        <f>L10+5338+5669+5744+4980+3619+1932+309+2790+5660+4715+1739+3127+5884+1203</f>
        <v>56347</v>
      </c>
      <c r="L10" s="15">
        <f>1157+2481</f>
        <v>3638</v>
      </c>
      <c r="M10" s="15">
        <f t="shared" si="0"/>
        <v>3638</v>
      </c>
      <c r="N10" s="15">
        <v>0</v>
      </c>
      <c r="O10" s="58">
        <f t="shared" si="1"/>
        <v>0</v>
      </c>
      <c r="P10" s="39">
        <f t="shared" si="2"/>
        <v>17</v>
      </c>
      <c r="Q10" s="40">
        <f t="shared" si="3"/>
        <v>7</v>
      </c>
      <c r="R10" s="7"/>
      <c r="S10" s="6">
        <v>7</v>
      </c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0.70833333333333337</v>
      </c>
      <c r="AD10" s="10">
        <f t="shared" si="8"/>
        <v>0.70833333333333337</v>
      </c>
      <c r="AE10" s="36">
        <f t="shared" si="6"/>
        <v>0.43840579710144922</v>
      </c>
      <c r="AF10" s="81">
        <f t="shared" si="7"/>
        <v>5</v>
      </c>
    </row>
    <row r="11" spans="1:32" ht="27" customHeight="1">
      <c r="A11" s="92">
        <v>6</v>
      </c>
      <c r="B11" s="11" t="s">
        <v>57</v>
      </c>
      <c r="C11" s="11" t="s">
        <v>127</v>
      </c>
      <c r="D11" s="52" t="s">
        <v>209</v>
      </c>
      <c r="E11" s="53" t="s">
        <v>784</v>
      </c>
      <c r="F11" s="30" t="s">
        <v>327</v>
      </c>
      <c r="G11" s="33">
        <v>1</v>
      </c>
      <c r="H11" s="35">
        <v>24</v>
      </c>
      <c r="I11" s="7">
        <v>3000</v>
      </c>
      <c r="J11" s="14">
        <v>1477</v>
      </c>
      <c r="K11" s="15">
        <f>L11+2139+1477</f>
        <v>3616</v>
      </c>
      <c r="L11" s="15"/>
      <c r="M11" s="15">
        <f t="shared" si="0"/>
        <v>0</v>
      </c>
      <c r="N11" s="15">
        <v>0</v>
      </c>
      <c r="O11" s="58" t="str">
        <f t="shared" si="1"/>
        <v>0</v>
      </c>
      <c r="P11" s="39" t="str">
        <f t="shared" si="2"/>
        <v>0</v>
      </c>
      <c r="Q11" s="40">
        <f t="shared" si="3"/>
        <v>24</v>
      </c>
      <c r="R11" s="7"/>
      <c r="S11" s="6"/>
      <c r="T11" s="16"/>
      <c r="U11" s="16"/>
      <c r="V11" s="17"/>
      <c r="W11" s="5"/>
      <c r="X11" s="16"/>
      <c r="Y11" s="16"/>
      <c r="Z11" s="16"/>
      <c r="AA11" s="18">
        <v>24</v>
      </c>
      <c r="AB11" s="8">
        <f t="shared" si="4"/>
        <v>0</v>
      </c>
      <c r="AC11" s="9">
        <f t="shared" si="5"/>
        <v>0</v>
      </c>
      <c r="AD11" s="10">
        <f t="shared" si="8"/>
        <v>0</v>
      </c>
      <c r="AE11" s="36">
        <f t="shared" si="6"/>
        <v>0.43840579710144922</v>
      </c>
      <c r="AF11" s="81">
        <f t="shared" si="7"/>
        <v>6</v>
      </c>
    </row>
    <row r="12" spans="1:32" ht="27" customHeight="1">
      <c r="A12" s="92">
        <v>7</v>
      </c>
      <c r="B12" s="11" t="s">
        <v>57</v>
      </c>
      <c r="C12" s="34" t="s">
        <v>112</v>
      </c>
      <c r="D12" s="52" t="s">
        <v>147</v>
      </c>
      <c r="E12" s="53" t="s">
        <v>547</v>
      </c>
      <c r="F12" s="30" t="s">
        <v>286</v>
      </c>
      <c r="G12" s="12">
        <v>1</v>
      </c>
      <c r="H12" s="13">
        <v>22</v>
      </c>
      <c r="I12" s="31">
        <v>40000</v>
      </c>
      <c r="J12" s="5">
        <v>5212</v>
      </c>
      <c r="K12" s="15">
        <f>L12+4452+3191+2676+3717+4759+5028+4406+5174</f>
        <v>38615</v>
      </c>
      <c r="L12" s="15">
        <f>2605+2607</f>
        <v>5212</v>
      </c>
      <c r="M12" s="15">
        <f t="shared" si="0"/>
        <v>5212</v>
      </c>
      <c r="N12" s="15">
        <v>0</v>
      </c>
      <c r="O12" s="58">
        <f t="shared" si="1"/>
        <v>0</v>
      </c>
      <c r="P12" s="39">
        <f t="shared" si="2"/>
        <v>24</v>
      </c>
      <c r="Q12" s="40">
        <f t="shared" si="3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1</v>
      </c>
      <c r="AD12" s="10">
        <f t="shared" si="8"/>
        <v>1</v>
      </c>
      <c r="AE12" s="36">
        <f t="shared" si="6"/>
        <v>0.43840579710144922</v>
      </c>
      <c r="AF12" s="81">
        <f t="shared" si="7"/>
        <v>7</v>
      </c>
    </row>
    <row r="13" spans="1:32" ht="27" customHeight="1">
      <c r="A13" s="92">
        <v>8</v>
      </c>
      <c r="B13" s="11" t="s">
        <v>57</v>
      </c>
      <c r="C13" s="11" t="s">
        <v>116</v>
      </c>
      <c r="D13" s="52" t="s">
        <v>147</v>
      </c>
      <c r="E13" s="53" t="s">
        <v>814</v>
      </c>
      <c r="F13" s="30" t="s">
        <v>138</v>
      </c>
      <c r="G13" s="33">
        <v>1</v>
      </c>
      <c r="H13" s="35">
        <v>22</v>
      </c>
      <c r="I13" s="7">
        <v>17400</v>
      </c>
      <c r="J13" s="14">
        <v>4060</v>
      </c>
      <c r="K13" s="15">
        <f>L13</f>
        <v>4060</v>
      </c>
      <c r="L13" s="15">
        <f>2730+1330</f>
        <v>4060</v>
      </c>
      <c r="M13" s="15">
        <f t="shared" si="0"/>
        <v>4060</v>
      </c>
      <c r="N13" s="15">
        <v>0</v>
      </c>
      <c r="O13" s="58">
        <f t="shared" si="1"/>
        <v>0</v>
      </c>
      <c r="P13" s="39">
        <f t="shared" si="2"/>
        <v>20</v>
      </c>
      <c r="Q13" s="40">
        <f t="shared" si="3"/>
        <v>4</v>
      </c>
      <c r="R13" s="7"/>
      <c r="S13" s="6"/>
      <c r="T13" s="16">
        <v>4</v>
      </c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0.83333333333333337</v>
      </c>
      <c r="AD13" s="10">
        <f t="shared" si="8"/>
        <v>0.83333333333333337</v>
      </c>
      <c r="AE13" s="36">
        <f t="shared" si="6"/>
        <v>0.43840579710144922</v>
      </c>
      <c r="AF13" s="81">
        <f t="shared" si="7"/>
        <v>8</v>
      </c>
    </row>
    <row r="14" spans="1:32" ht="27" customHeight="1">
      <c r="A14" s="99">
        <v>9</v>
      </c>
      <c r="B14" s="11" t="s">
        <v>57</v>
      </c>
      <c r="C14" s="34" t="s">
        <v>759</v>
      </c>
      <c r="D14" s="52"/>
      <c r="E14" s="53" t="s">
        <v>758</v>
      </c>
      <c r="F14" s="30" t="s">
        <v>785</v>
      </c>
      <c r="G14" s="33">
        <v>1</v>
      </c>
      <c r="H14" s="35">
        <v>50</v>
      </c>
      <c r="I14" s="7">
        <v>500</v>
      </c>
      <c r="J14" s="5">
        <v>712</v>
      </c>
      <c r="K14" s="15">
        <f>L14+208+712</f>
        <v>920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>
        <v>24</v>
      </c>
      <c r="T14" s="16"/>
      <c r="U14" s="16"/>
      <c r="V14" s="17"/>
      <c r="W14" s="5"/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8"/>
        <v>0</v>
      </c>
      <c r="AE14" s="36">
        <f t="shared" si="6"/>
        <v>0.43840579710144922</v>
      </c>
      <c r="AF14" s="81">
        <f t="shared" si="7"/>
        <v>9</v>
      </c>
    </row>
    <row r="15" spans="1:32" ht="27" customHeight="1">
      <c r="A15" s="106">
        <v>10</v>
      </c>
      <c r="B15" s="11" t="s">
        <v>57</v>
      </c>
      <c r="C15" s="34" t="s">
        <v>112</v>
      </c>
      <c r="D15" s="52" t="s">
        <v>208</v>
      </c>
      <c r="E15" s="53" t="s">
        <v>555</v>
      </c>
      <c r="F15" s="30" t="s">
        <v>142</v>
      </c>
      <c r="G15" s="12">
        <v>1</v>
      </c>
      <c r="H15" s="13">
        <v>24</v>
      </c>
      <c r="I15" s="31">
        <v>2500</v>
      </c>
      <c r="J15" s="14">
        <v>2828</v>
      </c>
      <c r="K15" s="15">
        <f>L15+2828</f>
        <v>2828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/>
      <c r="T15" s="16"/>
      <c r="U15" s="16"/>
      <c r="V15" s="17"/>
      <c r="W15" s="5"/>
      <c r="X15" s="16"/>
      <c r="Y15" s="16"/>
      <c r="Z15" s="16"/>
      <c r="AA15" s="18">
        <v>24</v>
      </c>
      <c r="AB15" s="8">
        <f t="shared" si="4"/>
        <v>0</v>
      </c>
      <c r="AC15" s="9">
        <f t="shared" si="5"/>
        <v>0</v>
      </c>
      <c r="AD15" s="10">
        <f t="shared" si="8"/>
        <v>0</v>
      </c>
      <c r="AE15" s="36">
        <f t="shared" si="6"/>
        <v>0.43840579710144922</v>
      </c>
      <c r="AF15" s="81">
        <f t="shared" si="7"/>
        <v>10</v>
      </c>
    </row>
    <row r="16" spans="1:32" ht="27" customHeight="1">
      <c r="A16" s="92">
        <v>11</v>
      </c>
      <c r="B16" s="11" t="s">
        <v>57</v>
      </c>
      <c r="C16" s="34" t="s">
        <v>116</v>
      </c>
      <c r="D16" s="52" t="s">
        <v>129</v>
      </c>
      <c r="E16" s="53" t="s">
        <v>178</v>
      </c>
      <c r="F16" s="30" t="s">
        <v>124</v>
      </c>
      <c r="G16" s="12">
        <v>1</v>
      </c>
      <c r="H16" s="13">
        <v>22</v>
      </c>
      <c r="I16" s="31">
        <v>90000</v>
      </c>
      <c r="J16" s="5">
        <v>1025</v>
      </c>
      <c r="K16" s="15">
        <f>L16+8120+11780+9608+2367+4983+6240+3068+8262+5992+5220+6666+8174</f>
        <v>81505</v>
      </c>
      <c r="L16" s="15">
        <v>1025</v>
      </c>
      <c r="M16" s="15">
        <f t="shared" si="0"/>
        <v>1025</v>
      </c>
      <c r="N16" s="15">
        <v>0</v>
      </c>
      <c r="O16" s="58">
        <f t="shared" si="1"/>
        <v>0</v>
      </c>
      <c r="P16" s="39">
        <f t="shared" si="2"/>
        <v>6</v>
      </c>
      <c r="Q16" s="40">
        <f t="shared" si="3"/>
        <v>18</v>
      </c>
      <c r="R16" s="7"/>
      <c r="S16" s="6">
        <v>18</v>
      </c>
      <c r="T16" s="16"/>
      <c r="U16" s="16"/>
      <c r="V16" s="17"/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0.25</v>
      </c>
      <c r="AD16" s="10">
        <f t="shared" si="8"/>
        <v>0.25</v>
      </c>
      <c r="AE16" s="36">
        <f t="shared" si="6"/>
        <v>0.43840579710144922</v>
      </c>
      <c r="AF16" s="81">
        <f t="shared" si="7"/>
        <v>11</v>
      </c>
    </row>
    <row r="17" spans="1:32" ht="27" customHeight="1">
      <c r="A17" s="92">
        <v>11</v>
      </c>
      <c r="B17" s="11" t="s">
        <v>57</v>
      </c>
      <c r="C17" s="34" t="s">
        <v>116</v>
      </c>
      <c r="D17" s="52" t="s">
        <v>129</v>
      </c>
      <c r="E17" s="53" t="s">
        <v>833</v>
      </c>
      <c r="F17" s="30" t="s">
        <v>221</v>
      </c>
      <c r="G17" s="12">
        <v>1</v>
      </c>
      <c r="H17" s="13">
        <v>22</v>
      </c>
      <c r="I17" s="31">
        <v>20000</v>
      </c>
      <c r="J17" s="5">
        <v>3843</v>
      </c>
      <c r="K17" s="15">
        <f>L17</f>
        <v>3843</v>
      </c>
      <c r="L17" s="15">
        <f>1037+2806</f>
        <v>3843</v>
      </c>
      <c r="M17" s="15">
        <f t="shared" ref="M17" si="9">L17-N17</f>
        <v>3843</v>
      </c>
      <c r="N17" s="15">
        <v>0</v>
      </c>
      <c r="O17" s="58">
        <f t="shared" ref="O17" si="10">IF(L17=0,"0",N17/L17)</f>
        <v>0</v>
      </c>
      <c r="P17" s="39">
        <f t="shared" ref="P17" si="11">IF(L17=0,"0",(24-Q17))</f>
        <v>14</v>
      </c>
      <c r="Q17" s="40">
        <f t="shared" ref="Q17" si="12">SUM(R17:AA17)</f>
        <v>10</v>
      </c>
      <c r="R17" s="7"/>
      <c r="S17" s="6">
        <v>2</v>
      </c>
      <c r="T17" s="16">
        <v>8</v>
      </c>
      <c r="U17" s="16"/>
      <c r="V17" s="17"/>
      <c r="W17" s="5"/>
      <c r="X17" s="16"/>
      <c r="Y17" s="16"/>
      <c r="Z17" s="16"/>
      <c r="AA17" s="18"/>
      <c r="AB17" s="8">
        <f t="shared" ref="AB17" si="13">IF(J17=0,"0",(L17/J17))</f>
        <v>1</v>
      </c>
      <c r="AC17" s="9">
        <f t="shared" ref="AC17" si="14">IF(P17=0,"0",(P17/24))</f>
        <v>0.58333333333333337</v>
      </c>
      <c r="AD17" s="10">
        <f t="shared" ref="AD17" si="15">AC17*AB17*(1-O17)</f>
        <v>0.58333333333333337</v>
      </c>
      <c r="AE17" s="36">
        <f t="shared" si="6"/>
        <v>0.43840579710144922</v>
      </c>
      <c r="AF17" s="81">
        <f t="shared" ref="AF17" si="16">A17</f>
        <v>11</v>
      </c>
    </row>
    <row r="18" spans="1:32" ht="27" customHeight="1">
      <c r="A18" s="106">
        <v>12</v>
      </c>
      <c r="B18" s="11" t="s">
        <v>57</v>
      </c>
      <c r="C18" s="34" t="s">
        <v>112</v>
      </c>
      <c r="D18" s="52" t="s">
        <v>140</v>
      </c>
      <c r="E18" s="53" t="s">
        <v>163</v>
      </c>
      <c r="F18" s="30" t="s">
        <v>142</v>
      </c>
      <c r="G18" s="12">
        <v>1</v>
      </c>
      <c r="H18" s="13">
        <v>24</v>
      </c>
      <c r="I18" s="7">
        <v>30000</v>
      </c>
      <c r="J18" s="14">
        <v>5896</v>
      </c>
      <c r="K18" s="15">
        <f>L18</f>
        <v>5896</v>
      </c>
      <c r="L18" s="15">
        <f>2948*2</f>
        <v>5896</v>
      </c>
      <c r="M18" s="15">
        <f t="shared" si="0"/>
        <v>5896</v>
      </c>
      <c r="N18" s="15">
        <v>0</v>
      </c>
      <c r="O18" s="58">
        <f t="shared" si="1"/>
        <v>0</v>
      </c>
      <c r="P18" s="39">
        <f t="shared" si="2"/>
        <v>14</v>
      </c>
      <c r="Q18" s="40">
        <f t="shared" si="3"/>
        <v>10</v>
      </c>
      <c r="R18" s="7"/>
      <c r="S18" s="6">
        <v>10</v>
      </c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0.58333333333333337</v>
      </c>
      <c r="AD18" s="10">
        <f t="shared" si="8"/>
        <v>0.58333333333333337</v>
      </c>
      <c r="AE18" s="36">
        <f t="shared" si="6"/>
        <v>0.43840579710144922</v>
      </c>
      <c r="AF18" s="81">
        <f t="shared" si="7"/>
        <v>12</v>
      </c>
    </row>
    <row r="19" spans="1:32" ht="27" customHeight="1">
      <c r="A19" s="92">
        <v>13</v>
      </c>
      <c r="B19" s="11" t="s">
        <v>57</v>
      </c>
      <c r="C19" s="34" t="s">
        <v>116</v>
      </c>
      <c r="D19" s="52" t="s">
        <v>115</v>
      </c>
      <c r="E19" s="53" t="s">
        <v>769</v>
      </c>
      <c r="F19" s="30" t="s">
        <v>138</v>
      </c>
      <c r="G19" s="12">
        <v>1</v>
      </c>
      <c r="H19" s="13">
        <v>22</v>
      </c>
      <c r="I19" s="31">
        <v>17000</v>
      </c>
      <c r="J19" s="5">
        <v>3747</v>
      </c>
      <c r="K19" s="15">
        <f>L19+1550+666</f>
        <v>5963</v>
      </c>
      <c r="L19" s="15">
        <f>799+2948</f>
        <v>3747</v>
      </c>
      <c r="M19" s="15">
        <f t="shared" si="0"/>
        <v>3747</v>
      </c>
      <c r="N19" s="15">
        <v>0</v>
      </c>
      <c r="O19" s="58">
        <f t="shared" si="1"/>
        <v>0</v>
      </c>
      <c r="P19" s="39">
        <f t="shared" si="2"/>
        <v>16</v>
      </c>
      <c r="Q19" s="40">
        <f t="shared" si="3"/>
        <v>8</v>
      </c>
      <c r="R19" s="7"/>
      <c r="S19" s="6">
        <v>8</v>
      </c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0.66666666666666663</v>
      </c>
      <c r="AD19" s="10">
        <f t="shared" si="8"/>
        <v>0.66666666666666663</v>
      </c>
      <c r="AE19" s="36">
        <f t="shared" si="6"/>
        <v>0.43840579710144922</v>
      </c>
      <c r="AF19" s="81">
        <f t="shared" si="7"/>
        <v>13</v>
      </c>
    </row>
    <row r="20" spans="1:32" ht="27" customHeight="1">
      <c r="A20" s="92">
        <v>14</v>
      </c>
      <c r="B20" s="11" t="s">
        <v>57</v>
      </c>
      <c r="C20" s="11" t="s">
        <v>112</v>
      </c>
      <c r="D20" s="52" t="s">
        <v>287</v>
      </c>
      <c r="E20" s="53" t="s">
        <v>770</v>
      </c>
      <c r="F20" s="30" t="s">
        <v>124</v>
      </c>
      <c r="G20" s="33">
        <v>1</v>
      </c>
      <c r="H20" s="35">
        <v>24</v>
      </c>
      <c r="I20" s="7">
        <v>35000</v>
      </c>
      <c r="J20" s="14">
        <v>4152</v>
      </c>
      <c r="K20" s="15">
        <f>L20+2187</f>
        <v>6339</v>
      </c>
      <c r="L20" s="15">
        <f>1348+2804</f>
        <v>4152</v>
      </c>
      <c r="M20" s="15">
        <f t="shared" si="0"/>
        <v>4152</v>
      </c>
      <c r="N20" s="15">
        <v>0</v>
      </c>
      <c r="O20" s="58">
        <f t="shared" si="1"/>
        <v>0</v>
      </c>
      <c r="P20" s="39">
        <f t="shared" si="2"/>
        <v>21</v>
      </c>
      <c r="Q20" s="40">
        <f t="shared" si="3"/>
        <v>3</v>
      </c>
      <c r="R20" s="7"/>
      <c r="S20" s="6">
        <v>3</v>
      </c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0.875</v>
      </c>
      <c r="AD20" s="10">
        <f t="shared" si="8"/>
        <v>0.875</v>
      </c>
      <c r="AE20" s="36">
        <f t="shared" si="6"/>
        <v>0.43840579710144922</v>
      </c>
      <c r="AF20" s="81">
        <f t="shared" si="7"/>
        <v>14</v>
      </c>
    </row>
    <row r="21" spans="1:32" ht="27" customHeight="1">
      <c r="A21" s="106">
        <v>15</v>
      </c>
      <c r="B21" s="11" t="s">
        <v>57</v>
      </c>
      <c r="C21" s="11" t="s">
        <v>112</v>
      </c>
      <c r="D21" s="52" t="s">
        <v>115</v>
      </c>
      <c r="E21" s="53" t="s">
        <v>148</v>
      </c>
      <c r="F21" s="30" t="s">
        <v>138</v>
      </c>
      <c r="G21" s="33">
        <v>2</v>
      </c>
      <c r="H21" s="35">
        <v>24</v>
      </c>
      <c r="I21" s="7">
        <v>190000</v>
      </c>
      <c r="J21" s="14">
        <v>3045</v>
      </c>
      <c r="K21" s="15">
        <f>L21+2429+7472+8688+7444+11036+10988+11010+10896+8170+1188+8544+8600+10428+2136+6276+9709+8542+9846+6657+2519+4495+3045</f>
        <v>160118</v>
      </c>
      <c r="L21" s="15"/>
      <c r="M21" s="15">
        <f t="shared" si="0"/>
        <v>0</v>
      </c>
      <c r="N21" s="15">
        <v>0</v>
      </c>
      <c r="O21" s="58" t="str">
        <f t="shared" si="1"/>
        <v>0</v>
      </c>
      <c r="P21" s="39" t="str">
        <f t="shared" si="2"/>
        <v>0</v>
      </c>
      <c r="Q21" s="40">
        <f t="shared" si="3"/>
        <v>24</v>
      </c>
      <c r="R21" s="7"/>
      <c r="S21" s="6">
        <v>24</v>
      </c>
      <c r="T21" s="16"/>
      <c r="U21" s="16"/>
      <c r="V21" s="17"/>
      <c r="W21" s="5"/>
      <c r="X21" s="16"/>
      <c r="Y21" s="16"/>
      <c r="Z21" s="16"/>
      <c r="AA21" s="18"/>
      <c r="AB21" s="8">
        <f t="shared" si="4"/>
        <v>0</v>
      </c>
      <c r="AC21" s="9">
        <f t="shared" si="5"/>
        <v>0</v>
      </c>
      <c r="AD21" s="10">
        <f t="shared" si="8"/>
        <v>0</v>
      </c>
      <c r="AE21" s="36">
        <f t="shared" si="6"/>
        <v>0.43840579710144922</v>
      </c>
      <c r="AF21" s="81">
        <f t="shared" si="7"/>
        <v>15</v>
      </c>
    </row>
    <row r="22" spans="1:32" ht="26.25" customHeight="1">
      <c r="A22" s="92">
        <v>16</v>
      </c>
      <c r="B22" s="11" t="s">
        <v>57</v>
      </c>
      <c r="C22" s="11" t="s">
        <v>113</v>
      </c>
      <c r="D22" s="52"/>
      <c r="E22" s="53" t="s">
        <v>160</v>
      </c>
      <c r="F22" s="12" t="s">
        <v>114</v>
      </c>
      <c r="G22" s="12">
        <v>4</v>
      </c>
      <c r="H22" s="35">
        <v>20</v>
      </c>
      <c r="I22" s="7">
        <v>2000000</v>
      </c>
      <c r="J22" s="14">
        <v>64592</v>
      </c>
      <c r="K22" s="15">
        <f>L22+29876+62940+54476+54396+57856+63452+64136+60836+58660+62760+62928+64084+55912+44824+63988+40136+63248</f>
        <v>1029100</v>
      </c>
      <c r="L22" s="15">
        <f>8060*4+8088*4</f>
        <v>64592</v>
      </c>
      <c r="M22" s="15">
        <f t="shared" si="0"/>
        <v>64592</v>
      </c>
      <c r="N22" s="15">
        <v>0</v>
      </c>
      <c r="O22" s="58">
        <f t="shared" si="1"/>
        <v>0</v>
      </c>
      <c r="P22" s="39">
        <f t="shared" si="2"/>
        <v>24</v>
      </c>
      <c r="Q22" s="40">
        <f t="shared" si="3"/>
        <v>0</v>
      </c>
      <c r="R22" s="7"/>
      <c r="S22" s="6"/>
      <c r="T22" s="16"/>
      <c r="U22" s="16"/>
      <c r="V22" s="17"/>
      <c r="W22" s="5"/>
      <c r="X22" s="16"/>
      <c r="Y22" s="16"/>
      <c r="Z22" s="16"/>
      <c r="AA22" s="18"/>
      <c r="AB22" s="8">
        <f t="shared" si="4"/>
        <v>1</v>
      </c>
      <c r="AC22" s="9">
        <f t="shared" si="5"/>
        <v>1</v>
      </c>
      <c r="AD22" s="10">
        <f t="shared" si="8"/>
        <v>1</v>
      </c>
      <c r="AE22" s="36">
        <f t="shared" si="6"/>
        <v>0.43840579710144922</v>
      </c>
      <c r="AF22" s="81">
        <f t="shared" si="7"/>
        <v>16</v>
      </c>
    </row>
    <row r="23" spans="1:32" ht="21.75" customHeight="1">
      <c r="A23" s="92">
        <v>31</v>
      </c>
      <c r="B23" s="11" t="s">
        <v>57</v>
      </c>
      <c r="C23" s="11" t="s">
        <v>116</v>
      </c>
      <c r="D23" s="52" t="s">
        <v>115</v>
      </c>
      <c r="E23" s="53" t="s">
        <v>174</v>
      </c>
      <c r="F23" s="12" t="s">
        <v>138</v>
      </c>
      <c r="G23" s="12">
        <v>4</v>
      </c>
      <c r="H23" s="35">
        <v>20</v>
      </c>
      <c r="I23" s="7">
        <v>50000</v>
      </c>
      <c r="J23" s="14">
        <v>24116</v>
      </c>
      <c r="K23" s="15">
        <f>L23+13424+21584+22708+24116</f>
        <v>81832</v>
      </c>
      <c r="L23" s="15"/>
      <c r="M23" s="15">
        <f t="shared" si="0"/>
        <v>0</v>
      </c>
      <c r="N23" s="15">
        <v>0</v>
      </c>
      <c r="O23" s="58" t="str">
        <f t="shared" si="1"/>
        <v>0</v>
      </c>
      <c r="P23" s="39" t="str">
        <f t="shared" si="2"/>
        <v>0</v>
      </c>
      <c r="Q23" s="40">
        <f t="shared" si="3"/>
        <v>24</v>
      </c>
      <c r="R23" s="7"/>
      <c r="S23" s="6"/>
      <c r="T23" s="16"/>
      <c r="U23" s="16"/>
      <c r="V23" s="17"/>
      <c r="W23" s="5">
        <v>24</v>
      </c>
      <c r="X23" s="16"/>
      <c r="Y23" s="16"/>
      <c r="Z23" s="16"/>
      <c r="AA23" s="18"/>
      <c r="AB23" s="8">
        <f t="shared" si="4"/>
        <v>0</v>
      </c>
      <c r="AC23" s="9">
        <f t="shared" si="5"/>
        <v>0</v>
      </c>
      <c r="AD23" s="10">
        <f t="shared" si="8"/>
        <v>0</v>
      </c>
      <c r="AE23" s="36">
        <f t="shared" si="6"/>
        <v>0.43840579710144922</v>
      </c>
      <c r="AF23" s="81">
        <f t="shared" si="7"/>
        <v>31</v>
      </c>
    </row>
    <row r="24" spans="1:32" ht="21.75" customHeight="1">
      <c r="A24" s="92">
        <v>32</v>
      </c>
      <c r="B24" s="11" t="s">
        <v>57</v>
      </c>
      <c r="C24" s="11"/>
      <c r="D24" s="52"/>
      <c r="E24" s="53"/>
      <c r="F24" s="12"/>
      <c r="G24" s="12"/>
      <c r="H24" s="35">
        <v>20</v>
      </c>
      <c r="I24" s="7"/>
      <c r="J24" s="14">
        <v>0</v>
      </c>
      <c r="K24" s="15">
        <f t="shared" ref="K24" si="17">L24</f>
        <v>0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7"/>
      <c r="W24" s="5">
        <v>24</v>
      </c>
      <c r="X24" s="16"/>
      <c r="Y24" s="16"/>
      <c r="Z24" s="16"/>
      <c r="AA24" s="18"/>
      <c r="AB24" s="8" t="str">
        <f t="shared" si="4"/>
        <v>0</v>
      </c>
      <c r="AC24" s="9">
        <f t="shared" si="5"/>
        <v>0</v>
      </c>
      <c r="AD24" s="10">
        <f t="shared" si="8"/>
        <v>0</v>
      </c>
      <c r="AE24" s="36">
        <f t="shared" si="6"/>
        <v>0.43840579710144922</v>
      </c>
      <c r="AF24" s="81">
        <f t="shared" si="7"/>
        <v>32</v>
      </c>
    </row>
    <row r="25" spans="1:32" ht="21.75" customHeight="1">
      <c r="A25" s="92">
        <v>33</v>
      </c>
      <c r="B25" s="11" t="s">
        <v>57</v>
      </c>
      <c r="C25" s="11" t="s">
        <v>116</v>
      </c>
      <c r="D25" s="52" t="s">
        <v>147</v>
      </c>
      <c r="E25" s="53" t="s">
        <v>183</v>
      </c>
      <c r="F25" s="12" t="s">
        <v>124</v>
      </c>
      <c r="G25" s="12">
        <v>3</v>
      </c>
      <c r="H25" s="35">
        <v>20</v>
      </c>
      <c r="I25" s="7">
        <v>50000</v>
      </c>
      <c r="J25" s="14">
        <v>21522</v>
      </c>
      <c r="K25" s="15">
        <f>L25+16720+23067+20250+21522</f>
        <v>81559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14"/>
      <c r="W25" s="5">
        <v>24</v>
      </c>
      <c r="X25" s="16"/>
      <c r="Y25" s="16"/>
      <c r="Z25" s="16"/>
      <c r="AA25" s="18"/>
      <c r="AB25" s="8">
        <f t="shared" si="4"/>
        <v>0</v>
      </c>
      <c r="AC25" s="9">
        <f t="shared" si="5"/>
        <v>0</v>
      </c>
      <c r="AD25" s="10">
        <f t="shared" si="8"/>
        <v>0</v>
      </c>
      <c r="AE25" s="36">
        <f t="shared" si="6"/>
        <v>0.43840579710144922</v>
      </c>
      <c r="AF25" s="81">
        <f t="shared" si="7"/>
        <v>33</v>
      </c>
    </row>
    <row r="26" spans="1:32" ht="21.75" customHeight="1">
      <c r="A26" s="92">
        <v>34</v>
      </c>
      <c r="B26" s="11" t="s">
        <v>57</v>
      </c>
      <c r="C26" s="11" t="s">
        <v>116</v>
      </c>
      <c r="D26" s="52" t="s">
        <v>129</v>
      </c>
      <c r="E26" s="53" t="s">
        <v>172</v>
      </c>
      <c r="F26" s="12" t="s">
        <v>125</v>
      </c>
      <c r="G26" s="12">
        <v>4</v>
      </c>
      <c r="H26" s="35">
        <v>20</v>
      </c>
      <c r="I26" s="7">
        <v>50000</v>
      </c>
      <c r="J26" s="14">
        <v>26548</v>
      </c>
      <c r="K26" s="15">
        <f>L26+15172+24432+25280+26548</f>
        <v>91432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24</v>
      </c>
      <c r="R26" s="7"/>
      <c r="S26" s="6"/>
      <c r="T26" s="16"/>
      <c r="U26" s="16"/>
      <c r="V26" s="114"/>
      <c r="W26" s="5">
        <v>24</v>
      </c>
      <c r="X26" s="16"/>
      <c r="Y26" s="16"/>
      <c r="Z26" s="16"/>
      <c r="AA26" s="18"/>
      <c r="AB26" s="8">
        <f t="shared" si="4"/>
        <v>0</v>
      </c>
      <c r="AC26" s="9">
        <f t="shared" si="5"/>
        <v>0</v>
      </c>
      <c r="AD26" s="10">
        <f t="shared" si="8"/>
        <v>0</v>
      </c>
      <c r="AE26" s="36">
        <f t="shared" si="6"/>
        <v>0.43840579710144922</v>
      </c>
      <c r="AF26" s="81">
        <f t="shared" si="7"/>
        <v>34</v>
      </c>
    </row>
    <row r="27" spans="1:32" ht="21.75" customHeight="1">
      <c r="A27" s="92">
        <v>35</v>
      </c>
      <c r="B27" s="11" t="s">
        <v>57</v>
      </c>
      <c r="C27" s="11" t="s">
        <v>116</v>
      </c>
      <c r="D27" s="52" t="s">
        <v>121</v>
      </c>
      <c r="E27" s="53" t="s">
        <v>126</v>
      </c>
      <c r="F27" s="12" t="s">
        <v>125</v>
      </c>
      <c r="G27" s="12">
        <v>4</v>
      </c>
      <c r="H27" s="35">
        <v>20</v>
      </c>
      <c r="I27" s="7">
        <v>50000</v>
      </c>
      <c r="J27" s="14">
        <v>26944</v>
      </c>
      <c r="K27" s="15">
        <f>L27+24592+26944+21716</f>
        <v>73252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24</v>
      </c>
      <c r="R27" s="7"/>
      <c r="S27" s="6"/>
      <c r="T27" s="16"/>
      <c r="U27" s="16"/>
      <c r="V27" s="114"/>
      <c r="W27" s="5">
        <v>24</v>
      </c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8"/>
        <v>0</v>
      </c>
      <c r="AE27" s="36">
        <f t="shared" si="6"/>
        <v>0.43840579710144922</v>
      </c>
      <c r="AF27" s="81">
        <f t="shared" si="7"/>
        <v>35</v>
      </c>
    </row>
    <row r="28" spans="1:32" ht="21.75" customHeight="1" thickBot="1">
      <c r="A28" s="92">
        <v>36</v>
      </c>
      <c r="B28" s="11" t="s">
        <v>57</v>
      </c>
      <c r="C28" s="11" t="s">
        <v>113</v>
      </c>
      <c r="D28" s="52"/>
      <c r="E28" s="53" t="s">
        <v>182</v>
      </c>
      <c r="F28" s="12" t="s">
        <v>114</v>
      </c>
      <c r="G28" s="12">
        <v>4</v>
      </c>
      <c r="H28" s="35">
        <v>20</v>
      </c>
      <c r="I28" s="7">
        <v>1000000</v>
      </c>
      <c r="J28" s="14">
        <v>82192</v>
      </c>
      <c r="K28" s="15">
        <f>L28+28388+70816+76368+81764+83428+47688+53180+83092</f>
        <v>606916</v>
      </c>
      <c r="L28" s="15">
        <f>10548*4+10000*4</f>
        <v>82192</v>
      </c>
      <c r="M28" s="15">
        <f t="shared" si="0"/>
        <v>82192</v>
      </c>
      <c r="N28" s="15">
        <v>0</v>
      </c>
      <c r="O28" s="58">
        <f t="shared" si="1"/>
        <v>0</v>
      </c>
      <c r="P28" s="39">
        <f t="shared" si="2"/>
        <v>24</v>
      </c>
      <c r="Q28" s="40">
        <f t="shared" si="3"/>
        <v>0</v>
      </c>
      <c r="R28" s="7"/>
      <c r="S28" s="6"/>
      <c r="T28" s="16"/>
      <c r="U28" s="16"/>
      <c r="V28" s="114"/>
      <c r="W28" s="5"/>
      <c r="X28" s="16"/>
      <c r="Y28" s="16"/>
      <c r="Z28" s="16"/>
      <c r="AA28" s="18"/>
      <c r="AB28" s="8">
        <f t="shared" si="4"/>
        <v>1</v>
      </c>
      <c r="AC28" s="9">
        <f t="shared" si="5"/>
        <v>1</v>
      </c>
      <c r="AD28" s="10">
        <f t="shared" si="8"/>
        <v>1</v>
      </c>
      <c r="AE28" s="36">
        <f t="shared" si="6"/>
        <v>0.43840579710144922</v>
      </c>
      <c r="AF28" s="81">
        <f t="shared" si="7"/>
        <v>36</v>
      </c>
    </row>
    <row r="29" spans="1:32" ht="19.5" thickBot="1">
      <c r="A29" s="435" t="s">
        <v>34</v>
      </c>
      <c r="B29" s="436"/>
      <c r="C29" s="436"/>
      <c r="D29" s="436"/>
      <c r="E29" s="436"/>
      <c r="F29" s="436"/>
      <c r="G29" s="436"/>
      <c r="H29" s="437"/>
      <c r="I29" s="22">
        <f t="shared" ref="I29:N29" si="18">SUM(I6:I28)</f>
        <v>3862400</v>
      </c>
      <c r="J29" s="19">
        <f t="shared" si="18"/>
        <v>300765</v>
      </c>
      <c r="K29" s="20">
        <f t="shared" si="18"/>
        <v>2382501</v>
      </c>
      <c r="L29" s="21">
        <f t="shared" si="18"/>
        <v>193573</v>
      </c>
      <c r="M29" s="20">
        <f t="shared" si="18"/>
        <v>193573</v>
      </c>
      <c r="N29" s="21">
        <f t="shared" si="18"/>
        <v>0</v>
      </c>
      <c r="O29" s="41">
        <f t="shared" si="1"/>
        <v>0</v>
      </c>
      <c r="P29" s="42">
        <f t="shared" ref="P29:AA29" si="19">SUM(P6:P28)</f>
        <v>242</v>
      </c>
      <c r="Q29" s="43">
        <f t="shared" si="19"/>
        <v>310</v>
      </c>
      <c r="R29" s="23">
        <f t="shared" si="19"/>
        <v>0</v>
      </c>
      <c r="S29" s="24">
        <f t="shared" si="19"/>
        <v>117</v>
      </c>
      <c r="T29" s="24">
        <f t="shared" si="19"/>
        <v>12</v>
      </c>
      <c r="U29" s="24">
        <f t="shared" si="19"/>
        <v>0</v>
      </c>
      <c r="V29" s="25">
        <f t="shared" si="19"/>
        <v>0</v>
      </c>
      <c r="W29" s="26">
        <f t="shared" si="19"/>
        <v>120</v>
      </c>
      <c r="X29" s="27">
        <f t="shared" si="19"/>
        <v>0</v>
      </c>
      <c r="Y29" s="27">
        <f t="shared" si="19"/>
        <v>0</v>
      </c>
      <c r="Z29" s="27">
        <f t="shared" si="19"/>
        <v>0</v>
      </c>
      <c r="AA29" s="27">
        <f t="shared" si="19"/>
        <v>61</v>
      </c>
      <c r="AB29" s="28">
        <f>AVERAGE(AB6:AB28)</f>
        <v>0.63636363636363635</v>
      </c>
      <c r="AC29" s="4">
        <f>AVERAGE(AC6:AC28)</f>
        <v>0.43840579710144922</v>
      </c>
      <c r="AD29" s="4">
        <f>AVERAGE(AD6:AD28)</f>
        <v>0.43840579710144922</v>
      </c>
      <c r="AE29" s="29"/>
    </row>
    <row r="30" spans="1:32">
      <c r="T30" s="50" t="s">
        <v>130</v>
      </c>
    </row>
    <row r="31" spans="1:32" ht="18.75">
      <c r="A31" s="2"/>
      <c r="B31" s="2" t="s">
        <v>35</v>
      </c>
      <c r="C31" s="2"/>
      <c r="D31" s="2"/>
      <c r="E31" s="2"/>
      <c r="F31" s="2"/>
      <c r="G31" s="2"/>
      <c r="H31" s="3"/>
      <c r="I31" s="3"/>
      <c r="J31" s="2"/>
      <c r="K31" s="2"/>
      <c r="L31" s="2"/>
      <c r="M31" s="2"/>
      <c r="N31" s="2" t="s">
        <v>36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1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 t="s">
        <v>131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F40" s="82"/>
    </row>
    <row r="41" spans="1:32" ht="14.2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F41" s="50"/>
    </row>
    <row r="42" spans="1:32" ht="14.2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50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14.2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F45" s="50"/>
    </row>
    <row r="46" spans="1:32" ht="27">
      <c r="A46" s="59"/>
      <c r="B46" s="59"/>
      <c r="C46" s="59"/>
      <c r="D46" s="59"/>
      <c r="E46" s="59"/>
      <c r="F46" s="37"/>
      <c r="G46" s="37"/>
      <c r="H46" s="38"/>
      <c r="I46" s="38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F46" s="50"/>
    </row>
    <row r="47" spans="1:32" ht="29.25" customHeight="1">
      <c r="A47" s="60"/>
      <c r="B47" s="60"/>
      <c r="C47" s="61"/>
      <c r="D47" s="61"/>
      <c r="E47" s="61"/>
      <c r="F47" s="60"/>
      <c r="G47" s="60"/>
      <c r="H47" s="60"/>
      <c r="I47" s="60"/>
      <c r="J47" s="60"/>
      <c r="K47" s="60"/>
      <c r="L47" s="60"/>
      <c r="M47" s="61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29.25" customHeight="1">
      <c r="A49" s="60"/>
      <c r="B49" s="60"/>
      <c r="C49" s="62"/>
      <c r="D49" s="61"/>
      <c r="E49" s="61"/>
      <c r="F49" s="60"/>
      <c r="G49" s="60"/>
      <c r="H49" s="60"/>
      <c r="I49" s="60"/>
      <c r="J49" s="60"/>
      <c r="K49" s="60"/>
      <c r="L49" s="60"/>
      <c r="M49" s="62"/>
      <c r="N49" s="60"/>
      <c r="O49" s="60"/>
      <c r="P49" s="63"/>
      <c r="Q49" s="63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29.25" customHeight="1">
      <c r="A54" s="60"/>
      <c r="B54" s="60"/>
      <c r="C54" s="62"/>
      <c r="D54" s="61"/>
      <c r="E54" s="61"/>
      <c r="F54" s="60"/>
      <c r="G54" s="60"/>
      <c r="H54" s="60"/>
      <c r="I54" s="60"/>
      <c r="J54" s="60"/>
      <c r="K54" s="60"/>
      <c r="L54" s="60"/>
      <c r="M54" s="62"/>
      <c r="N54" s="60"/>
      <c r="O54" s="60"/>
      <c r="P54" s="63"/>
      <c r="Q54" s="63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0"/>
      <c r="AC54" s="60"/>
      <c r="AD54" s="60"/>
      <c r="AF54" s="50"/>
    </row>
    <row r="55" spans="1:32" ht="14.25" customHeight="1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F55" s="50"/>
    </row>
    <row r="56" spans="1:32" ht="36" thickBot="1">
      <c r="A56" s="438" t="s">
        <v>45</v>
      </c>
      <c r="B56" s="438"/>
      <c r="C56" s="438"/>
      <c r="D56" s="438"/>
      <c r="E56" s="438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F56" s="50"/>
    </row>
    <row r="57" spans="1:32" ht="26.25" thickBot="1">
      <c r="A57" s="439" t="s">
        <v>834</v>
      </c>
      <c r="B57" s="440"/>
      <c r="C57" s="440"/>
      <c r="D57" s="440"/>
      <c r="E57" s="440"/>
      <c r="F57" s="440"/>
      <c r="G57" s="440"/>
      <c r="H57" s="440"/>
      <c r="I57" s="440"/>
      <c r="J57" s="440"/>
      <c r="K57" s="440"/>
      <c r="L57" s="440"/>
      <c r="M57" s="441"/>
      <c r="N57" s="442" t="s">
        <v>846</v>
      </c>
      <c r="O57" s="443"/>
      <c r="P57" s="443"/>
      <c r="Q57" s="443"/>
      <c r="R57" s="443"/>
      <c r="S57" s="443"/>
      <c r="T57" s="443"/>
      <c r="U57" s="443"/>
      <c r="V57" s="443"/>
      <c r="W57" s="443"/>
      <c r="X57" s="443"/>
      <c r="Y57" s="443"/>
      <c r="Z57" s="443"/>
      <c r="AA57" s="443"/>
      <c r="AB57" s="443"/>
      <c r="AC57" s="443"/>
      <c r="AD57" s="444"/>
    </row>
    <row r="58" spans="1:32" ht="27" customHeight="1">
      <c r="A58" s="445" t="s">
        <v>2</v>
      </c>
      <c r="B58" s="446"/>
      <c r="C58" s="323" t="s">
        <v>46</v>
      </c>
      <c r="D58" s="323" t="s">
        <v>47</v>
      </c>
      <c r="E58" s="323" t="s">
        <v>107</v>
      </c>
      <c r="F58" s="447" t="s">
        <v>106</v>
      </c>
      <c r="G58" s="448"/>
      <c r="H58" s="448"/>
      <c r="I58" s="448"/>
      <c r="J58" s="448"/>
      <c r="K58" s="448"/>
      <c r="L58" s="448"/>
      <c r="M58" s="449"/>
      <c r="N58" s="67" t="s">
        <v>110</v>
      </c>
      <c r="O58" s="323" t="s">
        <v>46</v>
      </c>
      <c r="P58" s="447" t="s">
        <v>47</v>
      </c>
      <c r="Q58" s="450"/>
      <c r="R58" s="447" t="s">
        <v>38</v>
      </c>
      <c r="S58" s="448"/>
      <c r="T58" s="448"/>
      <c r="U58" s="450"/>
      <c r="V58" s="447" t="s">
        <v>48</v>
      </c>
      <c r="W58" s="448"/>
      <c r="X58" s="448"/>
      <c r="Y58" s="448"/>
      <c r="Z58" s="448"/>
      <c r="AA58" s="448"/>
      <c r="AB58" s="448"/>
      <c r="AC58" s="448"/>
      <c r="AD58" s="449"/>
    </row>
    <row r="59" spans="1:32" ht="27" customHeight="1">
      <c r="A59" s="415" t="s">
        <v>127</v>
      </c>
      <c r="B59" s="416"/>
      <c r="C59" s="328" t="s">
        <v>143</v>
      </c>
      <c r="D59" s="328" t="s">
        <v>129</v>
      </c>
      <c r="E59" s="328" t="s">
        <v>311</v>
      </c>
      <c r="F59" s="473" t="s">
        <v>835</v>
      </c>
      <c r="G59" s="474"/>
      <c r="H59" s="474"/>
      <c r="I59" s="474"/>
      <c r="J59" s="474"/>
      <c r="K59" s="474"/>
      <c r="L59" s="474"/>
      <c r="M59" s="475"/>
      <c r="N59" s="345" t="s">
        <v>116</v>
      </c>
      <c r="O59" s="339" t="s">
        <v>388</v>
      </c>
      <c r="P59" s="430" t="s">
        <v>115</v>
      </c>
      <c r="Q59" s="431"/>
      <c r="R59" s="430" t="s">
        <v>769</v>
      </c>
      <c r="S59" s="432"/>
      <c r="T59" s="432"/>
      <c r="U59" s="431"/>
      <c r="V59" s="417" t="s">
        <v>153</v>
      </c>
      <c r="W59" s="418"/>
      <c r="X59" s="418"/>
      <c r="Y59" s="418"/>
      <c r="Z59" s="418"/>
      <c r="AA59" s="418"/>
      <c r="AB59" s="418"/>
      <c r="AC59" s="418"/>
      <c r="AD59" s="419"/>
    </row>
    <row r="60" spans="1:32" ht="27" customHeight="1">
      <c r="A60" s="429" t="s">
        <v>116</v>
      </c>
      <c r="B60" s="420"/>
      <c r="C60" s="325" t="s">
        <v>152</v>
      </c>
      <c r="D60" s="325" t="s">
        <v>836</v>
      </c>
      <c r="E60" s="325" t="s">
        <v>814</v>
      </c>
      <c r="F60" s="473" t="s">
        <v>309</v>
      </c>
      <c r="G60" s="474"/>
      <c r="H60" s="474"/>
      <c r="I60" s="474"/>
      <c r="J60" s="474"/>
      <c r="K60" s="474"/>
      <c r="L60" s="474"/>
      <c r="M60" s="475"/>
      <c r="N60" s="345" t="s">
        <v>112</v>
      </c>
      <c r="O60" s="339" t="s">
        <v>316</v>
      </c>
      <c r="P60" s="430" t="s">
        <v>115</v>
      </c>
      <c r="Q60" s="431"/>
      <c r="R60" s="430" t="s">
        <v>148</v>
      </c>
      <c r="S60" s="432"/>
      <c r="T60" s="432"/>
      <c r="U60" s="431"/>
      <c r="V60" s="417" t="s">
        <v>153</v>
      </c>
      <c r="W60" s="418"/>
      <c r="X60" s="418"/>
      <c r="Y60" s="418"/>
      <c r="Z60" s="418"/>
      <c r="AA60" s="418"/>
      <c r="AB60" s="418"/>
      <c r="AC60" s="418"/>
      <c r="AD60" s="419"/>
    </row>
    <row r="61" spans="1:32" ht="27" customHeight="1">
      <c r="A61" s="415" t="s">
        <v>112</v>
      </c>
      <c r="B61" s="416"/>
      <c r="C61" s="328" t="s">
        <v>837</v>
      </c>
      <c r="D61" s="328" t="s">
        <v>115</v>
      </c>
      <c r="E61" s="325" t="s">
        <v>838</v>
      </c>
      <c r="F61" s="473" t="s">
        <v>122</v>
      </c>
      <c r="G61" s="474"/>
      <c r="H61" s="474"/>
      <c r="I61" s="474"/>
      <c r="J61" s="474"/>
      <c r="K61" s="474"/>
      <c r="L61" s="474"/>
      <c r="M61" s="475"/>
      <c r="N61" s="324" t="s">
        <v>848</v>
      </c>
      <c r="O61" s="331" t="s">
        <v>849</v>
      </c>
      <c r="P61" s="430" t="s">
        <v>850</v>
      </c>
      <c r="Q61" s="431"/>
      <c r="R61" s="430" t="s">
        <v>847</v>
      </c>
      <c r="S61" s="432"/>
      <c r="T61" s="432"/>
      <c r="U61" s="431"/>
      <c r="V61" s="417" t="s">
        <v>153</v>
      </c>
      <c r="W61" s="418"/>
      <c r="X61" s="418"/>
      <c r="Y61" s="418"/>
      <c r="Z61" s="418"/>
      <c r="AA61" s="418"/>
      <c r="AB61" s="418"/>
      <c r="AC61" s="418"/>
      <c r="AD61" s="419"/>
    </row>
    <row r="62" spans="1:32" ht="27" customHeight="1">
      <c r="A62" s="429" t="s">
        <v>116</v>
      </c>
      <c r="B62" s="420"/>
      <c r="C62" s="342" t="s">
        <v>187</v>
      </c>
      <c r="D62" s="342" t="s">
        <v>129</v>
      </c>
      <c r="E62" s="342" t="s">
        <v>178</v>
      </c>
      <c r="F62" s="473" t="s">
        <v>839</v>
      </c>
      <c r="G62" s="474"/>
      <c r="H62" s="474"/>
      <c r="I62" s="474"/>
      <c r="J62" s="474"/>
      <c r="K62" s="474"/>
      <c r="L62" s="474"/>
      <c r="M62" s="475"/>
      <c r="N62" s="324" t="s">
        <v>112</v>
      </c>
      <c r="O62" s="331" t="s">
        <v>853</v>
      </c>
      <c r="P62" s="430" t="s">
        <v>845</v>
      </c>
      <c r="Q62" s="431"/>
      <c r="R62" s="430" t="s">
        <v>851</v>
      </c>
      <c r="S62" s="432"/>
      <c r="T62" s="432"/>
      <c r="U62" s="431"/>
      <c r="V62" s="417" t="s">
        <v>852</v>
      </c>
      <c r="W62" s="418"/>
      <c r="X62" s="418"/>
      <c r="Y62" s="418"/>
      <c r="Z62" s="418"/>
      <c r="AA62" s="418"/>
      <c r="AB62" s="418"/>
      <c r="AC62" s="418"/>
      <c r="AD62" s="419"/>
    </row>
    <row r="63" spans="1:32" ht="27" customHeight="1">
      <c r="A63" s="429" t="s">
        <v>116</v>
      </c>
      <c r="B63" s="420"/>
      <c r="C63" s="325" t="s">
        <v>187</v>
      </c>
      <c r="D63" s="325" t="s">
        <v>129</v>
      </c>
      <c r="E63" s="325" t="s">
        <v>833</v>
      </c>
      <c r="F63" s="473" t="s">
        <v>840</v>
      </c>
      <c r="G63" s="474"/>
      <c r="H63" s="474"/>
      <c r="I63" s="474"/>
      <c r="J63" s="474"/>
      <c r="K63" s="474"/>
      <c r="L63" s="474"/>
      <c r="M63" s="475"/>
      <c r="N63" s="324" t="s">
        <v>855</v>
      </c>
      <c r="O63" s="331" t="s">
        <v>856</v>
      </c>
      <c r="P63" s="430" t="s">
        <v>857</v>
      </c>
      <c r="Q63" s="431"/>
      <c r="R63" s="430" t="s">
        <v>854</v>
      </c>
      <c r="S63" s="432"/>
      <c r="T63" s="432"/>
      <c r="U63" s="431"/>
      <c r="V63" s="417" t="s">
        <v>852</v>
      </c>
      <c r="W63" s="418"/>
      <c r="X63" s="418"/>
      <c r="Y63" s="418"/>
      <c r="Z63" s="418"/>
      <c r="AA63" s="418"/>
      <c r="AB63" s="418"/>
      <c r="AC63" s="418"/>
      <c r="AD63" s="419"/>
    </row>
    <row r="64" spans="1:32" ht="27" customHeight="1">
      <c r="A64" s="415" t="s">
        <v>116</v>
      </c>
      <c r="B64" s="416"/>
      <c r="C64" s="328" t="s">
        <v>388</v>
      </c>
      <c r="D64" s="328" t="s">
        <v>115</v>
      </c>
      <c r="E64" s="325" t="s">
        <v>769</v>
      </c>
      <c r="F64" s="473" t="s">
        <v>582</v>
      </c>
      <c r="G64" s="474"/>
      <c r="H64" s="474"/>
      <c r="I64" s="474"/>
      <c r="J64" s="474"/>
      <c r="K64" s="474"/>
      <c r="L64" s="474"/>
      <c r="M64" s="475"/>
      <c r="N64" s="324" t="s">
        <v>112</v>
      </c>
      <c r="O64" s="331" t="s">
        <v>859</v>
      </c>
      <c r="P64" s="430" t="s">
        <v>115</v>
      </c>
      <c r="Q64" s="431"/>
      <c r="R64" s="430" t="s">
        <v>858</v>
      </c>
      <c r="S64" s="432"/>
      <c r="T64" s="432"/>
      <c r="U64" s="431"/>
      <c r="V64" s="417" t="s">
        <v>153</v>
      </c>
      <c r="W64" s="418"/>
      <c r="X64" s="418"/>
      <c r="Y64" s="418"/>
      <c r="Z64" s="418"/>
      <c r="AA64" s="418"/>
      <c r="AB64" s="418"/>
      <c r="AC64" s="418"/>
      <c r="AD64" s="419"/>
    </row>
    <row r="65" spans="1:32" ht="27" customHeight="1">
      <c r="A65" s="415" t="s">
        <v>112</v>
      </c>
      <c r="B65" s="416"/>
      <c r="C65" s="328" t="s">
        <v>150</v>
      </c>
      <c r="D65" s="328" t="s">
        <v>121</v>
      </c>
      <c r="E65" s="325" t="s">
        <v>188</v>
      </c>
      <c r="F65" s="473" t="s">
        <v>841</v>
      </c>
      <c r="G65" s="474"/>
      <c r="H65" s="474"/>
      <c r="I65" s="474"/>
      <c r="J65" s="474"/>
      <c r="K65" s="474"/>
      <c r="L65" s="474"/>
      <c r="M65" s="475"/>
      <c r="N65" s="324"/>
      <c r="O65" s="331"/>
      <c r="P65" s="430"/>
      <c r="Q65" s="431"/>
      <c r="R65" s="430"/>
      <c r="S65" s="432"/>
      <c r="T65" s="432"/>
      <c r="U65" s="431"/>
      <c r="V65" s="417"/>
      <c r="W65" s="418"/>
      <c r="X65" s="418"/>
      <c r="Y65" s="418"/>
      <c r="Z65" s="418"/>
      <c r="AA65" s="418"/>
      <c r="AB65" s="418"/>
      <c r="AC65" s="418"/>
      <c r="AD65" s="419"/>
    </row>
    <row r="66" spans="1:32" ht="27" customHeight="1">
      <c r="A66" s="415" t="s">
        <v>112</v>
      </c>
      <c r="B66" s="416"/>
      <c r="C66" s="328" t="s">
        <v>212</v>
      </c>
      <c r="D66" s="328" t="s">
        <v>287</v>
      </c>
      <c r="E66" s="325" t="s">
        <v>770</v>
      </c>
      <c r="F66" s="473" t="s">
        <v>153</v>
      </c>
      <c r="G66" s="474"/>
      <c r="H66" s="474"/>
      <c r="I66" s="474"/>
      <c r="J66" s="474"/>
      <c r="K66" s="474"/>
      <c r="L66" s="474"/>
      <c r="M66" s="475"/>
      <c r="N66" s="324"/>
      <c r="O66" s="331"/>
      <c r="P66" s="430"/>
      <c r="Q66" s="431"/>
      <c r="R66" s="430"/>
      <c r="S66" s="432"/>
      <c r="T66" s="432"/>
      <c r="U66" s="431"/>
      <c r="V66" s="417"/>
      <c r="W66" s="418"/>
      <c r="X66" s="418"/>
      <c r="Y66" s="418"/>
      <c r="Z66" s="418"/>
      <c r="AA66" s="418"/>
      <c r="AB66" s="418"/>
      <c r="AC66" s="418"/>
      <c r="AD66" s="419"/>
    </row>
    <row r="67" spans="1:32" ht="27" customHeight="1">
      <c r="A67" s="415" t="s">
        <v>116</v>
      </c>
      <c r="B67" s="416"/>
      <c r="C67" s="328" t="s">
        <v>844</v>
      </c>
      <c r="D67" s="328" t="s">
        <v>845</v>
      </c>
      <c r="E67" s="325" t="s">
        <v>842</v>
      </c>
      <c r="F67" s="473" t="s">
        <v>843</v>
      </c>
      <c r="G67" s="474"/>
      <c r="H67" s="474"/>
      <c r="I67" s="474"/>
      <c r="J67" s="474"/>
      <c r="K67" s="474"/>
      <c r="L67" s="474"/>
      <c r="M67" s="475"/>
      <c r="N67" s="324"/>
      <c r="O67" s="331"/>
      <c r="P67" s="420"/>
      <c r="Q67" s="420"/>
      <c r="R67" s="420"/>
      <c r="S67" s="420"/>
      <c r="T67" s="420"/>
      <c r="U67" s="420"/>
      <c r="V67" s="417"/>
      <c r="W67" s="418"/>
      <c r="X67" s="418"/>
      <c r="Y67" s="418"/>
      <c r="Z67" s="418"/>
      <c r="AA67" s="418"/>
      <c r="AB67" s="418"/>
      <c r="AC67" s="418"/>
      <c r="AD67" s="419"/>
      <c r="AF67" s="81">
        <f>8*3000</f>
        <v>24000</v>
      </c>
    </row>
    <row r="68" spans="1:32" ht="27" customHeight="1" thickBot="1">
      <c r="A68" s="421"/>
      <c r="B68" s="422"/>
      <c r="C68" s="326"/>
      <c r="D68" s="327"/>
      <c r="E68" s="326"/>
      <c r="F68" s="423"/>
      <c r="G68" s="424"/>
      <c r="H68" s="424"/>
      <c r="I68" s="424"/>
      <c r="J68" s="424"/>
      <c r="K68" s="424"/>
      <c r="L68" s="424"/>
      <c r="M68" s="425"/>
      <c r="N68" s="105"/>
      <c r="O68" s="97"/>
      <c r="P68" s="426"/>
      <c r="Q68" s="426"/>
      <c r="R68" s="426"/>
      <c r="S68" s="426"/>
      <c r="T68" s="426"/>
      <c r="U68" s="426"/>
      <c r="V68" s="427"/>
      <c r="W68" s="427"/>
      <c r="X68" s="427"/>
      <c r="Y68" s="427"/>
      <c r="Z68" s="427"/>
      <c r="AA68" s="427"/>
      <c r="AB68" s="427"/>
      <c r="AC68" s="427"/>
      <c r="AD68" s="428"/>
      <c r="AF68" s="81">
        <f>16*3000</f>
        <v>48000</v>
      </c>
    </row>
    <row r="69" spans="1:32" ht="27.75" thickBot="1">
      <c r="A69" s="413" t="s">
        <v>860</v>
      </c>
      <c r="B69" s="413"/>
      <c r="C69" s="413"/>
      <c r="D69" s="413"/>
      <c r="E69" s="413"/>
      <c r="F69" s="37"/>
      <c r="G69" s="37"/>
      <c r="H69" s="38"/>
      <c r="I69" s="38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F69" s="81">
        <v>24000</v>
      </c>
    </row>
    <row r="70" spans="1:32" ht="29.25" customHeight="1" thickBot="1">
      <c r="A70" s="414" t="s">
        <v>111</v>
      </c>
      <c r="B70" s="411"/>
      <c r="C70" s="329" t="s">
        <v>2</v>
      </c>
      <c r="D70" s="329" t="s">
        <v>37</v>
      </c>
      <c r="E70" s="329" t="s">
        <v>3</v>
      </c>
      <c r="F70" s="411" t="s">
        <v>109</v>
      </c>
      <c r="G70" s="411"/>
      <c r="H70" s="411"/>
      <c r="I70" s="411"/>
      <c r="J70" s="411"/>
      <c r="K70" s="411" t="s">
        <v>39</v>
      </c>
      <c r="L70" s="411"/>
      <c r="M70" s="329" t="s">
        <v>40</v>
      </c>
      <c r="N70" s="411" t="s">
        <v>41</v>
      </c>
      <c r="O70" s="411"/>
      <c r="P70" s="408" t="s">
        <v>42</v>
      </c>
      <c r="Q70" s="410"/>
      <c r="R70" s="408" t="s">
        <v>43</v>
      </c>
      <c r="S70" s="409"/>
      <c r="T70" s="409"/>
      <c r="U70" s="409"/>
      <c r="V70" s="409"/>
      <c r="W70" s="409"/>
      <c r="X70" s="409"/>
      <c r="Y70" s="409"/>
      <c r="Z70" s="409"/>
      <c r="AA70" s="410"/>
      <c r="AB70" s="411" t="s">
        <v>44</v>
      </c>
      <c r="AC70" s="411"/>
      <c r="AD70" s="412"/>
      <c r="AF70" s="81">
        <f>SUM(AF67:AF69)</f>
        <v>96000</v>
      </c>
    </row>
    <row r="71" spans="1:32" ht="25.5" customHeight="1">
      <c r="A71" s="399">
        <v>1</v>
      </c>
      <c r="B71" s="400"/>
      <c r="C71" s="98" t="s">
        <v>112</v>
      </c>
      <c r="D71" s="333"/>
      <c r="E71" s="330" t="s">
        <v>115</v>
      </c>
      <c r="F71" s="401" t="s">
        <v>861</v>
      </c>
      <c r="G71" s="391"/>
      <c r="H71" s="391"/>
      <c r="I71" s="391"/>
      <c r="J71" s="391"/>
      <c r="K71" s="391" t="s">
        <v>825</v>
      </c>
      <c r="L71" s="391"/>
      <c r="M71" s="51" t="s">
        <v>222</v>
      </c>
      <c r="N71" s="402" t="s">
        <v>240</v>
      </c>
      <c r="O71" s="402"/>
      <c r="P71" s="403">
        <v>30</v>
      </c>
      <c r="Q71" s="403"/>
      <c r="R71" s="404"/>
      <c r="S71" s="404"/>
      <c r="T71" s="404"/>
      <c r="U71" s="404"/>
      <c r="V71" s="404"/>
      <c r="W71" s="404"/>
      <c r="X71" s="404"/>
      <c r="Y71" s="404"/>
      <c r="Z71" s="404"/>
      <c r="AA71" s="404"/>
      <c r="AB71" s="391"/>
      <c r="AC71" s="391"/>
      <c r="AD71" s="392"/>
      <c r="AF71" s="50"/>
    </row>
    <row r="72" spans="1:32" ht="25.5" customHeight="1">
      <c r="A72" s="399">
        <v>2</v>
      </c>
      <c r="B72" s="400"/>
      <c r="C72" s="98" t="s">
        <v>820</v>
      </c>
      <c r="D72" s="333"/>
      <c r="E72" s="330" t="s">
        <v>115</v>
      </c>
      <c r="F72" s="401" t="s">
        <v>862</v>
      </c>
      <c r="G72" s="391"/>
      <c r="H72" s="391"/>
      <c r="I72" s="391"/>
      <c r="J72" s="391"/>
      <c r="K72" s="391" t="s">
        <v>138</v>
      </c>
      <c r="L72" s="391"/>
      <c r="M72" s="51" t="s">
        <v>272</v>
      </c>
      <c r="N72" s="402" t="s">
        <v>240</v>
      </c>
      <c r="O72" s="402"/>
      <c r="P72" s="403">
        <v>100</v>
      </c>
      <c r="Q72" s="403"/>
      <c r="R72" s="404"/>
      <c r="S72" s="404"/>
      <c r="T72" s="404"/>
      <c r="U72" s="404"/>
      <c r="V72" s="404"/>
      <c r="W72" s="404"/>
      <c r="X72" s="404"/>
      <c r="Y72" s="404"/>
      <c r="Z72" s="404"/>
      <c r="AA72" s="404"/>
      <c r="AB72" s="391"/>
      <c r="AC72" s="391"/>
      <c r="AD72" s="392"/>
      <c r="AF72" s="50"/>
    </row>
    <row r="73" spans="1:32" ht="25.5" customHeight="1">
      <c r="A73" s="399">
        <v>3</v>
      </c>
      <c r="B73" s="400"/>
      <c r="C73" s="98" t="s">
        <v>112</v>
      </c>
      <c r="D73" s="333"/>
      <c r="E73" s="330" t="s">
        <v>422</v>
      </c>
      <c r="F73" s="401" t="s">
        <v>863</v>
      </c>
      <c r="G73" s="391"/>
      <c r="H73" s="391"/>
      <c r="I73" s="391"/>
      <c r="J73" s="391"/>
      <c r="K73" s="391" t="s">
        <v>128</v>
      </c>
      <c r="L73" s="391"/>
      <c r="M73" s="51" t="s">
        <v>222</v>
      </c>
      <c r="N73" s="402" t="s">
        <v>151</v>
      </c>
      <c r="O73" s="402"/>
      <c r="P73" s="403">
        <v>1000</v>
      </c>
      <c r="Q73" s="403"/>
      <c r="R73" s="404"/>
      <c r="S73" s="404"/>
      <c r="T73" s="404"/>
      <c r="U73" s="404"/>
      <c r="V73" s="404"/>
      <c r="W73" s="404"/>
      <c r="X73" s="404"/>
      <c r="Y73" s="404"/>
      <c r="Z73" s="404"/>
      <c r="AA73" s="404"/>
      <c r="AB73" s="391"/>
      <c r="AC73" s="391"/>
      <c r="AD73" s="392"/>
      <c r="AF73" s="50"/>
    </row>
    <row r="74" spans="1:32" ht="25.5" customHeight="1">
      <c r="A74" s="399">
        <v>4</v>
      </c>
      <c r="B74" s="400"/>
      <c r="C74" s="98" t="s">
        <v>112</v>
      </c>
      <c r="D74" s="333"/>
      <c r="E74" s="330" t="s">
        <v>121</v>
      </c>
      <c r="F74" s="405" t="s">
        <v>269</v>
      </c>
      <c r="G74" s="406"/>
      <c r="H74" s="406"/>
      <c r="I74" s="406"/>
      <c r="J74" s="407"/>
      <c r="K74" s="391" t="s">
        <v>128</v>
      </c>
      <c r="L74" s="391"/>
      <c r="M74" s="51" t="s">
        <v>222</v>
      </c>
      <c r="N74" s="402" t="s">
        <v>151</v>
      </c>
      <c r="O74" s="402"/>
      <c r="P74" s="403">
        <v>50</v>
      </c>
      <c r="Q74" s="403"/>
      <c r="R74" s="404"/>
      <c r="S74" s="404"/>
      <c r="T74" s="404"/>
      <c r="U74" s="404"/>
      <c r="V74" s="404"/>
      <c r="W74" s="404"/>
      <c r="X74" s="404"/>
      <c r="Y74" s="404"/>
      <c r="Z74" s="404"/>
      <c r="AA74" s="404"/>
      <c r="AB74" s="391"/>
      <c r="AC74" s="391"/>
      <c r="AD74" s="392"/>
      <c r="AF74" s="50"/>
    </row>
    <row r="75" spans="1:32" ht="25.5" customHeight="1">
      <c r="A75" s="399">
        <v>5</v>
      </c>
      <c r="B75" s="400"/>
      <c r="C75" s="98" t="s">
        <v>112</v>
      </c>
      <c r="D75" s="333"/>
      <c r="E75" s="330" t="s">
        <v>115</v>
      </c>
      <c r="F75" s="405" t="s">
        <v>864</v>
      </c>
      <c r="G75" s="406"/>
      <c r="H75" s="406"/>
      <c r="I75" s="406"/>
      <c r="J75" s="407"/>
      <c r="K75" s="391" t="s">
        <v>865</v>
      </c>
      <c r="L75" s="391"/>
      <c r="M75" s="51" t="s">
        <v>222</v>
      </c>
      <c r="N75" s="402" t="s">
        <v>856</v>
      </c>
      <c r="O75" s="402"/>
      <c r="P75" s="403">
        <v>10</v>
      </c>
      <c r="Q75" s="403"/>
      <c r="R75" s="404" t="s">
        <v>866</v>
      </c>
      <c r="S75" s="404"/>
      <c r="T75" s="404"/>
      <c r="U75" s="404"/>
      <c r="V75" s="404"/>
      <c r="W75" s="404"/>
      <c r="X75" s="404"/>
      <c r="Y75" s="404"/>
      <c r="Z75" s="404"/>
      <c r="AA75" s="404"/>
      <c r="AB75" s="391"/>
      <c r="AC75" s="391"/>
      <c r="AD75" s="392"/>
      <c r="AF75" s="50"/>
    </row>
    <row r="76" spans="1:32" ht="25.5" customHeight="1">
      <c r="A76" s="399">
        <v>6</v>
      </c>
      <c r="B76" s="400"/>
      <c r="C76" s="98"/>
      <c r="D76" s="333"/>
      <c r="E76" s="330"/>
      <c r="F76" s="405"/>
      <c r="G76" s="406"/>
      <c r="H76" s="406"/>
      <c r="I76" s="406"/>
      <c r="J76" s="407"/>
      <c r="K76" s="391"/>
      <c r="L76" s="391"/>
      <c r="M76" s="51"/>
      <c r="N76" s="402"/>
      <c r="O76" s="402"/>
      <c r="P76" s="403"/>
      <c r="Q76" s="403"/>
      <c r="R76" s="404"/>
      <c r="S76" s="404"/>
      <c r="T76" s="404"/>
      <c r="U76" s="404"/>
      <c r="V76" s="404"/>
      <c r="W76" s="404"/>
      <c r="X76" s="404"/>
      <c r="Y76" s="404"/>
      <c r="Z76" s="404"/>
      <c r="AA76" s="404"/>
      <c r="AB76" s="391"/>
      <c r="AC76" s="391"/>
      <c r="AD76" s="392"/>
      <c r="AF76" s="50"/>
    </row>
    <row r="77" spans="1:32" ht="25.5" customHeight="1">
      <c r="A77" s="399">
        <v>7</v>
      </c>
      <c r="B77" s="400"/>
      <c r="C77" s="98"/>
      <c r="D77" s="333"/>
      <c r="E77" s="330"/>
      <c r="F77" s="405"/>
      <c r="G77" s="406"/>
      <c r="H77" s="406"/>
      <c r="I77" s="406"/>
      <c r="J77" s="407"/>
      <c r="K77" s="391"/>
      <c r="L77" s="391"/>
      <c r="M77" s="51"/>
      <c r="N77" s="402"/>
      <c r="O77" s="402"/>
      <c r="P77" s="403"/>
      <c r="Q77" s="403"/>
      <c r="R77" s="404"/>
      <c r="S77" s="404"/>
      <c r="T77" s="404"/>
      <c r="U77" s="404"/>
      <c r="V77" s="404"/>
      <c r="W77" s="404"/>
      <c r="X77" s="404"/>
      <c r="Y77" s="404"/>
      <c r="Z77" s="404"/>
      <c r="AA77" s="404"/>
      <c r="AB77" s="391"/>
      <c r="AC77" s="391"/>
      <c r="AD77" s="392"/>
      <c r="AF77" s="50"/>
    </row>
    <row r="78" spans="1:32" ht="25.5" customHeight="1">
      <c r="A78" s="399">
        <v>8</v>
      </c>
      <c r="B78" s="400"/>
      <c r="C78" s="98"/>
      <c r="D78" s="333"/>
      <c r="E78" s="330"/>
      <c r="F78" s="401"/>
      <c r="G78" s="391"/>
      <c r="H78" s="391"/>
      <c r="I78" s="391"/>
      <c r="J78" s="391"/>
      <c r="K78" s="391"/>
      <c r="L78" s="391"/>
      <c r="M78" s="51"/>
      <c r="N78" s="402"/>
      <c r="O78" s="402"/>
      <c r="P78" s="403"/>
      <c r="Q78" s="403"/>
      <c r="R78" s="404"/>
      <c r="S78" s="404"/>
      <c r="T78" s="404"/>
      <c r="U78" s="404"/>
      <c r="V78" s="404"/>
      <c r="W78" s="404"/>
      <c r="X78" s="404"/>
      <c r="Y78" s="404"/>
      <c r="Z78" s="404"/>
      <c r="AA78" s="404"/>
      <c r="AB78" s="391"/>
      <c r="AC78" s="391"/>
      <c r="AD78" s="392"/>
      <c r="AF78" s="50"/>
    </row>
    <row r="79" spans="1:32" ht="25.5" customHeight="1">
      <c r="A79" s="399">
        <v>9</v>
      </c>
      <c r="B79" s="400"/>
      <c r="C79" s="98"/>
      <c r="D79" s="333"/>
      <c r="E79" s="330"/>
      <c r="F79" s="401"/>
      <c r="G79" s="391"/>
      <c r="H79" s="391"/>
      <c r="I79" s="391"/>
      <c r="J79" s="391"/>
      <c r="K79" s="391"/>
      <c r="L79" s="391"/>
      <c r="M79" s="51"/>
      <c r="N79" s="402"/>
      <c r="O79" s="402"/>
      <c r="P79" s="403"/>
      <c r="Q79" s="403"/>
      <c r="R79" s="404"/>
      <c r="S79" s="404"/>
      <c r="T79" s="404"/>
      <c r="U79" s="404"/>
      <c r="V79" s="404"/>
      <c r="W79" s="404"/>
      <c r="X79" s="404"/>
      <c r="Y79" s="404"/>
      <c r="Z79" s="404"/>
      <c r="AA79" s="404"/>
      <c r="AB79" s="391"/>
      <c r="AC79" s="391"/>
      <c r="AD79" s="392"/>
      <c r="AF79" s="50"/>
    </row>
    <row r="80" spans="1:32" ht="25.5" customHeight="1">
      <c r="A80" s="399">
        <v>10</v>
      </c>
      <c r="B80" s="400"/>
      <c r="C80" s="98"/>
      <c r="D80" s="333"/>
      <c r="E80" s="330"/>
      <c r="F80" s="401"/>
      <c r="G80" s="391"/>
      <c r="H80" s="391"/>
      <c r="I80" s="391"/>
      <c r="J80" s="391"/>
      <c r="K80" s="391"/>
      <c r="L80" s="391"/>
      <c r="M80" s="51"/>
      <c r="N80" s="402"/>
      <c r="O80" s="402"/>
      <c r="P80" s="403"/>
      <c r="Q80" s="403"/>
      <c r="R80" s="404"/>
      <c r="S80" s="404"/>
      <c r="T80" s="404"/>
      <c r="U80" s="404"/>
      <c r="V80" s="404"/>
      <c r="W80" s="404"/>
      <c r="X80" s="404"/>
      <c r="Y80" s="404"/>
      <c r="Z80" s="404"/>
      <c r="AA80" s="404"/>
      <c r="AB80" s="391"/>
      <c r="AC80" s="391"/>
      <c r="AD80" s="392"/>
      <c r="AF80" s="50"/>
    </row>
    <row r="81" spans="1:32" ht="26.25" customHeight="1" thickBot="1">
      <c r="A81" s="371" t="s">
        <v>867</v>
      </c>
      <c r="B81" s="371"/>
      <c r="C81" s="371"/>
      <c r="D81" s="371"/>
      <c r="E81" s="371"/>
      <c r="F81" s="37"/>
      <c r="G81" s="37"/>
      <c r="H81" s="38"/>
      <c r="I81" s="38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F81" s="50"/>
    </row>
    <row r="82" spans="1:32" ht="23.25" thickBot="1">
      <c r="A82" s="393" t="s">
        <v>111</v>
      </c>
      <c r="B82" s="394"/>
      <c r="C82" s="332" t="s">
        <v>2</v>
      </c>
      <c r="D82" s="332" t="s">
        <v>37</v>
      </c>
      <c r="E82" s="332" t="s">
        <v>120</v>
      </c>
      <c r="F82" s="373" t="s">
        <v>38</v>
      </c>
      <c r="G82" s="373"/>
      <c r="H82" s="373"/>
      <c r="I82" s="373"/>
      <c r="J82" s="373"/>
      <c r="K82" s="395" t="s">
        <v>58</v>
      </c>
      <c r="L82" s="396"/>
      <c r="M82" s="396"/>
      <c r="N82" s="396"/>
      <c r="O82" s="396"/>
      <c r="P82" s="396"/>
      <c r="Q82" s="396"/>
      <c r="R82" s="396"/>
      <c r="S82" s="397"/>
      <c r="T82" s="373" t="s">
        <v>49</v>
      </c>
      <c r="U82" s="373"/>
      <c r="V82" s="395" t="s">
        <v>50</v>
      </c>
      <c r="W82" s="397"/>
      <c r="X82" s="396" t="s">
        <v>51</v>
      </c>
      <c r="Y82" s="396"/>
      <c r="Z82" s="396"/>
      <c r="AA82" s="396"/>
      <c r="AB82" s="396"/>
      <c r="AC82" s="396"/>
      <c r="AD82" s="398"/>
      <c r="AF82" s="50"/>
    </row>
    <row r="83" spans="1:32" ht="33.75" customHeight="1">
      <c r="A83" s="365">
        <v>1</v>
      </c>
      <c r="B83" s="366"/>
      <c r="C83" s="334"/>
      <c r="D83" s="334"/>
      <c r="E83" s="65"/>
      <c r="F83" s="380"/>
      <c r="G83" s="381"/>
      <c r="H83" s="381"/>
      <c r="I83" s="381"/>
      <c r="J83" s="382"/>
      <c r="K83" s="383"/>
      <c r="L83" s="384"/>
      <c r="M83" s="384"/>
      <c r="N83" s="384"/>
      <c r="O83" s="384"/>
      <c r="P83" s="384"/>
      <c r="Q83" s="384"/>
      <c r="R83" s="384"/>
      <c r="S83" s="385"/>
      <c r="T83" s="386"/>
      <c r="U83" s="387"/>
      <c r="V83" s="388"/>
      <c r="W83" s="388"/>
      <c r="X83" s="389"/>
      <c r="Y83" s="389"/>
      <c r="Z83" s="389"/>
      <c r="AA83" s="389"/>
      <c r="AB83" s="389"/>
      <c r="AC83" s="389"/>
      <c r="AD83" s="390"/>
      <c r="AF83" s="50"/>
    </row>
    <row r="84" spans="1:32" ht="30" customHeight="1">
      <c r="A84" s="358">
        <f>A83+1</f>
        <v>2</v>
      </c>
      <c r="B84" s="359"/>
      <c r="C84" s="333"/>
      <c r="D84" s="333"/>
      <c r="E84" s="32"/>
      <c r="F84" s="359"/>
      <c r="G84" s="359"/>
      <c r="H84" s="359"/>
      <c r="I84" s="359"/>
      <c r="J84" s="359"/>
      <c r="K84" s="374"/>
      <c r="L84" s="375"/>
      <c r="M84" s="375"/>
      <c r="N84" s="375"/>
      <c r="O84" s="375"/>
      <c r="P84" s="375"/>
      <c r="Q84" s="375"/>
      <c r="R84" s="375"/>
      <c r="S84" s="376"/>
      <c r="T84" s="377"/>
      <c r="U84" s="377"/>
      <c r="V84" s="377"/>
      <c r="W84" s="377"/>
      <c r="X84" s="378"/>
      <c r="Y84" s="378"/>
      <c r="Z84" s="378"/>
      <c r="AA84" s="378"/>
      <c r="AB84" s="378"/>
      <c r="AC84" s="378"/>
      <c r="AD84" s="379"/>
      <c r="AF84" s="50"/>
    </row>
    <row r="85" spans="1:32" ht="30" customHeight="1">
      <c r="A85" s="358">
        <f t="shared" ref="A85:A89" si="20">A84+1</f>
        <v>3</v>
      </c>
      <c r="B85" s="359"/>
      <c r="C85" s="333"/>
      <c r="D85" s="333"/>
      <c r="E85" s="32"/>
      <c r="F85" s="359"/>
      <c r="G85" s="359"/>
      <c r="H85" s="359"/>
      <c r="I85" s="359"/>
      <c r="J85" s="359"/>
      <c r="K85" s="374"/>
      <c r="L85" s="375"/>
      <c r="M85" s="375"/>
      <c r="N85" s="375"/>
      <c r="O85" s="375"/>
      <c r="P85" s="375"/>
      <c r="Q85" s="375"/>
      <c r="R85" s="375"/>
      <c r="S85" s="376"/>
      <c r="T85" s="377"/>
      <c r="U85" s="377"/>
      <c r="V85" s="377"/>
      <c r="W85" s="377"/>
      <c r="X85" s="378"/>
      <c r="Y85" s="378"/>
      <c r="Z85" s="378"/>
      <c r="AA85" s="378"/>
      <c r="AB85" s="378"/>
      <c r="AC85" s="378"/>
      <c r="AD85" s="379"/>
      <c r="AF85" s="50"/>
    </row>
    <row r="86" spans="1:32" ht="30" customHeight="1">
      <c r="A86" s="358">
        <f t="shared" si="20"/>
        <v>4</v>
      </c>
      <c r="B86" s="359"/>
      <c r="C86" s="333"/>
      <c r="D86" s="333"/>
      <c r="E86" s="32"/>
      <c r="F86" s="359"/>
      <c r="G86" s="359"/>
      <c r="H86" s="359"/>
      <c r="I86" s="359"/>
      <c r="J86" s="359"/>
      <c r="K86" s="374"/>
      <c r="L86" s="375"/>
      <c r="M86" s="375"/>
      <c r="N86" s="375"/>
      <c r="O86" s="375"/>
      <c r="P86" s="375"/>
      <c r="Q86" s="375"/>
      <c r="R86" s="375"/>
      <c r="S86" s="376"/>
      <c r="T86" s="377"/>
      <c r="U86" s="377"/>
      <c r="V86" s="377"/>
      <c r="W86" s="377"/>
      <c r="X86" s="378"/>
      <c r="Y86" s="378"/>
      <c r="Z86" s="378"/>
      <c r="AA86" s="378"/>
      <c r="AB86" s="378"/>
      <c r="AC86" s="378"/>
      <c r="AD86" s="379"/>
      <c r="AF86" s="50"/>
    </row>
    <row r="87" spans="1:32" ht="30" customHeight="1">
      <c r="A87" s="358">
        <f t="shared" si="20"/>
        <v>5</v>
      </c>
      <c r="B87" s="359"/>
      <c r="C87" s="333"/>
      <c r="D87" s="333"/>
      <c r="E87" s="32"/>
      <c r="F87" s="359"/>
      <c r="G87" s="359"/>
      <c r="H87" s="359"/>
      <c r="I87" s="359"/>
      <c r="J87" s="359"/>
      <c r="K87" s="374"/>
      <c r="L87" s="375"/>
      <c r="M87" s="375"/>
      <c r="N87" s="375"/>
      <c r="O87" s="375"/>
      <c r="P87" s="375"/>
      <c r="Q87" s="375"/>
      <c r="R87" s="375"/>
      <c r="S87" s="376"/>
      <c r="T87" s="377"/>
      <c r="U87" s="377"/>
      <c r="V87" s="377"/>
      <c r="W87" s="377"/>
      <c r="X87" s="378"/>
      <c r="Y87" s="378"/>
      <c r="Z87" s="378"/>
      <c r="AA87" s="378"/>
      <c r="AB87" s="378"/>
      <c r="AC87" s="378"/>
      <c r="AD87" s="379"/>
      <c r="AF87" s="50"/>
    </row>
    <row r="88" spans="1:32" ht="30" customHeight="1">
      <c r="A88" s="358">
        <f t="shared" si="20"/>
        <v>6</v>
      </c>
      <c r="B88" s="359"/>
      <c r="C88" s="333"/>
      <c r="D88" s="333"/>
      <c r="E88" s="32"/>
      <c r="F88" s="359"/>
      <c r="G88" s="359"/>
      <c r="H88" s="359"/>
      <c r="I88" s="359"/>
      <c r="J88" s="359"/>
      <c r="K88" s="374"/>
      <c r="L88" s="375"/>
      <c r="M88" s="375"/>
      <c r="N88" s="375"/>
      <c r="O88" s="375"/>
      <c r="P88" s="375"/>
      <c r="Q88" s="375"/>
      <c r="R88" s="375"/>
      <c r="S88" s="376"/>
      <c r="T88" s="377"/>
      <c r="U88" s="377"/>
      <c r="V88" s="377"/>
      <c r="W88" s="377"/>
      <c r="X88" s="378"/>
      <c r="Y88" s="378"/>
      <c r="Z88" s="378"/>
      <c r="AA88" s="378"/>
      <c r="AB88" s="378"/>
      <c r="AC88" s="378"/>
      <c r="AD88" s="379"/>
      <c r="AF88" s="50"/>
    </row>
    <row r="89" spans="1:32" ht="30" customHeight="1">
      <c r="A89" s="358">
        <f t="shared" si="20"/>
        <v>7</v>
      </c>
      <c r="B89" s="359"/>
      <c r="C89" s="333"/>
      <c r="D89" s="333"/>
      <c r="E89" s="32"/>
      <c r="F89" s="359"/>
      <c r="G89" s="359"/>
      <c r="H89" s="359"/>
      <c r="I89" s="359"/>
      <c r="J89" s="359"/>
      <c r="K89" s="374"/>
      <c r="L89" s="375"/>
      <c r="M89" s="375"/>
      <c r="N89" s="375"/>
      <c r="O89" s="375"/>
      <c r="P89" s="375"/>
      <c r="Q89" s="375"/>
      <c r="R89" s="375"/>
      <c r="S89" s="376"/>
      <c r="T89" s="377"/>
      <c r="U89" s="377"/>
      <c r="V89" s="377"/>
      <c r="W89" s="377"/>
      <c r="X89" s="378"/>
      <c r="Y89" s="378"/>
      <c r="Z89" s="378"/>
      <c r="AA89" s="378"/>
      <c r="AB89" s="378"/>
      <c r="AC89" s="378"/>
      <c r="AD89" s="379"/>
      <c r="AF89" s="50"/>
    </row>
    <row r="90" spans="1:32" ht="36" thickBot="1">
      <c r="A90" s="371" t="s">
        <v>868</v>
      </c>
      <c r="B90" s="371"/>
      <c r="C90" s="371"/>
      <c r="D90" s="371"/>
      <c r="E90" s="371"/>
      <c r="F90" s="37"/>
      <c r="G90" s="37"/>
      <c r="H90" s="38"/>
      <c r="I90" s="38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F90" s="50"/>
    </row>
    <row r="91" spans="1:32" ht="30.75" customHeight="1" thickBot="1">
      <c r="A91" s="372" t="s">
        <v>111</v>
      </c>
      <c r="B91" s="373"/>
      <c r="C91" s="363" t="s">
        <v>52</v>
      </c>
      <c r="D91" s="363"/>
      <c r="E91" s="363" t="s">
        <v>53</v>
      </c>
      <c r="F91" s="363"/>
      <c r="G91" s="363"/>
      <c r="H91" s="363"/>
      <c r="I91" s="363"/>
      <c r="J91" s="363"/>
      <c r="K91" s="363" t="s">
        <v>54</v>
      </c>
      <c r="L91" s="363"/>
      <c r="M91" s="363"/>
      <c r="N91" s="363"/>
      <c r="O91" s="363"/>
      <c r="P91" s="363"/>
      <c r="Q91" s="363"/>
      <c r="R91" s="363"/>
      <c r="S91" s="363"/>
      <c r="T91" s="363" t="s">
        <v>55</v>
      </c>
      <c r="U91" s="363"/>
      <c r="V91" s="363" t="s">
        <v>56</v>
      </c>
      <c r="W91" s="363"/>
      <c r="X91" s="363"/>
      <c r="Y91" s="363" t="s">
        <v>51</v>
      </c>
      <c r="Z91" s="363"/>
      <c r="AA91" s="363"/>
      <c r="AB91" s="363"/>
      <c r="AC91" s="363"/>
      <c r="AD91" s="364"/>
      <c r="AF91" s="50"/>
    </row>
    <row r="92" spans="1:32" ht="30.75" customHeight="1">
      <c r="A92" s="365">
        <v>1</v>
      </c>
      <c r="B92" s="366"/>
      <c r="C92" s="367"/>
      <c r="D92" s="367"/>
      <c r="E92" s="367"/>
      <c r="F92" s="367"/>
      <c r="G92" s="367"/>
      <c r="H92" s="367"/>
      <c r="I92" s="367"/>
      <c r="J92" s="367"/>
      <c r="K92" s="367"/>
      <c r="L92" s="367"/>
      <c r="M92" s="367"/>
      <c r="N92" s="367"/>
      <c r="O92" s="367"/>
      <c r="P92" s="367"/>
      <c r="Q92" s="367"/>
      <c r="R92" s="367"/>
      <c r="S92" s="367"/>
      <c r="T92" s="367"/>
      <c r="U92" s="367"/>
      <c r="V92" s="368"/>
      <c r="W92" s="368"/>
      <c r="X92" s="368"/>
      <c r="Y92" s="369"/>
      <c r="Z92" s="369"/>
      <c r="AA92" s="369"/>
      <c r="AB92" s="369"/>
      <c r="AC92" s="369"/>
      <c r="AD92" s="370"/>
      <c r="AF92" s="50"/>
    </row>
    <row r="93" spans="1:32" ht="30.75" customHeight="1">
      <c r="A93" s="358">
        <v>2</v>
      </c>
      <c r="B93" s="359"/>
      <c r="C93" s="360"/>
      <c r="D93" s="360"/>
      <c r="E93" s="360"/>
      <c r="F93" s="360"/>
      <c r="G93" s="360"/>
      <c r="H93" s="360"/>
      <c r="I93" s="360"/>
      <c r="J93" s="360"/>
      <c r="K93" s="360"/>
      <c r="L93" s="360"/>
      <c r="M93" s="360"/>
      <c r="N93" s="360"/>
      <c r="O93" s="360"/>
      <c r="P93" s="360"/>
      <c r="Q93" s="360"/>
      <c r="R93" s="360"/>
      <c r="S93" s="360"/>
      <c r="T93" s="361"/>
      <c r="U93" s="361"/>
      <c r="V93" s="362"/>
      <c r="W93" s="362"/>
      <c r="X93" s="362"/>
      <c r="Y93" s="350"/>
      <c r="Z93" s="350"/>
      <c r="AA93" s="350"/>
      <c r="AB93" s="350"/>
      <c r="AC93" s="350"/>
      <c r="AD93" s="351"/>
      <c r="AF93" s="50"/>
    </row>
    <row r="94" spans="1:32" ht="30.75" customHeight="1" thickBot="1">
      <c r="A94" s="352">
        <v>3</v>
      </c>
      <c r="B94" s="353"/>
      <c r="C94" s="354"/>
      <c r="D94" s="354"/>
      <c r="E94" s="354"/>
      <c r="F94" s="354"/>
      <c r="G94" s="354"/>
      <c r="H94" s="354"/>
      <c r="I94" s="354"/>
      <c r="J94" s="354"/>
      <c r="K94" s="354"/>
      <c r="L94" s="354"/>
      <c r="M94" s="354"/>
      <c r="N94" s="354"/>
      <c r="O94" s="354"/>
      <c r="P94" s="354"/>
      <c r="Q94" s="354"/>
      <c r="R94" s="354"/>
      <c r="S94" s="354"/>
      <c r="T94" s="354"/>
      <c r="U94" s="354"/>
      <c r="V94" s="355"/>
      <c r="W94" s="355"/>
      <c r="X94" s="355"/>
      <c r="Y94" s="356"/>
      <c r="Z94" s="356"/>
      <c r="AA94" s="356"/>
      <c r="AB94" s="356"/>
      <c r="AC94" s="356"/>
      <c r="AD94" s="357"/>
      <c r="AF94" s="50"/>
    </row>
  </sheetData>
  <mergeCells count="232">
    <mergeCell ref="Y93:AD93"/>
    <mergeCell ref="A94:B94"/>
    <mergeCell ref="C94:D94"/>
    <mergeCell ref="E94:J94"/>
    <mergeCell ref="K94:S94"/>
    <mergeCell ref="T94:U94"/>
    <mergeCell ref="V94:X94"/>
    <mergeCell ref="Y94:AD94"/>
    <mergeCell ref="A93:B93"/>
    <mergeCell ref="C93:D93"/>
    <mergeCell ref="E93:J93"/>
    <mergeCell ref="K93:S93"/>
    <mergeCell ref="T93:U93"/>
    <mergeCell ref="V93:X93"/>
    <mergeCell ref="V91:X91"/>
    <mergeCell ref="Y91:AD91"/>
    <mergeCell ref="A92:B92"/>
    <mergeCell ref="C92:D92"/>
    <mergeCell ref="E92:J92"/>
    <mergeCell ref="K92:S92"/>
    <mergeCell ref="T92:U92"/>
    <mergeCell ref="V92:X92"/>
    <mergeCell ref="Y92:AD92"/>
    <mergeCell ref="A90:E90"/>
    <mergeCell ref="A91:B91"/>
    <mergeCell ref="C91:D91"/>
    <mergeCell ref="E91:J91"/>
    <mergeCell ref="K91:S91"/>
    <mergeCell ref="T91:U91"/>
    <mergeCell ref="A89:B89"/>
    <mergeCell ref="F89:J89"/>
    <mergeCell ref="K89:S89"/>
    <mergeCell ref="T89:U89"/>
    <mergeCell ref="V89:W89"/>
    <mergeCell ref="X89:AD89"/>
    <mergeCell ref="A88:B88"/>
    <mergeCell ref="F88:J88"/>
    <mergeCell ref="K88:S88"/>
    <mergeCell ref="T88:U88"/>
    <mergeCell ref="V88:W88"/>
    <mergeCell ref="X88:AD88"/>
    <mergeCell ref="A87:B87"/>
    <mergeCell ref="F87:J87"/>
    <mergeCell ref="K87:S87"/>
    <mergeCell ref="T87:U87"/>
    <mergeCell ref="V87:W87"/>
    <mergeCell ref="X87:AD87"/>
    <mergeCell ref="A86:B86"/>
    <mergeCell ref="F86:J86"/>
    <mergeCell ref="K86:S86"/>
    <mergeCell ref="T86:U86"/>
    <mergeCell ref="V86:W86"/>
    <mergeCell ref="X86:AD86"/>
    <mergeCell ref="A85:B85"/>
    <mergeCell ref="F85:J85"/>
    <mergeCell ref="K85:S85"/>
    <mergeCell ref="T85:U85"/>
    <mergeCell ref="V85:W85"/>
    <mergeCell ref="X85:AD85"/>
    <mergeCell ref="A84:B84"/>
    <mergeCell ref="F84:J84"/>
    <mergeCell ref="K84:S84"/>
    <mergeCell ref="T84:U84"/>
    <mergeCell ref="V84:W84"/>
    <mergeCell ref="X84:AD84"/>
    <mergeCell ref="A83:B83"/>
    <mergeCell ref="F83:J83"/>
    <mergeCell ref="K83:S83"/>
    <mergeCell ref="T83:U83"/>
    <mergeCell ref="V83:W83"/>
    <mergeCell ref="X83:AD83"/>
    <mergeCell ref="AB80:AD80"/>
    <mergeCell ref="A81:E81"/>
    <mergeCell ref="A82:B82"/>
    <mergeCell ref="F82:J82"/>
    <mergeCell ref="K82:S82"/>
    <mergeCell ref="T82:U82"/>
    <mergeCell ref="V82:W82"/>
    <mergeCell ref="X82:AD82"/>
    <mergeCell ref="A80:B80"/>
    <mergeCell ref="F80:J80"/>
    <mergeCell ref="K80:L80"/>
    <mergeCell ref="N80:O80"/>
    <mergeCell ref="P80:Q80"/>
    <mergeCell ref="R80:AA80"/>
    <mergeCell ref="AB78:AD78"/>
    <mergeCell ref="A79:B79"/>
    <mergeCell ref="F79:J79"/>
    <mergeCell ref="K79:L79"/>
    <mergeCell ref="N79:O79"/>
    <mergeCell ref="P79:Q79"/>
    <mergeCell ref="R79:AA79"/>
    <mergeCell ref="AB79:AD79"/>
    <mergeCell ref="A78:B78"/>
    <mergeCell ref="F78:J78"/>
    <mergeCell ref="K78:L78"/>
    <mergeCell ref="N78:O78"/>
    <mergeCell ref="P78:Q78"/>
    <mergeCell ref="R78:AA78"/>
    <mergeCell ref="AB76:AD76"/>
    <mergeCell ref="A77:B77"/>
    <mergeCell ref="F77:J77"/>
    <mergeCell ref="K77:L77"/>
    <mergeCell ref="N77:O77"/>
    <mergeCell ref="P77:Q77"/>
    <mergeCell ref="R77:AA77"/>
    <mergeCell ref="AB77:AD77"/>
    <mergeCell ref="A76:B76"/>
    <mergeCell ref="F76:J76"/>
    <mergeCell ref="K76:L76"/>
    <mergeCell ref="N76:O76"/>
    <mergeCell ref="P76:Q76"/>
    <mergeCell ref="R76:AA76"/>
    <mergeCell ref="AB74:AD74"/>
    <mergeCell ref="A75:B75"/>
    <mergeCell ref="F75:J75"/>
    <mergeCell ref="K75:L75"/>
    <mergeCell ref="N75:O75"/>
    <mergeCell ref="P75:Q75"/>
    <mergeCell ref="R75:AA75"/>
    <mergeCell ref="AB75:AD75"/>
    <mergeCell ref="A74:B74"/>
    <mergeCell ref="F74:J74"/>
    <mergeCell ref="K74:L74"/>
    <mergeCell ref="N74:O74"/>
    <mergeCell ref="P74:Q74"/>
    <mergeCell ref="R74:AA74"/>
    <mergeCell ref="AB72:AD72"/>
    <mergeCell ref="A73:B73"/>
    <mergeCell ref="F73:J73"/>
    <mergeCell ref="K73:L73"/>
    <mergeCell ref="N73:O73"/>
    <mergeCell ref="P73:Q73"/>
    <mergeCell ref="R73:AA73"/>
    <mergeCell ref="AB73:AD73"/>
    <mergeCell ref="A72:B72"/>
    <mergeCell ref="F72:J72"/>
    <mergeCell ref="K72:L72"/>
    <mergeCell ref="N72:O72"/>
    <mergeCell ref="P72:Q72"/>
    <mergeCell ref="R72:AA72"/>
    <mergeCell ref="R70:AA70"/>
    <mergeCell ref="AB70:AD70"/>
    <mergeCell ref="A71:B71"/>
    <mergeCell ref="F71:J71"/>
    <mergeCell ref="K71:L71"/>
    <mergeCell ref="N71:O71"/>
    <mergeCell ref="P71:Q71"/>
    <mergeCell ref="R71:AA71"/>
    <mergeCell ref="AB71:AD71"/>
    <mergeCell ref="A69:E69"/>
    <mergeCell ref="A70:B70"/>
    <mergeCell ref="F70:J70"/>
    <mergeCell ref="K70:L70"/>
    <mergeCell ref="N70:O70"/>
    <mergeCell ref="P70:Q70"/>
    <mergeCell ref="A67:B67"/>
    <mergeCell ref="F67:M67"/>
    <mergeCell ref="P67:Q67"/>
    <mergeCell ref="R67:U67"/>
    <mergeCell ref="V67:AD67"/>
    <mergeCell ref="A68:B68"/>
    <mergeCell ref="F68:M68"/>
    <mergeCell ref="P68:Q68"/>
    <mergeCell ref="R68:U68"/>
    <mergeCell ref="V68:AD68"/>
    <mergeCell ref="A65:B65"/>
    <mergeCell ref="F65:M65"/>
    <mergeCell ref="P65:Q65"/>
    <mergeCell ref="R65:U65"/>
    <mergeCell ref="V65:AD65"/>
    <mergeCell ref="A66:B66"/>
    <mergeCell ref="F66:M66"/>
    <mergeCell ref="P66:Q66"/>
    <mergeCell ref="R66:U66"/>
    <mergeCell ref="V66:AD66"/>
    <mergeCell ref="A63:B63"/>
    <mergeCell ref="F63:M63"/>
    <mergeCell ref="P63:Q63"/>
    <mergeCell ref="R63:U63"/>
    <mergeCell ref="V63:AD63"/>
    <mergeCell ref="A64:B64"/>
    <mergeCell ref="F64:M64"/>
    <mergeCell ref="P64:Q64"/>
    <mergeCell ref="R64:U64"/>
    <mergeCell ref="V64:AD64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D4:AD5"/>
    <mergeCell ref="A29:H29"/>
    <mergeCell ref="A56:E56"/>
    <mergeCell ref="A57:M57"/>
    <mergeCell ref="N57:AD57"/>
    <mergeCell ref="A58:B58"/>
    <mergeCell ref="F58:M58"/>
    <mergeCell ref="P58:Q58"/>
    <mergeCell ref="R58:U58"/>
    <mergeCell ref="V58:AD58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54" max="2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92611-61F5-4146-9DBA-C84F27880B89}">
  <sheetPr codeName="Sheet3">
    <pageSetUpPr fitToPage="1"/>
  </sheetPr>
  <dimension ref="A1:AF96"/>
  <sheetViews>
    <sheetView view="pageBreakPreview" topLeftCell="A25" zoomScale="70" zoomScaleNormal="72" zoomScaleSheetLayoutView="70" workbookViewId="0">
      <selection activeCell="F88" sqref="F88:J88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1" bestFit="1" customWidth="1"/>
    <col min="33" max="33" width="17.625" style="50" customWidth="1"/>
    <col min="34" max="16384" width="9" style="50"/>
  </cols>
  <sheetData>
    <row r="1" spans="1:32" ht="44.25" customHeight="1">
      <c r="A1" s="461" t="s">
        <v>231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61"/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62"/>
      <c r="B3" s="462"/>
      <c r="C3" s="462"/>
      <c r="D3" s="462"/>
      <c r="E3" s="462"/>
      <c r="F3" s="462"/>
      <c r="G3" s="462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63" t="s">
        <v>0</v>
      </c>
      <c r="B4" s="465" t="s">
        <v>1</v>
      </c>
      <c r="C4" s="465" t="s">
        <v>2</v>
      </c>
      <c r="D4" s="468" t="s">
        <v>3</v>
      </c>
      <c r="E4" s="470" t="s">
        <v>4</v>
      </c>
      <c r="F4" s="468" t="s">
        <v>5</v>
      </c>
      <c r="G4" s="465" t="s">
        <v>6</v>
      </c>
      <c r="H4" s="471" t="s">
        <v>7</v>
      </c>
      <c r="I4" s="451" t="s">
        <v>8</v>
      </c>
      <c r="J4" s="452"/>
      <c r="K4" s="452"/>
      <c r="L4" s="452"/>
      <c r="M4" s="452"/>
      <c r="N4" s="452"/>
      <c r="O4" s="453"/>
      <c r="P4" s="454" t="s">
        <v>9</v>
      </c>
      <c r="Q4" s="455"/>
      <c r="R4" s="456" t="s">
        <v>10</v>
      </c>
      <c r="S4" s="457"/>
      <c r="T4" s="457"/>
      <c r="U4" s="457"/>
      <c r="V4" s="458"/>
      <c r="W4" s="457" t="s">
        <v>11</v>
      </c>
      <c r="X4" s="457"/>
      <c r="Y4" s="457"/>
      <c r="Z4" s="457"/>
      <c r="AA4" s="458"/>
      <c r="AB4" s="459" t="s">
        <v>12</v>
      </c>
      <c r="AC4" s="433" t="s">
        <v>13</v>
      </c>
      <c r="AD4" s="433" t="s">
        <v>14</v>
      </c>
      <c r="AE4" s="54"/>
    </row>
    <row r="5" spans="1:32" ht="51" customHeight="1" thickBot="1">
      <c r="A5" s="464"/>
      <c r="B5" s="466"/>
      <c r="C5" s="467"/>
      <c r="D5" s="469"/>
      <c r="E5" s="469"/>
      <c r="F5" s="469"/>
      <c r="G5" s="466"/>
      <c r="H5" s="472"/>
      <c r="I5" s="55" t="s">
        <v>15</v>
      </c>
      <c r="J5" s="56" t="s">
        <v>16</v>
      </c>
      <c r="K5" s="131" t="s">
        <v>17</v>
      </c>
      <c r="L5" s="131" t="s">
        <v>18</v>
      </c>
      <c r="M5" s="131" t="s">
        <v>19</v>
      </c>
      <c r="N5" s="131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60"/>
      <c r="AC5" s="434"/>
      <c r="AD5" s="434"/>
      <c r="AE5" s="54"/>
    </row>
    <row r="6" spans="1:32" ht="27" customHeight="1">
      <c r="A6" s="106">
        <v>1</v>
      </c>
      <c r="B6" s="11" t="s">
        <v>57</v>
      </c>
      <c r="C6" s="34" t="s">
        <v>112</v>
      </c>
      <c r="D6" s="52" t="s">
        <v>208</v>
      </c>
      <c r="E6" s="53" t="s">
        <v>232</v>
      </c>
      <c r="F6" s="30" t="s">
        <v>139</v>
      </c>
      <c r="G6" s="12">
        <v>1</v>
      </c>
      <c r="H6" s="13">
        <v>24</v>
      </c>
      <c r="I6" s="31">
        <v>8000</v>
      </c>
      <c r="J6" s="14">
        <v>5516</v>
      </c>
      <c r="K6" s="15">
        <f>L6</f>
        <v>5516</v>
      </c>
      <c r="L6" s="15">
        <f>2532+2984</f>
        <v>5516</v>
      </c>
      <c r="M6" s="15">
        <f t="shared" ref="M6:M30" si="0">L6-N6</f>
        <v>5516</v>
      </c>
      <c r="N6" s="15">
        <v>0</v>
      </c>
      <c r="O6" s="58">
        <f t="shared" ref="O6:O31" si="1">IF(L6=0,"0",N6/L6)</f>
        <v>0</v>
      </c>
      <c r="P6" s="39">
        <f t="shared" ref="P6:P30" si="2">IF(L6=0,"0",(24-Q6))</f>
        <v>24</v>
      </c>
      <c r="Q6" s="40">
        <f t="shared" ref="Q6:Q30" si="3">SUM(R6:AA6)</f>
        <v>0</v>
      </c>
      <c r="R6" s="7"/>
      <c r="S6" s="6"/>
      <c r="T6" s="16"/>
      <c r="U6" s="16"/>
      <c r="V6" s="17"/>
      <c r="W6" s="5"/>
      <c r="X6" s="16"/>
      <c r="Y6" s="16"/>
      <c r="Z6" s="16"/>
      <c r="AA6" s="18"/>
      <c r="AB6" s="8">
        <f t="shared" ref="AB6:AB30" si="4">IF(J6=0,"0",(L6/J6))</f>
        <v>1</v>
      </c>
      <c r="AC6" s="9">
        <f t="shared" ref="AC6:AC30" si="5">IF(P6=0,"0",(P6/24))</f>
        <v>1</v>
      </c>
      <c r="AD6" s="10">
        <f>AC6*AB6*(1-O6)</f>
        <v>1</v>
      </c>
      <c r="AE6" s="36">
        <f t="shared" ref="AE6:AE30" si="6">$AD$31</f>
        <v>0.64666666666666672</v>
      </c>
      <c r="AF6" s="81">
        <f t="shared" ref="AF6:AF30" si="7">A6</f>
        <v>1</v>
      </c>
    </row>
    <row r="7" spans="1:32" ht="27" customHeight="1">
      <c r="A7" s="106">
        <v>2</v>
      </c>
      <c r="B7" s="11" t="s">
        <v>57</v>
      </c>
      <c r="C7" s="34" t="s">
        <v>112</v>
      </c>
      <c r="D7" s="52" t="s">
        <v>140</v>
      </c>
      <c r="E7" s="53" t="s">
        <v>149</v>
      </c>
      <c r="F7" s="30" t="s">
        <v>139</v>
      </c>
      <c r="G7" s="12">
        <v>1</v>
      </c>
      <c r="H7" s="13">
        <v>24</v>
      </c>
      <c r="I7" s="31">
        <v>190000</v>
      </c>
      <c r="J7" s="14">
        <v>11230</v>
      </c>
      <c r="K7" s="15">
        <f>L7+8898+11520+11558+11486+11566+10872+10958+11534+11518</f>
        <v>111140</v>
      </c>
      <c r="L7" s="15">
        <f>2884*2+2731*2</f>
        <v>11230</v>
      </c>
      <c r="M7" s="15">
        <f t="shared" si="0"/>
        <v>11230</v>
      </c>
      <c r="N7" s="15">
        <v>0</v>
      </c>
      <c r="O7" s="58">
        <f t="shared" si="1"/>
        <v>0</v>
      </c>
      <c r="P7" s="39">
        <f t="shared" si="2"/>
        <v>24</v>
      </c>
      <c r="Q7" s="40">
        <f t="shared" si="3"/>
        <v>0</v>
      </c>
      <c r="R7" s="7"/>
      <c r="S7" s="6"/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1</v>
      </c>
      <c r="AD7" s="10">
        <f t="shared" ref="AD7:AD30" si="8">AC7*AB7*(1-O7)</f>
        <v>1</v>
      </c>
      <c r="AE7" s="36">
        <f t="shared" si="6"/>
        <v>0.64666666666666672</v>
      </c>
      <c r="AF7" s="81">
        <f t="shared" si="7"/>
        <v>2</v>
      </c>
    </row>
    <row r="8" spans="1:32" ht="27" customHeight="1">
      <c r="A8" s="92">
        <v>3</v>
      </c>
      <c r="B8" s="11" t="s">
        <v>57</v>
      </c>
      <c r="C8" s="34" t="s">
        <v>116</v>
      </c>
      <c r="D8" s="52" t="s">
        <v>129</v>
      </c>
      <c r="E8" s="53" t="s">
        <v>178</v>
      </c>
      <c r="F8" s="30" t="s">
        <v>124</v>
      </c>
      <c r="G8" s="12">
        <v>2</v>
      </c>
      <c r="H8" s="13">
        <v>22</v>
      </c>
      <c r="I8" s="31">
        <v>90000</v>
      </c>
      <c r="J8" s="5">
        <v>9608</v>
      </c>
      <c r="K8" s="15">
        <f>L8+8120+11780</f>
        <v>29508</v>
      </c>
      <c r="L8" s="15">
        <f>864*2+1702+220+2979*2</f>
        <v>9608</v>
      </c>
      <c r="M8" s="15">
        <f t="shared" si="0"/>
        <v>9608</v>
      </c>
      <c r="N8" s="15">
        <v>0</v>
      </c>
      <c r="O8" s="58">
        <f t="shared" si="1"/>
        <v>0</v>
      </c>
      <c r="P8" s="39">
        <f t="shared" si="2"/>
        <v>24</v>
      </c>
      <c r="Q8" s="40">
        <f t="shared" si="3"/>
        <v>0</v>
      </c>
      <c r="R8" s="7"/>
      <c r="S8" s="6"/>
      <c r="T8" s="16"/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1</v>
      </c>
      <c r="AD8" s="10">
        <f t="shared" si="8"/>
        <v>1</v>
      </c>
      <c r="AE8" s="36">
        <f t="shared" si="6"/>
        <v>0.64666666666666672</v>
      </c>
      <c r="AF8" s="81">
        <f t="shared" si="7"/>
        <v>3</v>
      </c>
    </row>
    <row r="9" spans="1:32" ht="27" customHeight="1">
      <c r="A9" s="92">
        <v>4</v>
      </c>
      <c r="B9" s="11" t="s">
        <v>57</v>
      </c>
      <c r="C9" s="34" t="s">
        <v>161</v>
      </c>
      <c r="D9" s="52"/>
      <c r="E9" s="53" t="s">
        <v>166</v>
      </c>
      <c r="F9" s="30" t="s">
        <v>145</v>
      </c>
      <c r="G9" s="12">
        <v>2</v>
      </c>
      <c r="H9" s="13">
        <v>24</v>
      </c>
      <c r="I9" s="7">
        <v>10000</v>
      </c>
      <c r="J9" s="14">
        <v>12518</v>
      </c>
      <c r="K9" s="15">
        <f>L9+9554</f>
        <v>22072</v>
      </c>
      <c r="L9" s="15">
        <f>3143*2+3116*2</f>
        <v>12518</v>
      </c>
      <c r="M9" s="15">
        <f t="shared" si="0"/>
        <v>12518</v>
      </c>
      <c r="N9" s="15">
        <v>0</v>
      </c>
      <c r="O9" s="58">
        <f t="shared" si="1"/>
        <v>0</v>
      </c>
      <c r="P9" s="39">
        <f t="shared" si="2"/>
        <v>24</v>
      </c>
      <c r="Q9" s="40">
        <f t="shared" si="3"/>
        <v>0</v>
      </c>
      <c r="R9" s="7"/>
      <c r="S9" s="6"/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1</v>
      </c>
      <c r="AD9" s="10">
        <f t="shared" si="8"/>
        <v>1</v>
      </c>
      <c r="AE9" s="36">
        <f t="shared" si="6"/>
        <v>0.64666666666666672</v>
      </c>
      <c r="AF9" s="81">
        <f t="shared" si="7"/>
        <v>4</v>
      </c>
    </row>
    <row r="10" spans="1:32" ht="27" customHeight="1">
      <c r="A10" s="92">
        <v>5</v>
      </c>
      <c r="B10" s="11" t="s">
        <v>57</v>
      </c>
      <c r="C10" s="11" t="s">
        <v>112</v>
      </c>
      <c r="D10" s="52" t="s">
        <v>121</v>
      </c>
      <c r="E10" s="53" t="s">
        <v>188</v>
      </c>
      <c r="F10" s="30" t="s">
        <v>124</v>
      </c>
      <c r="G10" s="33">
        <v>1</v>
      </c>
      <c r="H10" s="35">
        <v>24</v>
      </c>
      <c r="I10" s="7">
        <v>115000</v>
      </c>
      <c r="J10" s="14">
        <v>5669</v>
      </c>
      <c r="K10" s="15">
        <f>L10+5338</f>
        <v>11007</v>
      </c>
      <c r="L10" s="15">
        <f>2685+2984</f>
        <v>5669</v>
      </c>
      <c r="M10" s="15">
        <f t="shared" si="0"/>
        <v>5669</v>
      </c>
      <c r="N10" s="15">
        <v>0</v>
      </c>
      <c r="O10" s="58">
        <f t="shared" si="1"/>
        <v>0</v>
      </c>
      <c r="P10" s="39">
        <f t="shared" si="2"/>
        <v>23</v>
      </c>
      <c r="Q10" s="40">
        <f t="shared" si="3"/>
        <v>1</v>
      </c>
      <c r="R10" s="7"/>
      <c r="S10" s="6">
        <v>1</v>
      </c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0.95833333333333337</v>
      </c>
      <c r="AD10" s="10">
        <f t="shared" si="8"/>
        <v>0.95833333333333337</v>
      </c>
      <c r="AE10" s="36">
        <f t="shared" si="6"/>
        <v>0.64666666666666672</v>
      </c>
      <c r="AF10" s="81">
        <f t="shared" si="7"/>
        <v>5</v>
      </c>
    </row>
    <row r="11" spans="1:32" ht="27" customHeight="1">
      <c r="A11" s="92">
        <v>6</v>
      </c>
      <c r="B11" s="11" t="s">
        <v>57</v>
      </c>
      <c r="C11" s="11" t="s">
        <v>127</v>
      </c>
      <c r="D11" s="52" t="s">
        <v>209</v>
      </c>
      <c r="E11" s="53" t="s">
        <v>234</v>
      </c>
      <c r="F11" s="30" t="s">
        <v>128</v>
      </c>
      <c r="G11" s="33">
        <v>1</v>
      </c>
      <c r="H11" s="35">
        <v>24</v>
      </c>
      <c r="I11" s="7">
        <v>1000</v>
      </c>
      <c r="J11" s="14">
        <v>1419</v>
      </c>
      <c r="K11" s="15">
        <f>L11</f>
        <v>1419</v>
      </c>
      <c r="L11" s="15">
        <f>1419</f>
        <v>1419</v>
      </c>
      <c r="M11" s="15">
        <f t="shared" si="0"/>
        <v>1419</v>
      </c>
      <c r="N11" s="15">
        <v>0</v>
      </c>
      <c r="O11" s="58">
        <f t="shared" si="1"/>
        <v>0</v>
      </c>
      <c r="P11" s="39">
        <f t="shared" si="2"/>
        <v>8</v>
      </c>
      <c r="Q11" s="40">
        <f t="shared" si="3"/>
        <v>16</v>
      </c>
      <c r="R11" s="7"/>
      <c r="S11" s="6"/>
      <c r="T11" s="16"/>
      <c r="U11" s="16"/>
      <c r="V11" s="17"/>
      <c r="W11" s="5">
        <v>16</v>
      </c>
      <c r="X11" s="16"/>
      <c r="Y11" s="16"/>
      <c r="Z11" s="16"/>
      <c r="AA11" s="18"/>
      <c r="AB11" s="8">
        <f t="shared" si="4"/>
        <v>1</v>
      </c>
      <c r="AC11" s="9">
        <f t="shared" si="5"/>
        <v>0.33333333333333331</v>
      </c>
      <c r="AD11" s="10">
        <f t="shared" si="8"/>
        <v>0.33333333333333331</v>
      </c>
      <c r="AE11" s="36">
        <f t="shared" si="6"/>
        <v>0.64666666666666672</v>
      </c>
      <c r="AF11" s="81">
        <f t="shared" si="7"/>
        <v>6</v>
      </c>
    </row>
    <row r="12" spans="1:32" ht="27" customHeight="1">
      <c r="A12" s="92">
        <v>6</v>
      </c>
      <c r="B12" s="11" t="s">
        <v>57</v>
      </c>
      <c r="C12" s="11" t="s">
        <v>116</v>
      </c>
      <c r="D12" s="52" t="s">
        <v>140</v>
      </c>
      <c r="E12" s="53" t="s">
        <v>233</v>
      </c>
      <c r="F12" s="30" t="s">
        <v>124</v>
      </c>
      <c r="G12" s="33">
        <v>1</v>
      </c>
      <c r="H12" s="35">
        <v>24</v>
      </c>
      <c r="I12" s="7">
        <v>500</v>
      </c>
      <c r="J12" s="14">
        <v>2115</v>
      </c>
      <c r="K12" s="15">
        <f>L12</f>
        <v>2115</v>
      </c>
      <c r="L12" s="15">
        <f>2115</f>
        <v>2115</v>
      </c>
      <c r="M12" s="15">
        <f t="shared" si="0"/>
        <v>2115</v>
      </c>
      <c r="N12" s="15">
        <v>0</v>
      </c>
      <c r="O12" s="58">
        <f t="shared" si="1"/>
        <v>0</v>
      </c>
      <c r="P12" s="39">
        <f t="shared" si="2"/>
        <v>13</v>
      </c>
      <c r="Q12" s="40">
        <f t="shared" si="3"/>
        <v>11</v>
      </c>
      <c r="R12" s="7"/>
      <c r="S12" s="6"/>
      <c r="T12" s="16">
        <v>11</v>
      </c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0.54166666666666663</v>
      </c>
      <c r="AD12" s="10">
        <f t="shared" si="8"/>
        <v>0.54166666666666663</v>
      </c>
      <c r="AE12" s="36">
        <f t="shared" si="6"/>
        <v>0.64666666666666672</v>
      </c>
      <c r="AF12" s="81">
        <f t="shared" si="7"/>
        <v>6</v>
      </c>
    </row>
    <row r="13" spans="1:32" ht="27" customHeight="1">
      <c r="A13" s="92">
        <v>7</v>
      </c>
      <c r="B13" s="11" t="s">
        <v>57</v>
      </c>
      <c r="C13" s="34" t="s">
        <v>116</v>
      </c>
      <c r="D13" s="52" t="s">
        <v>115</v>
      </c>
      <c r="E13" s="53" t="s">
        <v>214</v>
      </c>
      <c r="F13" s="30" t="s">
        <v>235</v>
      </c>
      <c r="G13" s="12">
        <v>1</v>
      </c>
      <c r="H13" s="13">
        <v>22</v>
      </c>
      <c r="I13" s="31">
        <v>60000</v>
      </c>
      <c r="J13" s="5">
        <v>7218</v>
      </c>
      <c r="K13" s="15">
        <f>L13</f>
        <v>7218</v>
      </c>
      <c r="L13" s="15">
        <f>1063*2+2546*2</f>
        <v>7218</v>
      </c>
      <c r="M13" s="15">
        <f t="shared" si="0"/>
        <v>7218</v>
      </c>
      <c r="N13" s="15">
        <v>0</v>
      </c>
      <c r="O13" s="58">
        <f t="shared" si="1"/>
        <v>0</v>
      </c>
      <c r="P13" s="39">
        <f t="shared" si="2"/>
        <v>19</v>
      </c>
      <c r="Q13" s="40">
        <f t="shared" si="3"/>
        <v>5</v>
      </c>
      <c r="R13" s="7"/>
      <c r="S13" s="6">
        <v>5</v>
      </c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0.79166666666666663</v>
      </c>
      <c r="AD13" s="10">
        <f t="shared" si="8"/>
        <v>0.79166666666666663</v>
      </c>
      <c r="AE13" s="36">
        <f t="shared" si="6"/>
        <v>0.64666666666666672</v>
      </c>
      <c r="AF13" s="81">
        <f t="shared" si="7"/>
        <v>7</v>
      </c>
    </row>
    <row r="14" spans="1:32" ht="27" customHeight="1">
      <c r="A14" s="92">
        <v>8</v>
      </c>
      <c r="B14" s="11" t="s">
        <v>57</v>
      </c>
      <c r="C14" s="11" t="s">
        <v>127</v>
      </c>
      <c r="D14" s="52" t="s">
        <v>158</v>
      </c>
      <c r="E14" s="53" t="s">
        <v>236</v>
      </c>
      <c r="F14" s="30" t="s">
        <v>123</v>
      </c>
      <c r="G14" s="33">
        <v>1</v>
      </c>
      <c r="H14" s="35">
        <v>22</v>
      </c>
      <c r="I14" s="7">
        <v>500</v>
      </c>
      <c r="J14" s="14">
        <v>1222</v>
      </c>
      <c r="K14" s="15">
        <f>L14</f>
        <v>1222</v>
      </c>
      <c r="L14" s="15">
        <v>1222</v>
      </c>
      <c r="M14" s="15">
        <f t="shared" si="0"/>
        <v>1222</v>
      </c>
      <c r="N14" s="15">
        <v>0</v>
      </c>
      <c r="O14" s="58">
        <f t="shared" si="1"/>
        <v>0</v>
      </c>
      <c r="P14" s="39">
        <f t="shared" si="2"/>
        <v>6</v>
      </c>
      <c r="Q14" s="40">
        <f t="shared" si="3"/>
        <v>18</v>
      </c>
      <c r="R14" s="7"/>
      <c r="S14" s="6"/>
      <c r="T14" s="16"/>
      <c r="U14" s="16"/>
      <c r="V14" s="17"/>
      <c r="W14" s="5">
        <v>18</v>
      </c>
      <c r="X14" s="16"/>
      <c r="Y14" s="16"/>
      <c r="Z14" s="16"/>
      <c r="AA14" s="18"/>
      <c r="AB14" s="8">
        <f t="shared" si="4"/>
        <v>1</v>
      </c>
      <c r="AC14" s="9">
        <f t="shared" si="5"/>
        <v>0.25</v>
      </c>
      <c r="AD14" s="10">
        <f t="shared" si="8"/>
        <v>0.25</v>
      </c>
      <c r="AE14" s="36">
        <f t="shared" si="6"/>
        <v>0.64666666666666672</v>
      </c>
      <c r="AF14" s="81">
        <f t="shared" si="7"/>
        <v>8</v>
      </c>
    </row>
    <row r="15" spans="1:32" ht="27" customHeight="1">
      <c r="A15" s="92">
        <v>8</v>
      </c>
      <c r="B15" s="11" t="s">
        <v>57</v>
      </c>
      <c r="C15" s="11" t="s">
        <v>127</v>
      </c>
      <c r="D15" s="52" t="s">
        <v>209</v>
      </c>
      <c r="E15" s="53" t="s">
        <v>236</v>
      </c>
      <c r="F15" s="30" t="s">
        <v>123</v>
      </c>
      <c r="G15" s="33">
        <v>1</v>
      </c>
      <c r="H15" s="35">
        <v>22</v>
      </c>
      <c r="I15" s="7">
        <v>1650</v>
      </c>
      <c r="J15" s="14">
        <v>1732</v>
      </c>
      <c r="K15" s="15">
        <f>L15</f>
        <v>1732</v>
      </c>
      <c r="L15" s="15">
        <v>1732</v>
      </c>
      <c r="M15" s="15">
        <f t="shared" ref="M15" si="9">L15-N15</f>
        <v>1732</v>
      </c>
      <c r="N15" s="15">
        <v>0</v>
      </c>
      <c r="O15" s="58">
        <f t="shared" ref="O15" si="10">IF(L15=0,"0",N15/L15)</f>
        <v>0</v>
      </c>
      <c r="P15" s="39">
        <f t="shared" ref="P15" si="11">IF(L15=0,"0",(24-Q15))</f>
        <v>10</v>
      </c>
      <c r="Q15" s="40">
        <f t="shared" ref="Q15" si="12">SUM(R15:AA15)</f>
        <v>14</v>
      </c>
      <c r="R15" s="7"/>
      <c r="S15" s="6"/>
      <c r="T15" s="16">
        <v>14</v>
      </c>
      <c r="U15" s="16"/>
      <c r="V15" s="17"/>
      <c r="W15" s="5"/>
      <c r="X15" s="16"/>
      <c r="Y15" s="16"/>
      <c r="Z15" s="16"/>
      <c r="AA15" s="18"/>
      <c r="AB15" s="8">
        <f t="shared" ref="AB15" si="13">IF(J15=0,"0",(L15/J15))</f>
        <v>1</v>
      </c>
      <c r="AC15" s="9">
        <f t="shared" ref="AC15" si="14">IF(P15=0,"0",(P15/24))</f>
        <v>0.41666666666666669</v>
      </c>
      <c r="AD15" s="10">
        <f t="shared" ref="AD15" si="15">AC15*AB15*(1-O15)</f>
        <v>0.41666666666666669</v>
      </c>
      <c r="AE15" s="36">
        <f t="shared" si="6"/>
        <v>0.64666666666666672</v>
      </c>
      <c r="AF15" s="81">
        <f t="shared" ref="AF15" si="16">A15</f>
        <v>8</v>
      </c>
    </row>
    <row r="16" spans="1:32" ht="27" customHeight="1">
      <c r="A16" s="92">
        <v>8</v>
      </c>
      <c r="B16" s="11" t="s">
        <v>57</v>
      </c>
      <c r="C16" s="11" t="s">
        <v>127</v>
      </c>
      <c r="D16" s="52" t="s">
        <v>158</v>
      </c>
      <c r="E16" s="53" t="s">
        <v>180</v>
      </c>
      <c r="F16" s="30" t="s">
        <v>123</v>
      </c>
      <c r="G16" s="33">
        <v>1</v>
      </c>
      <c r="H16" s="35">
        <v>22</v>
      </c>
      <c r="I16" s="7">
        <v>2500</v>
      </c>
      <c r="J16" s="14">
        <v>617</v>
      </c>
      <c r="K16" s="15">
        <f>L16+864</f>
        <v>1481</v>
      </c>
      <c r="L16" s="15">
        <v>617</v>
      </c>
      <c r="M16" s="15">
        <f t="shared" si="0"/>
        <v>617</v>
      </c>
      <c r="N16" s="15">
        <v>0</v>
      </c>
      <c r="O16" s="58">
        <f t="shared" si="1"/>
        <v>0</v>
      </c>
      <c r="P16" s="39">
        <f t="shared" si="2"/>
        <v>4</v>
      </c>
      <c r="Q16" s="40">
        <f t="shared" si="3"/>
        <v>20</v>
      </c>
      <c r="R16" s="7"/>
      <c r="S16" s="6">
        <v>20</v>
      </c>
      <c r="T16" s="16"/>
      <c r="U16" s="16"/>
      <c r="V16" s="17"/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0.16666666666666666</v>
      </c>
      <c r="AD16" s="10">
        <f t="shared" si="8"/>
        <v>0.16666666666666666</v>
      </c>
      <c r="AE16" s="36">
        <f t="shared" si="6"/>
        <v>0.64666666666666672</v>
      </c>
      <c r="AF16" s="81">
        <f t="shared" si="7"/>
        <v>8</v>
      </c>
    </row>
    <row r="17" spans="1:32" ht="27" customHeight="1">
      <c r="A17" s="99">
        <v>9</v>
      </c>
      <c r="B17" s="11" t="s">
        <v>57</v>
      </c>
      <c r="C17" s="34" t="s">
        <v>112</v>
      </c>
      <c r="D17" s="52" t="s">
        <v>115</v>
      </c>
      <c r="E17" s="53" t="s">
        <v>165</v>
      </c>
      <c r="F17" s="30" t="s">
        <v>167</v>
      </c>
      <c r="G17" s="33">
        <v>1</v>
      </c>
      <c r="H17" s="35">
        <v>50</v>
      </c>
      <c r="I17" s="7">
        <v>300</v>
      </c>
      <c r="J17" s="5">
        <v>391</v>
      </c>
      <c r="K17" s="15">
        <f>L17+300</f>
        <v>300</v>
      </c>
      <c r="L17" s="15"/>
      <c r="M17" s="15">
        <f t="shared" si="0"/>
        <v>0</v>
      </c>
      <c r="N17" s="15">
        <v>0</v>
      </c>
      <c r="O17" s="58" t="str">
        <f t="shared" si="1"/>
        <v>0</v>
      </c>
      <c r="P17" s="39" t="str">
        <f t="shared" si="2"/>
        <v>0</v>
      </c>
      <c r="Q17" s="40">
        <f t="shared" si="3"/>
        <v>17</v>
      </c>
      <c r="R17" s="7"/>
      <c r="S17" s="6">
        <v>17</v>
      </c>
      <c r="T17" s="16"/>
      <c r="U17" s="16"/>
      <c r="V17" s="17"/>
      <c r="W17" s="5"/>
      <c r="X17" s="16"/>
      <c r="Y17" s="16"/>
      <c r="Z17" s="16"/>
      <c r="AA17" s="18"/>
      <c r="AB17" s="8">
        <f t="shared" si="4"/>
        <v>0</v>
      </c>
      <c r="AC17" s="9">
        <f t="shared" si="5"/>
        <v>0</v>
      </c>
      <c r="AD17" s="10">
        <f t="shared" si="8"/>
        <v>0</v>
      </c>
      <c r="AE17" s="36">
        <f t="shared" si="6"/>
        <v>0.64666666666666672</v>
      </c>
      <c r="AF17" s="81">
        <f t="shared" si="7"/>
        <v>9</v>
      </c>
    </row>
    <row r="18" spans="1:32" ht="27" customHeight="1">
      <c r="A18" s="106">
        <v>10</v>
      </c>
      <c r="B18" s="11" t="s">
        <v>57</v>
      </c>
      <c r="C18" s="34" t="s">
        <v>127</v>
      </c>
      <c r="D18" s="52" t="s">
        <v>144</v>
      </c>
      <c r="E18" s="53" t="s">
        <v>237</v>
      </c>
      <c r="F18" s="30" t="s">
        <v>142</v>
      </c>
      <c r="G18" s="12">
        <v>1</v>
      </c>
      <c r="H18" s="13">
        <v>24</v>
      </c>
      <c r="I18" s="31">
        <v>1000</v>
      </c>
      <c r="J18" s="14">
        <v>1490</v>
      </c>
      <c r="K18" s="15">
        <f>L18</f>
        <v>1490</v>
      </c>
      <c r="L18" s="15">
        <v>1490</v>
      </c>
      <c r="M18" s="15">
        <f t="shared" si="0"/>
        <v>1490</v>
      </c>
      <c r="N18" s="15">
        <v>0</v>
      </c>
      <c r="O18" s="58">
        <f t="shared" si="1"/>
        <v>0</v>
      </c>
      <c r="P18" s="39">
        <f t="shared" si="2"/>
        <v>8</v>
      </c>
      <c r="Q18" s="40">
        <f t="shared" si="3"/>
        <v>16</v>
      </c>
      <c r="R18" s="7"/>
      <c r="S18" s="6"/>
      <c r="T18" s="16"/>
      <c r="U18" s="16"/>
      <c r="V18" s="17"/>
      <c r="W18" s="5">
        <v>16</v>
      </c>
      <c r="X18" s="16"/>
      <c r="Y18" s="16"/>
      <c r="Z18" s="16"/>
      <c r="AA18" s="18"/>
      <c r="AB18" s="8">
        <f t="shared" si="4"/>
        <v>1</v>
      </c>
      <c r="AC18" s="9">
        <f t="shared" si="5"/>
        <v>0.33333333333333331</v>
      </c>
      <c r="AD18" s="10">
        <f t="shared" si="8"/>
        <v>0.33333333333333331</v>
      </c>
      <c r="AE18" s="36">
        <f t="shared" si="6"/>
        <v>0.64666666666666672</v>
      </c>
      <c r="AF18" s="81">
        <f t="shared" si="7"/>
        <v>10</v>
      </c>
    </row>
    <row r="19" spans="1:32" ht="27" customHeight="1">
      <c r="A19" s="106">
        <v>11</v>
      </c>
      <c r="B19" s="11" t="s">
        <v>57</v>
      </c>
      <c r="C19" s="34" t="s">
        <v>161</v>
      </c>
      <c r="D19" s="52"/>
      <c r="E19" s="53" t="s">
        <v>168</v>
      </c>
      <c r="F19" s="30" t="s">
        <v>145</v>
      </c>
      <c r="G19" s="12">
        <v>2</v>
      </c>
      <c r="H19" s="13">
        <v>24</v>
      </c>
      <c r="I19" s="7">
        <v>73000</v>
      </c>
      <c r="J19" s="14">
        <v>8416</v>
      </c>
      <c r="K19" s="15">
        <f>L19+10730+9070+9850+12188+10512+3676+10788</f>
        <v>75230</v>
      </c>
      <c r="L19" s="15">
        <f>897*2+3311*2</f>
        <v>8416</v>
      </c>
      <c r="M19" s="15">
        <f t="shared" si="0"/>
        <v>8416</v>
      </c>
      <c r="N19" s="15">
        <v>0</v>
      </c>
      <c r="O19" s="58">
        <f t="shared" si="1"/>
        <v>0</v>
      </c>
      <c r="P19" s="39">
        <f t="shared" si="2"/>
        <v>18</v>
      </c>
      <c r="Q19" s="40">
        <f t="shared" si="3"/>
        <v>6</v>
      </c>
      <c r="R19" s="7"/>
      <c r="S19" s="6">
        <v>6</v>
      </c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0.75</v>
      </c>
      <c r="AD19" s="10">
        <f t="shared" si="8"/>
        <v>0.75</v>
      </c>
      <c r="AE19" s="36">
        <f t="shared" si="6"/>
        <v>0.64666666666666672</v>
      </c>
      <c r="AF19" s="81">
        <f t="shared" si="7"/>
        <v>11</v>
      </c>
    </row>
    <row r="20" spans="1:32" ht="27" customHeight="1">
      <c r="A20" s="106">
        <v>12</v>
      </c>
      <c r="B20" s="11" t="s">
        <v>57</v>
      </c>
      <c r="C20" s="34" t="s">
        <v>127</v>
      </c>
      <c r="D20" s="52" t="s">
        <v>121</v>
      </c>
      <c r="E20" s="53" t="s">
        <v>181</v>
      </c>
      <c r="F20" s="30" t="s">
        <v>155</v>
      </c>
      <c r="G20" s="12">
        <v>4</v>
      </c>
      <c r="H20" s="13">
        <v>24</v>
      </c>
      <c r="I20" s="7">
        <v>20000</v>
      </c>
      <c r="J20" s="14">
        <v>21252</v>
      </c>
      <c r="K20" s="15">
        <f>L20+9544+21252</f>
        <v>30796</v>
      </c>
      <c r="L20" s="15"/>
      <c r="M20" s="15">
        <f t="shared" si="0"/>
        <v>0</v>
      </c>
      <c r="N20" s="15">
        <v>0</v>
      </c>
      <c r="O20" s="58" t="str">
        <f t="shared" si="1"/>
        <v>0</v>
      </c>
      <c r="P20" s="39" t="str">
        <f t="shared" si="2"/>
        <v>0</v>
      </c>
      <c r="Q20" s="40">
        <f t="shared" si="3"/>
        <v>24</v>
      </c>
      <c r="R20" s="7"/>
      <c r="S20" s="6"/>
      <c r="T20" s="16"/>
      <c r="U20" s="16"/>
      <c r="V20" s="17"/>
      <c r="W20" s="5"/>
      <c r="X20" s="16"/>
      <c r="Y20" s="16"/>
      <c r="Z20" s="16"/>
      <c r="AA20" s="18">
        <v>24</v>
      </c>
      <c r="AB20" s="8">
        <f t="shared" si="4"/>
        <v>0</v>
      </c>
      <c r="AC20" s="9">
        <f t="shared" si="5"/>
        <v>0</v>
      </c>
      <c r="AD20" s="10">
        <f t="shared" si="8"/>
        <v>0</v>
      </c>
      <c r="AE20" s="36">
        <f t="shared" si="6"/>
        <v>0.64666666666666672</v>
      </c>
      <c r="AF20" s="81">
        <f t="shared" si="7"/>
        <v>12</v>
      </c>
    </row>
    <row r="21" spans="1:32" ht="27" customHeight="1">
      <c r="A21" s="92">
        <v>13</v>
      </c>
      <c r="B21" s="11" t="s">
        <v>57</v>
      </c>
      <c r="C21" s="34" t="s">
        <v>116</v>
      </c>
      <c r="D21" s="52" t="s">
        <v>115</v>
      </c>
      <c r="E21" s="53" t="s">
        <v>198</v>
      </c>
      <c r="F21" s="30" t="s">
        <v>138</v>
      </c>
      <c r="G21" s="12">
        <v>2</v>
      </c>
      <c r="H21" s="13">
        <v>22</v>
      </c>
      <c r="I21" s="31">
        <v>90000</v>
      </c>
      <c r="J21" s="5">
        <v>12392</v>
      </c>
      <c r="K21" s="15">
        <f>L21+9112</f>
        <v>21504</v>
      </c>
      <c r="L21" s="15">
        <f>3119*2+3077*2</f>
        <v>12392</v>
      </c>
      <c r="M21" s="15">
        <f t="shared" si="0"/>
        <v>12392</v>
      </c>
      <c r="N21" s="15">
        <v>0</v>
      </c>
      <c r="O21" s="58">
        <f t="shared" si="1"/>
        <v>0</v>
      </c>
      <c r="P21" s="39">
        <f t="shared" si="2"/>
        <v>24</v>
      </c>
      <c r="Q21" s="40">
        <f t="shared" si="3"/>
        <v>0</v>
      </c>
      <c r="R21" s="7"/>
      <c r="S21" s="6"/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1</v>
      </c>
      <c r="AD21" s="10">
        <f t="shared" si="8"/>
        <v>1</v>
      </c>
      <c r="AE21" s="36">
        <f t="shared" si="6"/>
        <v>0.64666666666666672</v>
      </c>
      <c r="AF21" s="81">
        <f t="shared" si="7"/>
        <v>13</v>
      </c>
    </row>
    <row r="22" spans="1:32" ht="27" customHeight="1">
      <c r="A22" s="92">
        <v>14</v>
      </c>
      <c r="B22" s="11" t="s">
        <v>57</v>
      </c>
      <c r="C22" s="11" t="s">
        <v>127</v>
      </c>
      <c r="D22" s="52" t="s">
        <v>115</v>
      </c>
      <c r="E22" s="53" t="s">
        <v>169</v>
      </c>
      <c r="F22" s="30" t="s">
        <v>156</v>
      </c>
      <c r="G22" s="33">
        <v>2</v>
      </c>
      <c r="H22" s="35">
        <v>24</v>
      </c>
      <c r="I22" s="7">
        <v>32000</v>
      </c>
      <c r="J22" s="14">
        <v>6380</v>
      </c>
      <c r="K22" s="15">
        <f>L22+7323+6344+4210+6874+6859+3176</f>
        <v>41166</v>
      </c>
      <c r="L22" s="15">
        <f>2584*2+606*2</f>
        <v>6380</v>
      </c>
      <c r="M22" s="15">
        <f t="shared" si="0"/>
        <v>6380</v>
      </c>
      <c r="N22" s="15">
        <v>0</v>
      </c>
      <c r="O22" s="58">
        <f t="shared" si="1"/>
        <v>0</v>
      </c>
      <c r="P22" s="39">
        <f t="shared" si="2"/>
        <v>15</v>
      </c>
      <c r="Q22" s="40">
        <f t="shared" si="3"/>
        <v>9</v>
      </c>
      <c r="R22" s="7"/>
      <c r="S22" s="6">
        <v>9</v>
      </c>
      <c r="T22" s="16"/>
      <c r="U22" s="16"/>
      <c r="V22" s="17"/>
      <c r="W22" s="5"/>
      <c r="X22" s="16"/>
      <c r="Y22" s="16"/>
      <c r="Z22" s="16"/>
      <c r="AA22" s="18"/>
      <c r="AB22" s="8">
        <f t="shared" si="4"/>
        <v>1</v>
      </c>
      <c r="AC22" s="9">
        <f t="shared" si="5"/>
        <v>0.625</v>
      </c>
      <c r="AD22" s="10">
        <f t="shared" si="8"/>
        <v>0.625</v>
      </c>
      <c r="AE22" s="36">
        <f t="shared" si="6"/>
        <v>0.64666666666666672</v>
      </c>
      <c r="AF22" s="81">
        <f t="shared" si="7"/>
        <v>14</v>
      </c>
    </row>
    <row r="23" spans="1:32" ht="27" customHeight="1">
      <c r="A23" s="106">
        <v>15</v>
      </c>
      <c r="B23" s="11" t="s">
        <v>57</v>
      </c>
      <c r="C23" s="11" t="s">
        <v>112</v>
      </c>
      <c r="D23" s="52" t="s">
        <v>115</v>
      </c>
      <c r="E23" s="53" t="s">
        <v>148</v>
      </c>
      <c r="F23" s="30" t="s">
        <v>138</v>
      </c>
      <c r="G23" s="33">
        <v>2</v>
      </c>
      <c r="H23" s="35">
        <v>24</v>
      </c>
      <c r="I23" s="7">
        <v>190000</v>
      </c>
      <c r="J23" s="14">
        <v>11010</v>
      </c>
      <c r="K23" s="15">
        <f>L23+2429+7472+8688+7444+11036+10988</f>
        <v>59067</v>
      </c>
      <c r="L23" s="15">
        <f>2759*2+2746*2</f>
        <v>11010</v>
      </c>
      <c r="M23" s="15">
        <f t="shared" si="0"/>
        <v>11010</v>
      </c>
      <c r="N23" s="15">
        <v>0</v>
      </c>
      <c r="O23" s="58">
        <f t="shared" si="1"/>
        <v>0</v>
      </c>
      <c r="P23" s="39">
        <f t="shared" si="2"/>
        <v>24</v>
      </c>
      <c r="Q23" s="40">
        <f t="shared" si="3"/>
        <v>0</v>
      </c>
      <c r="R23" s="7"/>
      <c r="S23" s="6"/>
      <c r="T23" s="16"/>
      <c r="U23" s="16"/>
      <c r="V23" s="17"/>
      <c r="W23" s="5"/>
      <c r="X23" s="16"/>
      <c r="Y23" s="16"/>
      <c r="Z23" s="16"/>
      <c r="AA23" s="18"/>
      <c r="AB23" s="8">
        <f t="shared" si="4"/>
        <v>1</v>
      </c>
      <c r="AC23" s="9">
        <f t="shared" si="5"/>
        <v>1</v>
      </c>
      <c r="AD23" s="10">
        <f t="shared" si="8"/>
        <v>1</v>
      </c>
      <c r="AE23" s="36">
        <f t="shared" si="6"/>
        <v>0.64666666666666672</v>
      </c>
      <c r="AF23" s="81">
        <f t="shared" si="7"/>
        <v>15</v>
      </c>
    </row>
    <row r="24" spans="1:32" ht="26.25" customHeight="1">
      <c r="A24" s="92">
        <v>16</v>
      </c>
      <c r="B24" s="11" t="s">
        <v>57</v>
      </c>
      <c r="C24" s="11" t="s">
        <v>113</v>
      </c>
      <c r="D24" s="52"/>
      <c r="E24" s="53" t="s">
        <v>160</v>
      </c>
      <c r="F24" s="12" t="s">
        <v>114</v>
      </c>
      <c r="G24" s="12">
        <v>4</v>
      </c>
      <c r="H24" s="35">
        <v>20</v>
      </c>
      <c r="I24" s="7">
        <v>2000000</v>
      </c>
      <c r="J24" s="14">
        <v>62940</v>
      </c>
      <c r="K24" s="15">
        <f>L24+29876</f>
        <v>92816</v>
      </c>
      <c r="L24" s="15">
        <f>7769*4+7966*4</f>
        <v>62940</v>
      </c>
      <c r="M24" s="15">
        <f t="shared" si="0"/>
        <v>62940</v>
      </c>
      <c r="N24" s="15">
        <v>0</v>
      </c>
      <c r="O24" s="58">
        <f t="shared" si="1"/>
        <v>0</v>
      </c>
      <c r="P24" s="39">
        <f t="shared" si="2"/>
        <v>24</v>
      </c>
      <c r="Q24" s="40">
        <f t="shared" si="3"/>
        <v>0</v>
      </c>
      <c r="R24" s="7"/>
      <c r="S24" s="6"/>
      <c r="T24" s="16"/>
      <c r="U24" s="16"/>
      <c r="V24" s="17"/>
      <c r="W24" s="5"/>
      <c r="X24" s="16"/>
      <c r="Y24" s="16"/>
      <c r="Z24" s="16"/>
      <c r="AA24" s="18"/>
      <c r="AB24" s="8">
        <f t="shared" si="4"/>
        <v>1</v>
      </c>
      <c r="AC24" s="9">
        <f t="shared" si="5"/>
        <v>1</v>
      </c>
      <c r="AD24" s="10">
        <f t="shared" si="8"/>
        <v>1</v>
      </c>
      <c r="AE24" s="36">
        <f t="shared" si="6"/>
        <v>0.64666666666666672</v>
      </c>
      <c r="AF24" s="81">
        <f t="shared" si="7"/>
        <v>16</v>
      </c>
    </row>
    <row r="25" spans="1:32" ht="21.75" customHeight="1">
      <c r="A25" s="92">
        <v>31</v>
      </c>
      <c r="B25" s="11" t="s">
        <v>57</v>
      </c>
      <c r="C25" s="11" t="s">
        <v>191</v>
      </c>
      <c r="D25" s="52"/>
      <c r="E25" s="53" t="s">
        <v>192</v>
      </c>
      <c r="F25" s="12" t="s">
        <v>193</v>
      </c>
      <c r="G25" s="12">
        <v>30</v>
      </c>
      <c r="H25" s="35">
        <v>20</v>
      </c>
      <c r="I25" s="7">
        <v>2000000</v>
      </c>
      <c r="J25" s="14">
        <v>498300</v>
      </c>
      <c r="K25" s="15">
        <f>L25+353460</f>
        <v>851760</v>
      </c>
      <c r="L25" s="15">
        <f>9492*30+7118*30</f>
        <v>498300</v>
      </c>
      <c r="M25" s="15">
        <f t="shared" si="0"/>
        <v>498300</v>
      </c>
      <c r="N25" s="15">
        <v>0</v>
      </c>
      <c r="O25" s="58">
        <f t="shared" si="1"/>
        <v>0</v>
      </c>
      <c r="P25" s="39">
        <f t="shared" si="2"/>
        <v>24</v>
      </c>
      <c r="Q25" s="40">
        <f t="shared" si="3"/>
        <v>0</v>
      </c>
      <c r="R25" s="7"/>
      <c r="S25" s="6"/>
      <c r="T25" s="16"/>
      <c r="U25" s="16"/>
      <c r="V25" s="17"/>
      <c r="W25" s="5"/>
      <c r="X25" s="16"/>
      <c r="Y25" s="16"/>
      <c r="Z25" s="16"/>
      <c r="AA25" s="18"/>
      <c r="AB25" s="8">
        <f t="shared" si="4"/>
        <v>1</v>
      </c>
      <c r="AC25" s="9">
        <f t="shared" si="5"/>
        <v>1</v>
      </c>
      <c r="AD25" s="10">
        <f t="shared" si="8"/>
        <v>1</v>
      </c>
      <c r="AE25" s="36">
        <f t="shared" si="6"/>
        <v>0.64666666666666672</v>
      </c>
      <c r="AF25" s="81">
        <f t="shared" si="7"/>
        <v>31</v>
      </c>
    </row>
    <row r="26" spans="1:32" ht="21.75" customHeight="1">
      <c r="A26" s="92">
        <v>32</v>
      </c>
      <c r="B26" s="11" t="s">
        <v>57</v>
      </c>
      <c r="C26" s="11"/>
      <c r="D26" s="52"/>
      <c r="E26" s="53"/>
      <c r="F26" s="12"/>
      <c r="G26" s="12"/>
      <c r="H26" s="35">
        <v>20</v>
      </c>
      <c r="I26" s="7"/>
      <c r="J26" s="14">
        <v>0</v>
      </c>
      <c r="K26" s="15">
        <f t="shared" ref="K26" si="17">L26</f>
        <v>0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24</v>
      </c>
      <c r="R26" s="7"/>
      <c r="S26" s="6"/>
      <c r="T26" s="16"/>
      <c r="U26" s="16"/>
      <c r="V26" s="17"/>
      <c r="W26" s="5">
        <v>24</v>
      </c>
      <c r="X26" s="16"/>
      <c r="Y26" s="16"/>
      <c r="Z26" s="16"/>
      <c r="AA26" s="18"/>
      <c r="AB26" s="8" t="str">
        <f t="shared" si="4"/>
        <v>0</v>
      </c>
      <c r="AC26" s="9">
        <f t="shared" si="5"/>
        <v>0</v>
      </c>
      <c r="AD26" s="10">
        <f t="shared" si="8"/>
        <v>0</v>
      </c>
      <c r="AE26" s="36">
        <f t="shared" si="6"/>
        <v>0.64666666666666672</v>
      </c>
      <c r="AF26" s="81">
        <f t="shared" si="7"/>
        <v>32</v>
      </c>
    </row>
    <row r="27" spans="1:32" ht="21.75" customHeight="1">
      <c r="A27" s="92">
        <v>33</v>
      </c>
      <c r="B27" s="11" t="s">
        <v>57</v>
      </c>
      <c r="C27" s="11" t="s">
        <v>116</v>
      </c>
      <c r="D27" s="52" t="s">
        <v>147</v>
      </c>
      <c r="E27" s="53" t="s">
        <v>183</v>
      </c>
      <c r="F27" s="12" t="s">
        <v>124</v>
      </c>
      <c r="G27" s="12">
        <v>4</v>
      </c>
      <c r="H27" s="35">
        <v>20</v>
      </c>
      <c r="I27" s="7">
        <v>36000</v>
      </c>
      <c r="J27" s="14">
        <v>31996</v>
      </c>
      <c r="K27" s="15">
        <f>L27+20368+29324</f>
        <v>81688</v>
      </c>
      <c r="L27" s="15">
        <f>4287*4+3224*4+488*4</f>
        <v>31996</v>
      </c>
      <c r="M27" s="15">
        <f t="shared" si="0"/>
        <v>31996</v>
      </c>
      <c r="N27" s="15">
        <v>0</v>
      </c>
      <c r="O27" s="58">
        <f t="shared" si="1"/>
        <v>0</v>
      </c>
      <c r="P27" s="39">
        <f t="shared" si="2"/>
        <v>24</v>
      </c>
      <c r="Q27" s="40">
        <f t="shared" si="3"/>
        <v>0</v>
      </c>
      <c r="R27" s="7"/>
      <c r="S27" s="6"/>
      <c r="T27" s="16"/>
      <c r="U27" s="16"/>
      <c r="V27" s="114"/>
      <c r="W27" s="5"/>
      <c r="X27" s="16"/>
      <c r="Y27" s="16"/>
      <c r="Z27" s="16"/>
      <c r="AA27" s="18"/>
      <c r="AB27" s="8">
        <f t="shared" si="4"/>
        <v>1</v>
      </c>
      <c r="AC27" s="9">
        <f t="shared" si="5"/>
        <v>1</v>
      </c>
      <c r="AD27" s="10">
        <f t="shared" si="8"/>
        <v>1</v>
      </c>
      <c r="AE27" s="36">
        <f t="shared" si="6"/>
        <v>0.64666666666666672</v>
      </c>
      <c r="AF27" s="81">
        <f t="shared" si="7"/>
        <v>33</v>
      </c>
    </row>
    <row r="28" spans="1:32" ht="21.75" customHeight="1">
      <c r="A28" s="92">
        <v>34</v>
      </c>
      <c r="B28" s="11" t="s">
        <v>57</v>
      </c>
      <c r="C28" s="11" t="s">
        <v>116</v>
      </c>
      <c r="D28" s="52" t="s">
        <v>129</v>
      </c>
      <c r="E28" s="53" t="s">
        <v>172</v>
      </c>
      <c r="F28" s="12" t="s">
        <v>125</v>
      </c>
      <c r="G28" s="12">
        <v>4</v>
      </c>
      <c r="H28" s="35">
        <v>20</v>
      </c>
      <c r="I28" s="7">
        <v>36000</v>
      </c>
      <c r="J28" s="14">
        <v>28802</v>
      </c>
      <c r="K28" s="15">
        <f>L28+13760+25860+25496+28600</f>
        <v>122518</v>
      </c>
      <c r="L28" s="15">
        <f>4188*4+1373*4+1755*3+431*3</f>
        <v>28802</v>
      </c>
      <c r="M28" s="15">
        <f t="shared" si="0"/>
        <v>28802</v>
      </c>
      <c r="N28" s="15">
        <v>0</v>
      </c>
      <c r="O28" s="58">
        <f t="shared" si="1"/>
        <v>0</v>
      </c>
      <c r="P28" s="39">
        <f t="shared" si="2"/>
        <v>24</v>
      </c>
      <c r="Q28" s="40">
        <f t="shared" si="3"/>
        <v>0</v>
      </c>
      <c r="R28" s="7"/>
      <c r="S28" s="6"/>
      <c r="T28" s="16"/>
      <c r="U28" s="16"/>
      <c r="V28" s="114"/>
      <c r="W28" s="5"/>
      <c r="X28" s="16"/>
      <c r="Y28" s="16"/>
      <c r="Z28" s="16"/>
      <c r="AA28" s="18"/>
      <c r="AB28" s="8">
        <f t="shared" si="4"/>
        <v>1</v>
      </c>
      <c r="AC28" s="9">
        <f t="shared" si="5"/>
        <v>1</v>
      </c>
      <c r="AD28" s="10">
        <f t="shared" si="8"/>
        <v>1</v>
      </c>
      <c r="AE28" s="36">
        <f t="shared" si="6"/>
        <v>0.64666666666666672</v>
      </c>
      <c r="AF28" s="81">
        <f t="shared" si="7"/>
        <v>34</v>
      </c>
    </row>
    <row r="29" spans="1:32" ht="21.75" customHeight="1">
      <c r="A29" s="92">
        <v>35</v>
      </c>
      <c r="B29" s="11" t="s">
        <v>57</v>
      </c>
      <c r="C29" s="11" t="s">
        <v>116</v>
      </c>
      <c r="D29" s="52" t="s">
        <v>121</v>
      </c>
      <c r="E29" s="53" t="s">
        <v>126</v>
      </c>
      <c r="F29" s="12" t="s">
        <v>125</v>
      </c>
      <c r="G29" s="12">
        <v>4</v>
      </c>
      <c r="H29" s="35">
        <v>20</v>
      </c>
      <c r="I29" s="7">
        <v>36000</v>
      </c>
      <c r="J29" s="14">
        <v>26944</v>
      </c>
      <c r="K29" s="15">
        <f>L29+24592+26944+21716</f>
        <v>73252</v>
      </c>
      <c r="L29" s="15"/>
      <c r="M29" s="15">
        <f t="shared" si="0"/>
        <v>0</v>
      </c>
      <c r="N29" s="15">
        <v>0</v>
      </c>
      <c r="O29" s="58" t="str">
        <f t="shared" si="1"/>
        <v>0</v>
      </c>
      <c r="P29" s="39" t="str">
        <f t="shared" si="2"/>
        <v>0</v>
      </c>
      <c r="Q29" s="40">
        <f t="shared" si="3"/>
        <v>24</v>
      </c>
      <c r="R29" s="7"/>
      <c r="S29" s="6"/>
      <c r="T29" s="16"/>
      <c r="U29" s="16"/>
      <c r="V29" s="114"/>
      <c r="W29" s="5">
        <v>24</v>
      </c>
      <c r="X29" s="16"/>
      <c r="Y29" s="16"/>
      <c r="Z29" s="16"/>
      <c r="AA29" s="18"/>
      <c r="AB29" s="8">
        <f t="shared" si="4"/>
        <v>0</v>
      </c>
      <c r="AC29" s="9">
        <f t="shared" si="5"/>
        <v>0</v>
      </c>
      <c r="AD29" s="10">
        <f t="shared" si="8"/>
        <v>0</v>
      </c>
      <c r="AE29" s="36">
        <f t="shared" si="6"/>
        <v>0.64666666666666672</v>
      </c>
      <c r="AF29" s="81">
        <f t="shared" si="7"/>
        <v>35</v>
      </c>
    </row>
    <row r="30" spans="1:32" ht="21.75" customHeight="1" thickBot="1">
      <c r="A30" s="92">
        <v>36</v>
      </c>
      <c r="B30" s="11" t="s">
        <v>57</v>
      </c>
      <c r="C30" s="11" t="s">
        <v>116</v>
      </c>
      <c r="D30" s="52" t="s">
        <v>115</v>
      </c>
      <c r="E30" s="53" t="s">
        <v>174</v>
      </c>
      <c r="F30" s="12" t="s">
        <v>138</v>
      </c>
      <c r="G30" s="12">
        <v>3</v>
      </c>
      <c r="H30" s="35">
        <v>20</v>
      </c>
      <c r="I30" s="7">
        <v>36000</v>
      </c>
      <c r="J30" s="14">
        <v>19965</v>
      </c>
      <c r="K30" s="15">
        <f>L30+20295+19566</f>
        <v>59826</v>
      </c>
      <c r="L30" s="15">
        <f>3811*3+2844*3</f>
        <v>19965</v>
      </c>
      <c r="M30" s="15">
        <f t="shared" si="0"/>
        <v>19965</v>
      </c>
      <c r="N30" s="15">
        <v>0</v>
      </c>
      <c r="O30" s="58">
        <f t="shared" si="1"/>
        <v>0</v>
      </c>
      <c r="P30" s="39">
        <f t="shared" si="2"/>
        <v>24</v>
      </c>
      <c r="Q30" s="40">
        <f t="shared" si="3"/>
        <v>0</v>
      </c>
      <c r="R30" s="7"/>
      <c r="S30" s="6"/>
      <c r="T30" s="16"/>
      <c r="U30" s="16"/>
      <c r="V30" s="114"/>
      <c r="W30" s="5"/>
      <c r="X30" s="16"/>
      <c r="Y30" s="16"/>
      <c r="Z30" s="16"/>
      <c r="AA30" s="18"/>
      <c r="AB30" s="8">
        <f t="shared" si="4"/>
        <v>1</v>
      </c>
      <c r="AC30" s="9">
        <f t="shared" si="5"/>
        <v>1</v>
      </c>
      <c r="AD30" s="10">
        <f t="shared" si="8"/>
        <v>1</v>
      </c>
      <c r="AE30" s="36">
        <f t="shared" si="6"/>
        <v>0.64666666666666672</v>
      </c>
      <c r="AF30" s="81">
        <f t="shared" si="7"/>
        <v>36</v>
      </c>
    </row>
    <row r="31" spans="1:32" ht="19.5" thickBot="1">
      <c r="A31" s="435" t="s">
        <v>34</v>
      </c>
      <c r="B31" s="436"/>
      <c r="C31" s="436"/>
      <c r="D31" s="436"/>
      <c r="E31" s="436"/>
      <c r="F31" s="436"/>
      <c r="G31" s="436"/>
      <c r="H31" s="437"/>
      <c r="I31" s="22">
        <f t="shared" ref="I31:N31" si="18">SUM(I6:I30)</f>
        <v>5029450</v>
      </c>
      <c r="J31" s="19">
        <f t="shared" si="18"/>
        <v>789142</v>
      </c>
      <c r="K31" s="20">
        <f t="shared" si="18"/>
        <v>1705843</v>
      </c>
      <c r="L31" s="21">
        <f t="shared" si="18"/>
        <v>740555</v>
      </c>
      <c r="M31" s="20">
        <f t="shared" si="18"/>
        <v>740555</v>
      </c>
      <c r="N31" s="21">
        <f t="shared" si="18"/>
        <v>0</v>
      </c>
      <c r="O31" s="41">
        <f t="shared" si="1"/>
        <v>0</v>
      </c>
      <c r="P31" s="42">
        <f t="shared" ref="P31:AA31" si="19">SUM(P6:P30)</f>
        <v>388</v>
      </c>
      <c r="Q31" s="43">
        <f t="shared" si="19"/>
        <v>205</v>
      </c>
      <c r="R31" s="23">
        <f t="shared" si="19"/>
        <v>0</v>
      </c>
      <c r="S31" s="24">
        <f t="shared" si="19"/>
        <v>58</v>
      </c>
      <c r="T31" s="24">
        <f t="shared" si="19"/>
        <v>25</v>
      </c>
      <c r="U31" s="24">
        <f t="shared" si="19"/>
        <v>0</v>
      </c>
      <c r="V31" s="25">
        <f t="shared" si="19"/>
        <v>0</v>
      </c>
      <c r="W31" s="26">
        <f t="shared" si="19"/>
        <v>98</v>
      </c>
      <c r="X31" s="27">
        <f t="shared" si="19"/>
        <v>0</v>
      </c>
      <c r="Y31" s="27">
        <f t="shared" si="19"/>
        <v>0</v>
      </c>
      <c r="Z31" s="27">
        <f t="shared" si="19"/>
        <v>0</v>
      </c>
      <c r="AA31" s="27">
        <f t="shared" si="19"/>
        <v>24</v>
      </c>
      <c r="AB31" s="28">
        <f>AVERAGE(AB6:AB30)</f>
        <v>0.875</v>
      </c>
      <c r="AC31" s="4">
        <f>AVERAGE(AC6:AC30)</f>
        <v>0.64666666666666672</v>
      </c>
      <c r="AD31" s="4">
        <f>AVERAGE(AD6:AD30)</f>
        <v>0.64666666666666672</v>
      </c>
      <c r="AE31" s="29"/>
    </row>
    <row r="32" spans="1:32">
      <c r="T32" s="50" t="s">
        <v>130</v>
      </c>
    </row>
    <row r="33" spans="1:32" ht="18.75">
      <c r="A33" s="2"/>
      <c r="B33" s="2" t="s">
        <v>35</v>
      </c>
      <c r="C33" s="2"/>
      <c r="D33" s="2"/>
      <c r="E33" s="2"/>
      <c r="F33" s="2"/>
      <c r="G33" s="2"/>
      <c r="H33" s="3"/>
      <c r="I33" s="3"/>
      <c r="J33" s="2"/>
      <c r="K33" s="2"/>
      <c r="L33" s="2"/>
      <c r="M33" s="2"/>
      <c r="N33" s="2" t="s">
        <v>36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1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 t="s">
        <v>131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</row>
    <row r="41" spans="1:32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</row>
    <row r="42" spans="1:3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82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14.2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F45" s="50"/>
    </row>
    <row r="46" spans="1:32" ht="14.2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27">
      <c r="A48" s="59"/>
      <c r="B48" s="59"/>
      <c r="C48" s="59"/>
      <c r="D48" s="59"/>
      <c r="E48" s="59"/>
      <c r="F48" s="37"/>
      <c r="G48" s="37"/>
      <c r="H48" s="38"/>
      <c r="I48" s="38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F48" s="50"/>
    </row>
    <row r="49" spans="1:32" ht="29.25" customHeight="1">
      <c r="A49" s="60"/>
      <c r="B49" s="60"/>
      <c r="C49" s="61"/>
      <c r="D49" s="61"/>
      <c r="E49" s="61"/>
      <c r="F49" s="60"/>
      <c r="G49" s="60"/>
      <c r="H49" s="60"/>
      <c r="I49" s="60"/>
      <c r="J49" s="60"/>
      <c r="K49" s="60"/>
      <c r="L49" s="60"/>
      <c r="M49" s="61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29.25" customHeight="1">
      <c r="A54" s="60"/>
      <c r="B54" s="60"/>
      <c r="C54" s="62"/>
      <c r="D54" s="61"/>
      <c r="E54" s="61"/>
      <c r="F54" s="60"/>
      <c r="G54" s="60"/>
      <c r="H54" s="60"/>
      <c r="I54" s="60"/>
      <c r="J54" s="60"/>
      <c r="K54" s="60"/>
      <c r="L54" s="60"/>
      <c r="M54" s="62"/>
      <c r="N54" s="60"/>
      <c r="O54" s="60"/>
      <c r="P54" s="63"/>
      <c r="Q54" s="63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0"/>
      <c r="AC54" s="60"/>
      <c r="AD54" s="60"/>
      <c r="AF54" s="50"/>
    </row>
    <row r="55" spans="1:32" ht="29.25" customHeight="1">
      <c r="A55" s="60"/>
      <c r="B55" s="60"/>
      <c r="C55" s="62"/>
      <c r="D55" s="61"/>
      <c r="E55" s="61"/>
      <c r="F55" s="60"/>
      <c r="G55" s="60"/>
      <c r="H55" s="60"/>
      <c r="I55" s="60"/>
      <c r="J55" s="60"/>
      <c r="K55" s="60"/>
      <c r="L55" s="60"/>
      <c r="M55" s="62"/>
      <c r="N55" s="60"/>
      <c r="O55" s="60"/>
      <c r="P55" s="63"/>
      <c r="Q55" s="63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0"/>
      <c r="AC55" s="60"/>
      <c r="AD55" s="60"/>
      <c r="AF55" s="50"/>
    </row>
    <row r="56" spans="1:32" ht="29.25" customHeight="1">
      <c r="A56" s="60"/>
      <c r="B56" s="60"/>
      <c r="C56" s="62"/>
      <c r="D56" s="61"/>
      <c r="E56" s="61"/>
      <c r="F56" s="60"/>
      <c r="G56" s="60"/>
      <c r="H56" s="60"/>
      <c r="I56" s="60"/>
      <c r="J56" s="60"/>
      <c r="K56" s="60"/>
      <c r="L56" s="60"/>
      <c r="M56" s="62"/>
      <c r="N56" s="60"/>
      <c r="O56" s="60"/>
      <c r="P56" s="63"/>
      <c r="Q56" s="63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0"/>
      <c r="AC56" s="60"/>
      <c r="AD56" s="60"/>
      <c r="AF56" s="50"/>
    </row>
    <row r="57" spans="1:32" ht="14.25" customHeigh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F57" s="50"/>
    </row>
    <row r="58" spans="1:32" ht="36" thickBot="1">
      <c r="A58" s="438" t="s">
        <v>45</v>
      </c>
      <c r="B58" s="438"/>
      <c r="C58" s="438"/>
      <c r="D58" s="438"/>
      <c r="E58" s="438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F58" s="50"/>
    </row>
    <row r="59" spans="1:32" ht="26.25" thickBot="1">
      <c r="A59" s="439" t="s">
        <v>238</v>
      </c>
      <c r="B59" s="440"/>
      <c r="C59" s="440"/>
      <c r="D59" s="440"/>
      <c r="E59" s="440"/>
      <c r="F59" s="440"/>
      <c r="G59" s="440"/>
      <c r="H59" s="440"/>
      <c r="I59" s="440"/>
      <c r="J59" s="440"/>
      <c r="K59" s="440"/>
      <c r="L59" s="440"/>
      <c r="M59" s="441"/>
      <c r="N59" s="442" t="s">
        <v>258</v>
      </c>
      <c r="O59" s="443"/>
      <c r="P59" s="443"/>
      <c r="Q59" s="443"/>
      <c r="R59" s="443"/>
      <c r="S59" s="443"/>
      <c r="T59" s="443"/>
      <c r="U59" s="443"/>
      <c r="V59" s="443"/>
      <c r="W59" s="443"/>
      <c r="X59" s="443"/>
      <c r="Y59" s="443"/>
      <c r="Z59" s="443"/>
      <c r="AA59" s="443"/>
      <c r="AB59" s="443"/>
      <c r="AC59" s="443"/>
      <c r="AD59" s="444"/>
    </row>
    <row r="60" spans="1:32" ht="27" customHeight="1">
      <c r="A60" s="445" t="s">
        <v>2</v>
      </c>
      <c r="B60" s="446"/>
      <c r="C60" s="132" t="s">
        <v>46</v>
      </c>
      <c r="D60" s="132" t="s">
        <v>47</v>
      </c>
      <c r="E60" s="132" t="s">
        <v>107</v>
      </c>
      <c r="F60" s="447" t="s">
        <v>106</v>
      </c>
      <c r="G60" s="448"/>
      <c r="H60" s="448"/>
      <c r="I60" s="448"/>
      <c r="J60" s="448"/>
      <c r="K60" s="448"/>
      <c r="L60" s="448"/>
      <c r="M60" s="449"/>
      <c r="N60" s="67" t="s">
        <v>110</v>
      </c>
      <c r="O60" s="132" t="s">
        <v>46</v>
      </c>
      <c r="P60" s="447" t="s">
        <v>47</v>
      </c>
      <c r="Q60" s="450"/>
      <c r="R60" s="447" t="s">
        <v>38</v>
      </c>
      <c r="S60" s="448"/>
      <c r="T60" s="448"/>
      <c r="U60" s="450"/>
      <c r="V60" s="447" t="s">
        <v>48</v>
      </c>
      <c r="W60" s="448"/>
      <c r="X60" s="448"/>
      <c r="Y60" s="448"/>
      <c r="Z60" s="448"/>
      <c r="AA60" s="448"/>
      <c r="AB60" s="448"/>
      <c r="AC60" s="448"/>
      <c r="AD60" s="449"/>
    </row>
    <row r="61" spans="1:32" ht="27" customHeight="1">
      <c r="A61" s="429" t="s">
        <v>112</v>
      </c>
      <c r="B61" s="420"/>
      <c r="C61" s="134" t="s">
        <v>143</v>
      </c>
      <c r="D61" s="134" t="s">
        <v>239</v>
      </c>
      <c r="E61" s="134" t="s">
        <v>232</v>
      </c>
      <c r="F61" s="417" t="s">
        <v>122</v>
      </c>
      <c r="G61" s="418"/>
      <c r="H61" s="418"/>
      <c r="I61" s="418"/>
      <c r="J61" s="418"/>
      <c r="K61" s="418"/>
      <c r="L61" s="418"/>
      <c r="M61" s="419"/>
      <c r="N61" s="133" t="s">
        <v>127</v>
      </c>
      <c r="O61" s="140" t="s">
        <v>151</v>
      </c>
      <c r="P61" s="430" t="s">
        <v>115</v>
      </c>
      <c r="Q61" s="431"/>
      <c r="R61" s="430" t="s">
        <v>259</v>
      </c>
      <c r="S61" s="432"/>
      <c r="T61" s="432"/>
      <c r="U61" s="431"/>
      <c r="V61" s="417" t="s">
        <v>122</v>
      </c>
      <c r="W61" s="418"/>
      <c r="X61" s="418"/>
      <c r="Y61" s="418"/>
      <c r="Z61" s="418"/>
      <c r="AA61" s="418"/>
      <c r="AB61" s="418"/>
      <c r="AC61" s="418"/>
      <c r="AD61" s="419"/>
    </row>
    <row r="62" spans="1:32" ht="27" customHeight="1">
      <c r="A62" s="429" t="s">
        <v>116</v>
      </c>
      <c r="B62" s="420"/>
      <c r="C62" s="134" t="s">
        <v>240</v>
      </c>
      <c r="D62" s="134" t="s">
        <v>129</v>
      </c>
      <c r="E62" s="134" t="s">
        <v>241</v>
      </c>
      <c r="F62" s="417" t="s">
        <v>242</v>
      </c>
      <c r="G62" s="418"/>
      <c r="H62" s="418"/>
      <c r="I62" s="418"/>
      <c r="J62" s="418"/>
      <c r="K62" s="418"/>
      <c r="L62" s="418"/>
      <c r="M62" s="419"/>
      <c r="N62" s="133" t="s">
        <v>127</v>
      </c>
      <c r="O62" s="140" t="s">
        <v>204</v>
      </c>
      <c r="P62" s="430" t="s">
        <v>144</v>
      </c>
      <c r="Q62" s="431"/>
      <c r="R62" s="430" t="s">
        <v>260</v>
      </c>
      <c r="S62" s="432"/>
      <c r="T62" s="432"/>
      <c r="U62" s="431"/>
      <c r="V62" s="417" t="s">
        <v>122</v>
      </c>
      <c r="W62" s="418"/>
      <c r="X62" s="418"/>
      <c r="Y62" s="418"/>
      <c r="Z62" s="418"/>
      <c r="AA62" s="418"/>
      <c r="AB62" s="418"/>
      <c r="AC62" s="418"/>
      <c r="AD62" s="419"/>
    </row>
    <row r="63" spans="1:32" ht="27" customHeight="1">
      <c r="A63" s="429" t="s">
        <v>112</v>
      </c>
      <c r="B63" s="420"/>
      <c r="C63" s="134" t="s">
        <v>245</v>
      </c>
      <c r="D63" s="134" t="s">
        <v>246</v>
      </c>
      <c r="E63" s="134" t="s">
        <v>243</v>
      </c>
      <c r="F63" s="417" t="s">
        <v>244</v>
      </c>
      <c r="G63" s="418"/>
      <c r="H63" s="418"/>
      <c r="I63" s="418"/>
      <c r="J63" s="418"/>
      <c r="K63" s="418"/>
      <c r="L63" s="418"/>
      <c r="M63" s="419"/>
      <c r="N63" s="133" t="s">
        <v>112</v>
      </c>
      <c r="O63" s="140" t="s">
        <v>253</v>
      </c>
      <c r="P63" s="430" t="s">
        <v>115</v>
      </c>
      <c r="Q63" s="431"/>
      <c r="R63" s="430" t="s">
        <v>261</v>
      </c>
      <c r="S63" s="432"/>
      <c r="T63" s="432"/>
      <c r="U63" s="431"/>
      <c r="V63" s="417" t="s">
        <v>122</v>
      </c>
      <c r="W63" s="418"/>
      <c r="X63" s="418"/>
      <c r="Y63" s="418"/>
      <c r="Z63" s="418"/>
      <c r="AA63" s="418"/>
      <c r="AB63" s="418"/>
      <c r="AC63" s="418"/>
      <c r="AD63" s="419"/>
    </row>
    <row r="64" spans="1:32" ht="27" customHeight="1">
      <c r="A64" s="429" t="s">
        <v>127</v>
      </c>
      <c r="B64" s="420"/>
      <c r="C64" s="134" t="s">
        <v>247</v>
      </c>
      <c r="D64" s="134" t="s">
        <v>248</v>
      </c>
      <c r="E64" s="134" t="s">
        <v>234</v>
      </c>
      <c r="F64" s="417" t="s">
        <v>122</v>
      </c>
      <c r="G64" s="418"/>
      <c r="H64" s="418"/>
      <c r="I64" s="418"/>
      <c r="J64" s="418"/>
      <c r="K64" s="418"/>
      <c r="L64" s="418"/>
      <c r="M64" s="419"/>
      <c r="N64" s="133" t="s">
        <v>127</v>
      </c>
      <c r="O64" s="140" t="s">
        <v>250</v>
      </c>
      <c r="P64" s="430"/>
      <c r="Q64" s="431"/>
      <c r="R64" s="430" t="s">
        <v>262</v>
      </c>
      <c r="S64" s="432"/>
      <c r="T64" s="432"/>
      <c r="U64" s="431"/>
      <c r="V64" s="417" t="s">
        <v>122</v>
      </c>
      <c r="W64" s="418"/>
      <c r="X64" s="418"/>
      <c r="Y64" s="418"/>
      <c r="Z64" s="418"/>
      <c r="AA64" s="418"/>
      <c r="AB64" s="418"/>
      <c r="AC64" s="418"/>
      <c r="AD64" s="419"/>
    </row>
    <row r="65" spans="1:32" ht="27" customHeight="1">
      <c r="A65" s="429" t="s">
        <v>127</v>
      </c>
      <c r="B65" s="420"/>
      <c r="C65" s="134" t="s">
        <v>152</v>
      </c>
      <c r="D65" s="134"/>
      <c r="E65" s="134" t="s">
        <v>176</v>
      </c>
      <c r="F65" s="417" t="s">
        <v>244</v>
      </c>
      <c r="G65" s="418"/>
      <c r="H65" s="418"/>
      <c r="I65" s="418"/>
      <c r="J65" s="418"/>
      <c r="K65" s="418"/>
      <c r="L65" s="418"/>
      <c r="M65" s="419"/>
      <c r="N65" s="133" t="s">
        <v>112</v>
      </c>
      <c r="O65" s="140" t="s">
        <v>265</v>
      </c>
      <c r="P65" s="430" t="s">
        <v>266</v>
      </c>
      <c r="Q65" s="431"/>
      <c r="R65" s="430" t="s">
        <v>263</v>
      </c>
      <c r="S65" s="432"/>
      <c r="T65" s="432"/>
      <c r="U65" s="431"/>
      <c r="V65" s="417" t="s">
        <v>264</v>
      </c>
      <c r="W65" s="418"/>
      <c r="X65" s="418"/>
      <c r="Y65" s="418"/>
      <c r="Z65" s="418"/>
      <c r="AA65" s="418"/>
      <c r="AB65" s="418"/>
      <c r="AC65" s="418"/>
      <c r="AD65" s="419"/>
    </row>
    <row r="66" spans="1:32" ht="27" customHeight="1">
      <c r="A66" s="429" t="s">
        <v>127</v>
      </c>
      <c r="B66" s="420"/>
      <c r="C66" s="134" t="s">
        <v>152</v>
      </c>
      <c r="D66" s="134"/>
      <c r="E66" s="151" t="s">
        <v>249</v>
      </c>
      <c r="F66" s="417" t="s">
        <v>122</v>
      </c>
      <c r="G66" s="418"/>
      <c r="H66" s="418"/>
      <c r="I66" s="418"/>
      <c r="J66" s="418"/>
      <c r="K66" s="418"/>
      <c r="L66" s="418"/>
      <c r="M66" s="419"/>
      <c r="N66" s="133"/>
      <c r="O66" s="140"/>
      <c r="P66" s="430"/>
      <c r="Q66" s="431"/>
      <c r="R66" s="430"/>
      <c r="S66" s="432"/>
      <c r="T66" s="432"/>
      <c r="U66" s="431"/>
      <c r="V66" s="417"/>
      <c r="W66" s="418"/>
      <c r="X66" s="418"/>
      <c r="Y66" s="418"/>
      <c r="Z66" s="418"/>
      <c r="AA66" s="418"/>
      <c r="AB66" s="418"/>
      <c r="AC66" s="418"/>
      <c r="AD66" s="419"/>
    </row>
    <row r="67" spans="1:32" ht="27" customHeight="1">
      <c r="A67" s="429" t="s">
        <v>127</v>
      </c>
      <c r="B67" s="420"/>
      <c r="C67" s="134" t="s">
        <v>250</v>
      </c>
      <c r="D67" s="134"/>
      <c r="E67" s="151" t="s">
        <v>251</v>
      </c>
      <c r="F67" s="417" t="s">
        <v>122</v>
      </c>
      <c r="G67" s="418"/>
      <c r="H67" s="418"/>
      <c r="I67" s="418"/>
      <c r="J67" s="418"/>
      <c r="K67" s="418"/>
      <c r="L67" s="418"/>
      <c r="M67" s="419"/>
      <c r="N67" s="133"/>
      <c r="O67" s="140"/>
      <c r="P67" s="430"/>
      <c r="Q67" s="431"/>
      <c r="R67" s="430"/>
      <c r="S67" s="432"/>
      <c r="T67" s="432"/>
      <c r="U67" s="431"/>
      <c r="V67" s="417"/>
      <c r="W67" s="418"/>
      <c r="X67" s="418"/>
      <c r="Y67" s="418"/>
      <c r="Z67" s="418"/>
      <c r="AA67" s="418"/>
      <c r="AB67" s="418"/>
      <c r="AC67" s="418"/>
      <c r="AD67" s="419"/>
    </row>
    <row r="68" spans="1:32" ht="27" customHeight="1">
      <c r="A68" s="415" t="s">
        <v>127</v>
      </c>
      <c r="B68" s="416"/>
      <c r="C68" s="137" t="s">
        <v>253</v>
      </c>
      <c r="D68" s="137" t="s">
        <v>254</v>
      </c>
      <c r="E68" s="134" t="s">
        <v>252</v>
      </c>
      <c r="F68" s="417" t="s">
        <v>153</v>
      </c>
      <c r="G68" s="418"/>
      <c r="H68" s="418"/>
      <c r="I68" s="418"/>
      <c r="J68" s="418"/>
      <c r="K68" s="418"/>
      <c r="L68" s="418"/>
      <c r="M68" s="419"/>
      <c r="N68" s="133"/>
      <c r="O68" s="140"/>
      <c r="P68" s="430"/>
      <c r="Q68" s="431"/>
      <c r="R68" s="430"/>
      <c r="S68" s="432"/>
      <c r="T68" s="432"/>
      <c r="U68" s="431"/>
      <c r="V68" s="417"/>
      <c r="W68" s="418"/>
      <c r="X68" s="418"/>
      <c r="Y68" s="418"/>
      <c r="Z68" s="418"/>
      <c r="AA68" s="418"/>
      <c r="AB68" s="418"/>
      <c r="AC68" s="418"/>
      <c r="AD68" s="419"/>
    </row>
    <row r="69" spans="1:32" ht="27" customHeight="1">
      <c r="A69" s="415" t="s">
        <v>116</v>
      </c>
      <c r="B69" s="416"/>
      <c r="C69" s="137" t="s">
        <v>257</v>
      </c>
      <c r="D69" s="137" t="s">
        <v>254</v>
      </c>
      <c r="E69" s="134" t="s">
        <v>255</v>
      </c>
      <c r="F69" s="417" t="s">
        <v>256</v>
      </c>
      <c r="G69" s="418"/>
      <c r="H69" s="418"/>
      <c r="I69" s="418"/>
      <c r="J69" s="418"/>
      <c r="K69" s="418"/>
      <c r="L69" s="418"/>
      <c r="M69" s="419"/>
      <c r="N69" s="133"/>
      <c r="O69" s="140"/>
      <c r="P69" s="420"/>
      <c r="Q69" s="420"/>
      <c r="R69" s="420"/>
      <c r="S69" s="420"/>
      <c r="T69" s="420"/>
      <c r="U69" s="420"/>
      <c r="V69" s="417"/>
      <c r="W69" s="418"/>
      <c r="X69" s="418"/>
      <c r="Y69" s="418"/>
      <c r="Z69" s="418"/>
      <c r="AA69" s="418"/>
      <c r="AB69" s="418"/>
      <c r="AC69" s="418"/>
      <c r="AD69" s="419"/>
      <c r="AF69" s="81">
        <f>8*3000</f>
        <v>24000</v>
      </c>
    </row>
    <row r="70" spans="1:32" ht="27" customHeight="1" thickBot="1">
      <c r="A70" s="421"/>
      <c r="B70" s="422"/>
      <c r="C70" s="135"/>
      <c r="D70" s="136"/>
      <c r="E70" s="135"/>
      <c r="F70" s="423"/>
      <c r="G70" s="424"/>
      <c r="H70" s="424"/>
      <c r="I70" s="424"/>
      <c r="J70" s="424"/>
      <c r="K70" s="424"/>
      <c r="L70" s="424"/>
      <c r="M70" s="425"/>
      <c r="N70" s="105"/>
      <c r="O70" s="97"/>
      <c r="P70" s="426"/>
      <c r="Q70" s="426"/>
      <c r="R70" s="426"/>
      <c r="S70" s="426"/>
      <c r="T70" s="426"/>
      <c r="U70" s="426"/>
      <c r="V70" s="427"/>
      <c r="W70" s="427"/>
      <c r="X70" s="427"/>
      <c r="Y70" s="427"/>
      <c r="Z70" s="427"/>
      <c r="AA70" s="427"/>
      <c r="AB70" s="427"/>
      <c r="AC70" s="427"/>
      <c r="AD70" s="428"/>
      <c r="AF70" s="81">
        <f>16*3000</f>
        <v>48000</v>
      </c>
    </row>
    <row r="71" spans="1:32" ht="27.75" thickBot="1">
      <c r="A71" s="413" t="s">
        <v>267</v>
      </c>
      <c r="B71" s="413"/>
      <c r="C71" s="413"/>
      <c r="D71" s="413"/>
      <c r="E71" s="413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81">
        <v>24000</v>
      </c>
    </row>
    <row r="72" spans="1:32" ht="29.25" customHeight="1" thickBot="1">
      <c r="A72" s="414" t="s">
        <v>111</v>
      </c>
      <c r="B72" s="411"/>
      <c r="C72" s="138" t="s">
        <v>2</v>
      </c>
      <c r="D72" s="138" t="s">
        <v>37</v>
      </c>
      <c r="E72" s="138" t="s">
        <v>3</v>
      </c>
      <c r="F72" s="411" t="s">
        <v>109</v>
      </c>
      <c r="G72" s="411"/>
      <c r="H72" s="411"/>
      <c r="I72" s="411"/>
      <c r="J72" s="411"/>
      <c r="K72" s="411" t="s">
        <v>39</v>
      </c>
      <c r="L72" s="411"/>
      <c r="M72" s="138" t="s">
        <v>40</v>
      </c>
      <c r="N72" s="411" t="s">
        <v>41</v>
      </c>
      <c r="O72" s="411"/>
      <c r="P72" s="408" t="s">
        <v>42</v>
      </c>
      <c r="Q72" s="410"/>
      <c r="R72" s="408" t="s">
        <v>43</v>
      </c>
      <c r="S72" s="409"/>
      <c r="T72" s="409"/>
      <c r="U72" s="409"/>
      <c r="V72" s="409"/>
      <c r="W72" s="409"/>
      <c r="X72" s="409"/>
      <c r="Y72" s="409"/>
      <c r="Z72" s="409"/>
      <c r="AA72" s="410"/>
      <c r="AB72" s="411" t="s">
        <v>44</v>
      </c>
      <c r="AC72" s="411"/>
      <c r="AD72" s="412"/>
      <c r="AF72" s="81">
        <f>SUM(AF69:AF71)</f>
        <v>96000</v>
      </c>
    </row>
    <row r="73" spans="1:32" ht="25.5" customHeight="1">
      <c r="A73" s="399">
        <v>1</v>
      </c>
      <c r="B73" s="400"/>
      <c r="C73" s="98" t="s">
        <v>112</v>
      </c>
      <c r="D73" s="144"/>
      <c r="E73" s="147" t="s">
        <v>115</v>
      </c>
      <c r="F73" s="401" t="s">
        <v>224</v>
      </c>
      <c r="G73" s="391"/>
      <c r="H73" s="391"/>
      <c r="I73" s="391"/>
      <c r="J73" s="391"/>
      <c r="K73" s="391" t="s">
        <v>221</v>
      </c>
      <c r="L73" s="391"/>
      <c r="M73" s="51" t="s">
        <v>222</v>
      </c>
      <c r="N73" s="402" t="s">
        <v>151</v>
      </c>
      <c r="O73" s="402"/>
      <c r="P73" s="403">
        <v>50</v>
      </c>
      <c r="Q73" s="403"/>
      <c r="R73" s="404" t="s">
        <v>268</v>
      </c>
      <c r="S73" s="404"/>
      <c r="T73" s="404"/>
      <c r="U73" s="404"/>
      <c r="V73" s="404"/>
      <c r="W73" s="404"/>
      <c r="X73" s="404"/>
      <c r="Y73" s="404"/>
      <c r="Z73" s="404"/>
      <c r="AA73" s="404"/>
      <c r="AB73" s="391"/>
      <c r="AC73" s="391"/>
      <c r="AD73" s="392"/>
      <c r="AF73" s="50"/>
    </row>
    <row r="74" spans="1:32" ht="25.5" customHeight="1">
      <c r="A74" s="399">
        <v>2</v>
      </c>
      <c r="B74" s="400"/>
      <c r="C74" s="98" t="s">
        <v>220</v>
      </c>
      <c r="D74" s="142"/>
      <c r="E74" s="139" t="s">
        <v>121</v>
      </c>
      <c r="F74" s="401" t="s">
        <v>269</v>
      </c>
      <c r="G74" s="391"/>
      <c r="H74" s="391"/>
      <c r="I74" s="391"/>
      <c r="J74" s="391"/>
      <c r="K74" s="391" t="s">
        <v>128</v>
      </c>
      <c r="L74" s="391"/>
      <c r="M74" s="51" t="s">
        <v>222</v>
      </c>
      <c r="N74" s="402" t="s">
        <v>223</v>
      </c>
      <c r="O74" s="402"/>
      <c r="P74" s="403">
        <v>50</v>
      </c>
      <c r="Q74" s="403"/>
      <c r="R74" s="404"/>
      <c r="S74" s="404"/>
      <c r="T74" s="404"/>
      <c r="U74" s="404"/>
      <c r="V74" s="404"/>
      <c r="W74" s="404"/>
      <c r="X74" s="404"/>
      <c r="Y74" s="404"/>
      <c r="Z74" s="404"/>
      <c r="AA74" s="404"/>
      <c r="AB74" s="391"/>
      <c r="AC74" s="391"/>
      <c r="AD74" s="392"/>
      <c r="AF74" s="50"/>
    </row>
    <row r="75" spans="1:32" ht="25.5" customHeight="1">
      <c r="A75" s="399">
        <v>3</v>
      </c>
      <c r="B75" s="400"/>
      <c r="C75" s="98" t="s">
        <v>127</v>
      </c>
      <c r="D75" s="142"/>
      <c r="E75" s="139" t="s">
        <v>271</v>
      </c>
      <c r="F75" s="401" t="s">
        <v>270</v>
      </c>
      <c r="G75" s="391"/>
      <c r="H75" s="391"/>
      <c r="I75" s="391"/>
      <c r="J75" s="391"/>
      <c r="K75" s="391" t="s">
        <v>156</v>
      </c>
      <c r="L75" s="391"/>
      <c r="M75" s="51" t="s">
        <v>272</v>
      </c>
      <c r="N75" s="402" t="s">
        <v>223</v>
      </c>
      <c r="O75" s="402"/>
      <c r="P75" s="403">
        <v>50</v>
      </c>
      <c r="Q75" s="403"/>
      <c r="R75" s="404"/>
      <c r="S75" s="404"/>
      <c r="T75" s="404"/>
      <c r="U75" s="404"/>
      <c r="V75" s="404"/>
      <c r="W75" s="404"/>
      <c r="X75" s="404"/>
      <c r="Y75" s="404"/>
      <c r="Z75" s="404"/>
      <c r="AA75" s="404"/>
      <c r="AB75" s="391"/>
      <c r="AC75" s="391"/>
      <c r="AD75" s="392"/>
      <c r="AF75" s="50"/>
    </row>
    <row r="76" spans="1:32" ht="25.5" customHeight="1">
      <c r="A76" s="399">
        <v>4</v>
      </c>
      <c r="B76" s="400"/>
      <c r="C76" s="98" t="s">
        <v>116</v>
      </c>
      <c r="D76" s="142"/>
      <c r="E76" s="139" t="s">
        <v>266</v>
      </c>
      <c r="F76" s="405" t="s">
        <v>273</v>
      </c>
      <c r="G76" s="406"/>
      <c r="H76" s="406"/>
      <c r="I76" s="406"/>
      <c r="J76" s="407"/>
      <c r="K76" s="391" t="s">
        <v>162</v>
      </c>
      <c r="L76" s="391"/>
      <c r="M76" s="51" t="s">
        <v>222</v>
      </c>
      <c r="N76" s="402" t="s">
        <v>227</v>
      </c>
      <c r="O76" s="402"/>
      <c r="P76" s="403">
        <v>50</v>
      </c>
      <c r="Q76" s="403"/>
      <c r="R76" s="404"/>
      <c r="S76" s="404"/>
      <c r="T76" s="404"/>
      <c r="U76" s="404"/>
      <c r="V76" s="404"/>
      <c r="W76" s="404"/>
      <c r="X76" s="404"/>
      <c r="Y76" s="404"/>
      <c r="Z76" s="404"/>
      <c r="AA76" s="404"/>
      <c r="AB76" s="391"/>
      <c r="AC76" s="391"/>
      <c r="AD76" s="392"/>
      <c r="AF76" s="50"/>
    </row>
    <row r="77" spans="1:32" ht="25.5" customHeight="1">
      <c r="A77" s="399">
        <v>5</v>
      </c>
      <c r="B77" s="400"/>
      <c r="C77" s="98" t="s">
        <v>127</v>
      </c>
      <c r="D77" s="142"/>
      <c r="E77" s="139" t="s">
        <v>278</v>
      </c>
      <c r="F77" s="405" t="s">
        <v>274</v>
      </c>
      <c r="G77" s="406"/>
      <c r="H77" s="406"/>
      <c r="I77" s="406"/>
      <c r="J77" s="407"/>
      <c r="K77" s="391" t="s">
        <v>279</v>
      </c>
      <c r="L77" s="391"/>
      <c r="M77" s="51" t="s">
        <v>222</v>
      </c>
      <c r="N77" s="402" t="s">
        <v>204</v>
      </c>
      <c r="O77" s="402"/>
      <c r="P77" s="403">
        <v>100</v>
      </c>
      <c r="Q77" s="403"/>
      <c r="R77" s="404"/>
      <c r="S77" s="404"/>
      <c r="T77" s="404"/>
      <c r="U77" s="404"/>
      <c r="V77" s="404"/>
      <c r="W77" s="404"/>
      <c r="X77" s="404"/>
      <c r="Y77" s="404"/>
      <c r="Z77" s="404"/>
      <c r="AA77" s="404"/>
      <c r="AB77" s="391"/>
      <c r="AC77" s="391"/>
      <c r="AD77" s="392"/>
      <c r="AF77" s="50"/>
    </row>
    <row r="78" spans="1:32" ht="25.5" customHeight="1">
      <c r="A78" s="399">
        <v>6</v>
      </c>
      <c r="B78" s="400"/>
      <c r="C78" s="98" t="s">
        <v>127</v>
      </c>
      <c r="D78" s="142"/>
      <c r="E78" s="147" t="s">
        <v>278</v>
      </c>
      <c r="F78" s="405" t="s">
        <v>275</v>
      </c>
      <c r="G78" s="406"/>
      <c r="H78" s="406"/>
      <c r="I78" s="406"/>
      <c r="J78" s="407"/>
      <c r="K78" s="391" t="s">
        <v>279</v>
      </c>
      <c r="L78" s="391"/>
      <c r="M78" s="51" t="s">
        <v>222</v>
      </c>
      <c r="N78" s="402" t="s">
        <v>204</v>
      </c>
      <c r="O78" s="402"/>
      <c r="P78" s="403">
        <v>100</v>
      </c>
      <c r="Q78" s="403"/>
      <c r="R78" s="404"/>
      <c r="S78" s="404"/>
      <c r="T78" s="404"/>
      <c r="U78" s="404"/>
      <c r="V78" s="404"/>
      <c r="W78" s="404"/>
      <c r="X78" s="404"/>
      <c r="Y78" s="404"/>
      <c r="Z78" s="404"/>
      <c r="AA78" s="404"/>
      <c r="AB78" s="391"/>
      <c r="AC78" s="391"/>
      <c r="AD78" s="392"/>
      <c r="AF78" s="50"/>
    </row>
    <row r="79" spans="1:32" ht="25.5" customHeight="1">
      <c r="A79" s="399">
        <v>7</v>
      </c>
      <c r="B79" s="400"/>
      <c r="C79" s="98" t="s">
        <v>127</v>
      </c>
      <c r="D79" s="142"/>
      <c r="E79" s="147" t="s">
        <v>278</v>
      </c>
      <c r="F79" s="405" t="s">
        <v>276</v>
      </c>
      <c r="G79" s="406"/>
      <c r="H79" s="406"/>
      <c r="I79" s="406"/>
      <c r="J79" s="407"/>
      <c r="K79" s="391" t="s">
        <v>279</v>
      </c>
      <c r="L79" s="391"/>
      <c r="M79" s="51" t="s">
        <v>222</v>
      </c>
      <c r="N79" s="402" t="s">
        <v>204</v>
      </c>
      <c r="O79" s="402"/>
      <c r="P79" s="403">
        <v>100</v>
      </c>
      <c r="Q79" s="403"/>
      <c r="R79" s="404"/>
      <c r="S79" s="404"/>
      <c r="T79" s="404"/>
      <c r="U79" s="404"/>
      <c r="V79" s="404"/>
      <c r="W79" s="404"/>
      <c r="X79" s="404"/>
      <c r="Y79" s="404"/>
      <c r="Z79" s="404"/>
      <c r="AA79" s="404"/>
      <c r="AB79" s="391"/>
      <c r="AC79" s="391"/>
      <c r="AD79" s="392"/>
      <c r="AF79" s="50"/>
    </row>
    <row r="80" spans="1:32" ht="25.5" customHeight="1">
      <c r="A80" s="399">
        <v>8</v>
      </c>
      <c r="B80" s="400"/>
      <c r="C80" s="98" t="s">
        <v>112</v>
      </c>
      <c r="D80" s="142"/>
      <c r="E80" s="139" t="s">
        <v>266</v>
      </c>
      <c r="F80" s="401" t="s">
        <v>277</v>
      </c>
      <c r="G80" s="391"/>
      <c r="H80" s="391"/>
      <c r="I80" s="391"/>
      <c r="J80" s="391"/>
      <c r="K80" s="391" t="s">
        <v>280</v>
      </c>
      <c r="L80" s="391"/>
      <c r="M80" s="51" t="s">
        <v>222</v>
      </c>
      <c r="N80" s="402" t="s">
        <v>204</v>
      </c>
      <c r="O80" s="402"/>
      <c r="P80" s="403">
        <v>50</v>
      </c>
      <c r="Q80" s="403"/>
      <c r="R80" s="404"/>
      <c r="S80" s="404"/>
      <c r="T80" s="404"/>
      <c r="U80" s="404"/>
      <c r="V80" s="404"/>
      <c r="W80" s="404"/>
      <c r="X80" s="404"/>
      <c r="Y80" s="404"/>
      <c r="Z80" s="404"/>
      <c r="AA80" s="404"/>
      <c r="AB80" s="391"/>
      <c r="AC80" s="391"/>
      <c r="AD80" s="392"/>
      <c r="AF80" s="50"/>
    </row>
    <row r="81" spans="1:32" ht="25.5" customHeight="1">
      <c r="A81" s="399">
        <v>9</v>
      </c>
      <c r="B81" s="400"/>
      <c r="C81" s="98"/>
      <c r="D81" s="142"/>
      <c r="E81" s="139"/>
      <c r="F81" s="401"/>
      <c r="G81" s="391"/>
      <c r="H81" s="391"/>
      <c r="I81" s="391"/>
      <c r="J81" s="391"/>
      <c r="K81" s="391"/>
      <c r="L81" s="391"/>
      <c r="M81" s="51"/>
      <c r="N81" s="402"/>
      <c r="O81" s="402"/>
      <c r="P81" s="403"/>
      <c r="Q81" s="403"/>
      <c r="R81" s="404"/>
      <c r="S81" s="404"/>
      <c r="T81" s="404"/>
      <c r="U81" s="404"/>
      <c r="V81" s="404"/>
      <c r="W81" s="404"/>
      <c r="X81" s="404"/>
      <c r="Y81" s="404"/>
      <c r="Z81" s="404"/>
      <c r="AA81" s="404"/>
      <c r="AB81" s="391"/>
      <c r="AC81" s="391"/>
      <c r="AD81" s="392"/>
      <c r="AF81" s="50"/>
    </row>
    <row r="82" spans="1:32" ht="25.5" customHeight="1">
      <c r="A82" s="399">
        <v>10</v>
      </c>
      <c r="B82" s="400"/>
      <c r="C82" s="98"/>
      <c r="D82" s="142"/>
      <c r="E82" s="139"/>
      <c r="F82" s="401"/>
      <c r="G82" s="391"/>
      <c r="H82" s="391"/>
      <c r="I82" s="391"/>
      <c r="J82" s="391"/>
      <c r="K82" s="391"/>
      <c r="L82" s="391"/>
      <c r="M82" s="51"/>
      <c r="N82" s="402"/>
      <c r="O82" s="402"/>
      <c r="P82" s="403"/>
      <c r="Q82" s="403"/>
      <c r="R82" s="404"/>
      <c r="S82" s="404"/>
      <c r="T82" s="404"/>
      <c r="U82" s="404"/>
      <c r="V82" s="404"/>
      <c r="W82" s="404"/>
      <c r="X82" s="404"/>
      <c r="Y82" s="404"/>
      <c r="Z82" s="404"/>
      <c r="AA82" s="404"/>
      <c r="AB82" s="391"/>
      <c r="AC82" s="391"/>
      <c r="AD82" s="392"/>
      <c r="AF82" s="50"/>
    </row>
    <row r="83" spans="1:32" ht="26.25" customHeight="1" thickBot="1">
      <c r="A83" s="371" t="s">
        <v>281</v>
      </c>
      <c r="B83" s="371"/>
      <c r="C83" s="371"/>
      <c r="D83" s="371"/>
      <c r="E83" s="371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23.25" thickBot="1">
      <c r="A84" s="393" t="s">
        <v>111</v>
      </c>
      <c r="B84" s="394"/>
      <c r="C84" s="141" t="s">
        <v>2</v>
      </c>
      <c r="D84" s="141" t="s">
        <v>37</v>
      </c>
      <c r="E84" s="141" t="s">
        <v>120</v>
      </c>
      <c r="F84" s="373" t="s">
        <v>38</v>
      </c>
      <c r="G84" s="373"/>
      <c r="H84" s="373"/>
      <c r="I84" s="373"/>
      <c r="J84" s="373"/>
      <c r="K84" s="395" t="s">
        <v>58</v>
      </c>
      <c r="L84" s="396"/>
      <c r="M84" s="396"/>
      <c r="N84" s="396"/>
      <c r="O84" s="396"/>
      <c r="P84" s="396"/>
      <c r="Q84" s="396"/>
      <c r="R84" s="396"/>
      <c r="S84" s="397"/>
      <c r="T84" s="373" t="s">
        <v>49</v>
      </c>
      <c r="U84" s="373"/>
      <c r="V84" s="395" t="s">
        <v>50</v>
      </c>
      <c r="W84" s="397"/>
      <c r="X84" s="396" t="s">
        <v>51</v>
      </c>
      <c r="Y84" s="396"/>
      <c r="Z84" s="396"/>
      <c r="AA84" s="396"/>
      <c r="AB84" s="396"/>
      <c r="AC84" s="396"/>
      <c r="AD84" s="398"/>
      <c r="AF84" s="50"/>
    </row>
    <row r="85" spans="1:32" ht="33.75" customHeight="1">
      <c r="A85" s="365">
        <v>1</v>
      </c>
      <c r="B85" s="366"/>
      <c r="C85" s="143"/>
      <c r="D85" s="143"/>
      <c r="E85" s="65"/>
      <c r="F85" s="380"/>
      <c r="G85" s="381"/>
      <c r="H85" s="381"/>
      <c r="I85" s="381"/>
      <c r="J85" s="382"/>
      <c r="K85" s="383"/>
      <c r="L85" s="384"/>
      <c r="M85" s="384"/>
      <c r="N85" s="384"/>
      <c r="O85" s="384"/>
      <c r="P85" s="384"/>
      <c r="Q85" s="384"/>
      <c r="R85" s="384"/>
      <c r="S85" s="385"/>
      <c r="T85" s="386"/>
      <c r="U85" s="387"/>
      <c r="V85" s="388"/>
      <c r="W85" s="388"/>
      <c r="X85" s="389"/>
      <c r="Y85" s="389"/>
      <c r="Z85" s="389"/>
      <c r="AA85" s="389"/>
      <c r="AB85" s="389"/>
      <c r="AC85" s="389"/>
      <c r="AD85" s="390"/>
      <c r="AF85" s="50"/>
    </row>
    <row r="86" spans="1:32" ht="30" customHeight="1">
      <c r="A86" s="358">
        <f>A85+1</f>
        <v>2</v>
      </c>
      <c r="B86" s="359"/>
      <c r="C86" s="142"/>
      <c r="D86" s="142"/>
      <c r="E86" s="32"/>
      <c r="F86" s="359"/>
      <c r="G86" s="359"/>
      <c r="H86" s="359"/>
      <c r="I86" s="359"/>
      <c r="J86" s="359"/>
      <c r="K86" s="374"/>
      <c r="L86" s="375"/>
      <c r="M86" s="375"/>
      <c r="N86" s="375"/>
      <c r="O86" s="375"/>
      <c r="P86" s="375"/>
      <c r="Q86" s="375"/>
      <c r="R86" s="375"/>
      <c r="S86" s="376"/>
      <c r="T86" s="377"/>
      <c r="U86" s="377"/>
      <c r="V86" s="377"/>
      <c r="W86" s="377"/>
      <c r="X86" s="378"/>
      <c r="Y86" s="378"/>
      <c r="Z86" s="378"/>
      <c r="AA86" s="378"/>
      <c r="AB86" s="378"/>
      <c r="AC86" s="378"/>
      <c r="AD86" s="379"/>
      <c r="AF86" s="50"/>
    </row>
    <row r="87" spans="1:32" ht="30" customHeight="1">
      <c r="A87" s="358">
        <f t="shared" ref="A87:A91" si="20">A86+1</f>
        <v>3</v>
      </c>
      <c r="B87" s="359"/>
      <c r="C87" s="142"/>
      <c r="D87" s="142"/>
      <c r="E87" s="32"/>
      <c r="F87" s="359"/>
      <c r="G87" s="359"/>
      <c r="H87" s="359"/>
      <c r="I87" s="359"/>
      <c r="J87" s="359"/>
      <c r="K87" s="374"/>
      <c r="L87" s="375"/>
      <c r="M87" s="375"/>
      <c r="N87" s="375"/>
      <c r="O87" s="375"/>
      <c r="P87" s="375"/>
      <c r="Q87" s="375"/>
      <c r="R87" s="375"/>
      <c r="S87" s="376"/>
      <c r="T87" s="377"/>
      <c r="U87" s="377"/>
      <c r="V87" s="377"/>
      <c r="W87" s="377"/>
      <c r="X87" s="378"/>
      <c r="Y87" s="378"/>
      <c r="Z87" s="378"/>
      <c r="AA87" s="378"/>
      <c r="AB87" s="378"/>
      <c r="AC87" s="378"/>
      <c r="AD87" s="379"/>
      <c r="AF87" s="50"/>
    </row>
    <row r="88" spans="1:32" ht="30" customHeight="1">
      <c r="A88" s="358">
        <f t="shared" si="20"/>
        <v>4</v>
      </c>
      <c r="B88" s="359"/>
      <c r="C88" s="142"/>
      <c r="D88" s="142"/>
      <c r="E88" s="32"/>
      <c r="F88" s="359"/>
      <c r="G88" s="359"/>
      <c r="H88" s="359"/>
      <c r="I88" s="359"/>
      <c r="J88" s="359"/>
      <c r="K88" s="374"/>
      <c r="L88" s="375"/>
      <c r="M88" s="375"/>
      <c r="N88" s="375"/>
      <c r="O88" s="375"/>
      <c r="P88" s="375"/>
      <c r="Q88" s="375"/>
      <c r="R88" s="375"/>
      <c r="S88" s="376"/>
      <c r="T88" s="377"/>
      <c r="U88" s="377"/>
      <c r="V88" s="377"/>
      <c r="W88" s="377"/>
      <c r="X88" s="378"/>
      <c r="Y88" s="378"/>
      <c r="Z88" s="378"/>
      <c r="AA88" s="378"/>
      <c r="AB88" s="378"/>
      <c r="AC88" s="378"/>
      <c r="AD88" s="379"/>
      <c r="AF88" s="50"/>
    </row>
    <row r="89" spans="1:32" ht="30" customHeight="1">
      <c r="A89" s="358">
        <f t="shared" si="20"/>
        <v>5</v>
      </c>
      <c r="B89" s="359"/>
      <c r="C89" s="142"/>
      <c r="D89" s="142"/>
      <c r="E89" s="32"/>
      <c r="F89" s="359"/>
      <c r="G89" s="359"/>
      <c r="H89" s="359"/>
      <c r="I89" s="359"/>
      <c r="J89" s="359"/>
      <c r="K89" s="374"/>
      <c r="L89" s="375"/>
      <c r="M89" s="375"/>
      <c r="N89" s="375"/>
      <c r="O89" s="375"/>
      <c r="P89" s="375"/>
      <c r="Q89" s="375"/>
      <c r="R89" s="375"/>
      <c r="S89" s="376"/>
      <c r="T89" s="377"/>
      <c r="U89" s="377"/>
      <c r="V89" s="377"/>
      <c r="W89" s="377"/>
      <c r="X89" s="378"/>
      <c r="Y89" s="378"/>
      <c r="Z89" s="378"/>
      <c r="AA89" s="378"/>
      <c r="AB89" s="378"/>
      <c r="AC89" s="378"/>
      <c r="AD89" s="379"/>
      <c r="AF89" s="50"/>
    </row>
    <row r="90" spans="1:32" ht="30" customHeight="1">
      <c r="A90" s="358">
        <f t="shared" si="20"/>
        <v>6</v>
      </c>
      <c r="B90" s="359"/>
      <c r="C90" s="142"/>
      <c r="D90" s="142"/>
      <c r="E90" s="32"/>
      <c r="F90" s="359"/>
      <c r="G90" s="359"/>
      <c r="H90" s="359"/>
      <c r="I90" s="359"/>
      <c r="J90" s="359"/>
      <c r="K90" s="374"/>
      <c r="L90" s="375"/>
      <c r="M90" s="375"/>
      <c r="N90" s="375"/>
      <c r="O90" s="375"/>
      <c r="P90" s="375"/>
      <c r="Q90" s="375"/>
      <c r="R90" s="375"/>
      <c r="S90" s="376"/>
      <c r="T90" s="377"/>
      <c r="U90" s="377"/>
      <c r="V90" s="377"/>
      <c r="W90" s="377"/>
      <c r="X90" s="378"/>
      <c r="Y90" s="378"/>
      <c r="Z90" s="378"/>
      <c r="AA90" s="378"/>
      <c r="AB90" s="378"/>
      <c r="AC90" s="378"/>
      <c r="AD90" s="379"/>
      <c r="AF90" s="50"/>
    </row>
    <row r="91" spans="1:32" ht="30" customHeight="1">
      <c r="A91" s="358">
        <f t="shared" si="20"/>
        <v>7</v>
      </c>
      <c r="B91" s="359"/>
      <c r="C91" s="142"/>
      <c r="D91" s="142"/>
      <c r="E91" s="32"/>
      <c r="F91" s="359"/>
      <c r="G91" s="359"/>
      <c r="H91" s="359"/>
      <c r="I91" s="359"/>
      <c r="J91" s="359"/>
      <c r="K91" s="374"/>
      <c r="L91" s="375"/>
      <c r="M91" s="375"/>
      <c r="N91" s="375"/>
      <c r="O91" s="375"/>
      <c r="P91" s="375"/>
      <c r="Q91" s="375"/>
      <c r="R91" s="375"/>
      <c r="S91" s="376"/>
      <c r="T91" s="377"/>
      <c r="U91" s="377"/>
      <c r="V91" s="377"/>
      <c r="W91" s="377"/>
      <c r="X91" s="378"/>
      <c r="Y91" s="378"/>
      <c r="Z91" s="378"/>
      <c r="AA91" s="378"/>
      <c r="AB91" s="378"/>
      <c r="AC91" s="378"/>
      <c r="AD91" s="379"/>
      <c r="AF91" s="50"/>
    </row>
    <row r="92" spans="1:32" ht="36" thickBot="1">
      <c r="A92" s="371" t="s">
        <v>282</v>
      </c>
      <c r="B92" s="371"/>
      <c r="C92" s="371"/>
      <c r="D92" s="371"/>
      <c r="E92" s="371"/>
      <c r="F92" s="37"/>
      <c r="G92" s="37"/>
      <c r="H92" s="38"/>
      <c r="I92" s="38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F92" s="50"/>
    </row>
    <row r="93" spans="1:32" ht="30.75" customHeight="1" thickBot="1">
      <c r="A93" s="372" t="s">
        <v>111</v>
      </c>
      <c r="B93" s="373"/>
      <c r="C93" s="363" t="s">
        <v>52</v>
      </c>
      <c r="D93" s="363"/>
      <c r="E93" s="363" t="s">
        <v>53</v>
      </c>
      <c r="F93" s="363"/>
      <c r="G93" s="363"/>
      <c r="H93" s="363"/>
      <c r="I93" s="363"/>
      <c r="J93" s="363"/>
      <c r="K93" s="363" t="s">
        <v>54</v>
      </c>
      <c r="L93" s="363"/>
      <c r="M93" s="363"/>
      <c r="N93" s="363"/>
      <c r="O93" s="363"/>
      <c r="P93" s="363"/>
      <c r="Q93" s="363"/>
      <c r="R93" s="363"/>
      <c r="S93" s="363"/>
      <c r="T93" s="363" t="s">
        <v>55</v>
      </c>
      <c r="U93" s="363"/>
      <c r="V93" s="363" t="s">
        <v>56</v>
      </c>
      <c r="W93" s="363"/>
      <c r="X93" s="363"/>
      <c r="Y93" s="363" t="s">
        <v>51</v>
      </c>
      <c r="Z93" s="363"/>
      <c r="AA93" s="363"/>
      <c r="AB93" s="363"/>
      <c r="AC93" s="363"/>
      <c r="AD93" s="364"/>
      <c r="AF93" s="50"/>
    </row>
    <row r="94" spans="1:32" ht="30.75" customHeight="1">
      <c r="A94" s="365">
        <v>1</v>
      </c>
      <c r="B94" s="366"/>
      <c r="C94" s="367"/>
      <c r="D94" s="367"/>
      <c r="E94" s="367"/>
      <c r="F94" s="367"/>
      <c r="G94" s="367"/>
      <c r="H94" s="367"/>
      <c r="I94" s="367"/>
      <c r="J94" s="367"/>
      <c r="K94" s="367"/>
      <c r="L94" s="367"/>
      <c r="M94" s="367"/>
      <c r="N94" s="367"/>
      <c r="O94" s="367"/>
      <c r="P94" s="367"/>
      <c r="Q94" s="367"/>
      <c r="R94" s="367"/>
      <c r="S94" s="367"/>
      <c r="T94" s="367"/>
      <c r="U94" s="367"/>
      <c r="V94" s="368"/>
      <c r="W94" s="368"/>
      <c r="X94" s="368"/>
      <c r="Y94" s="369"/>
      <c r="Z94" s="369"/>
      <c r="AA94" s="369"/>
      <c r="AB94" s="369"/>
      <c r="AC94" s="369"/>
      <c r="AD94" s="370"/>
      <c r="AF94" s="50"/>
    </row>
    <row r="95" spans="1:32" ht="30.75" customHeight="1">
      <c r="A95" s="358">
        <v>2</v>
      </c>
      <c r="B95" s="359"/>
      <c r="C95" s="360"/>
      <c r="D95" s="360"/>
      <c r="E95" s="360"/>
      <c r="F95" s="360"/>
      <c r="G95" s="360"/>
      <c r="H95" s="360"/>
      <c r="I95" s="360"/>
      <c r="J95" s="360"/>
      <c r="K95" s="360"/>
      <c r="L95" s="360"/>
      <c r="M95" s="360"/>
      <c r="N95" s="360"/>
      <c r="O95" s="360"/>
      <c r="P95" s="360"/>
      <c r="Q95" s="360"/>
      <c r="R95" s="360"/>
      <c r="S95" s="360"/>
      <c r="T95" s="361"/>
      <c r="U95" s="361"/>
      <c r="V95" s="362"/>
      <c r="W95" s="362"/>
      <c r="X95" s="362"/>
      <c r="Y95" s="350"/>
      <c r="Z95" s="350"/>
      <c r="AA95" s="350"/>
      <c r="AB95" s="350"/>
      <c r="AC95" s="350"/>
      <c r="AD95" s="351"/>
      <c r="AF95" s="50"/>
    </row>
    <row r="96" spans="1:32" ht="30.75" customHeight="1" thickBot="1">
      <c r="A96" s="352">
        <v>3</v>
      </c>
      <c r="B96" s="353"/>
      <c r="C96" s="354"/>
      <c r="D96" s="354"/>
      <c r="E96" s="354"/>
      <c r="F96" s="354"/>
      <c r="G96" s="354"/>
      <c r="H96" s="354"/>
      <c r="I96" s="354"/>
      <c r="J96" s="354"/>
      <c r="K96" s="354"/>
      <c r="L96" s="354"/>
      <c r="M96" s="354"/>
      <c r="N96" s="354"/>
      <c r="O96" s="354"/>
      <c r="P96" s="354"/>
      <c r="Q96" s="354"/>
      <c r="R96" s="354"/>
      <c r="S96" s="354"/>
      <c r="T96" s="354"/>
      <c r="U96" s="354"/>
      <c r="V96" s="355"/>
      <c r="W96" s="355"/>
      <c r="X96" s="355"/>
      <c r="Y96" s="356"/>
      <c r="Z96" s="356"/>
      <c r="AA96" s="356"/>
      <c r="AB96" s="356"/>
      <c r="AC96" s="356"/>
      <c r="AD96" s="357"/>
      <c r="AF96" s="50"/>
    </row>
  </sheetData>
  <mergeCells count="232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31:H31"/>
    <mergeCell ref="A58:E58"/>
    <mergeCell ref="A59:M59"/>
    <mergeCell ref="N59:AD59"/>
    <mergeCell ref="A60:B60"/>
    <mergeCell ref="F60:M60"/>
    <mergeCell ref="P60:Q60"/>
    <mergeCell ref="R60:U60"/>
    <mergeCell ref="V60:AD60"/>
    <mergeCell ref="I4:O4"/>
    <mergeCell ref="P4:Q4"/>
    <mergeCell ref="R4:V4"/>
    <mergeCell ref="W4:AA4"/>
    <mergeCell ref="AB4:AB5"/>
    <mergeCell ref="AC4:AC5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A64:B64"/>
    <mergeCell ref="F64:M64"/>
    <mergeCell ref="P64:Q64"/>
    <mergeCell ref="R64:U64"/>
    <mergeCell ref="V64:AD64"/>
    <mergeCell ref="A65:B65"/>
    <mergeCell ref="F65:M65"/>
    <mergeCell ref="P65:Q65"/>
    <mergeCell ref="R65:U65"/>
    <mergeCell ref="V65:AD65"/>
    <mergeCell ref="A66:B66"/>
    <mergeCell ref="F66:M66"/>
    <mergeCell ref="P66:Q66"/>
    <mergeCell ref="R66:U66"/>
    <mergeCell ref="V66:AD66"/>
    <mergeCell ref="R69:U69"/>
    <mergeCell ref="V69:AD69"/>
    <mergeCell ref="A70:B70"/>
    <mergeCell ref="F70:M70"/>
    <mergeCell ref="P70:Q70"/>
    <mergeCell ref="R70:U70"/>
    <mergeCell ref="V70:AD70"/>
    <mergeCell ref="A67:B67"/>
    <mergeCell ref="F67:M67"/>
    <mergeCell ref="P67:Q67"/>
    <mergeCell ref="R67:U67"/>
    <mergeCell ref="V67:AD67"/>
    <mergeCell ref="A68:B68"/>
    <mergeCell ref="F68:M68"/>
    <mergeCell ref="P68:Q68"/>
    <mergeCell ref="R68:U68"/>
    <mergeCell ref="V68:AD68"/>
    <mergeCell ref="A71:E71"/>
    <mergeCell ref="A72:B72"/>
    <mergeCell ref="F72:J72"/>
    <mergeCell ref="K72:L72"/>
    <mergeCell ref="N72:O72"/>
    <mergeCell ref="P72:Q72"/>
    <mergeCell ref="A69:B69"/>
    <mergeCell ref="F69:M69"/>
    <mergeCell ref="P69:Q69"/>
    <mergeCell ref="R72:AA72"/>
    <mergeCell ref="AB72:AD72"/>
    <mergeCell ref="A73:B73"/>
    <mergeCell ref="F73:J73"/>
    <mergeCell ref="K73:L73"/>
    <mergeCell ref="N73:O73"/>
    <mergeCell ref="P73:Q73"/>
    <mergeCell ref="R73:AA73"/>
    <mergeCell ref="AB73:AD73"/>
    <mergeCell ref="AB74:AD74"/>
    <mergeCell ref="A75:B75"/>
    <mergeCell ref="F75:J75"/>
    <mergeCell ref="K75:L75"/>
    <mergeCell ref="N75:O75"/>
    <mergeCell ref="P75:Q75"/>
    <mergeCell ref="R75:AA75"/>
    <mergeCell ref="AB75:AD75"/>
    <mergeCell ref="A74:B74"/>
    <mergeCell ref="F74:J74"/>
    <mergeCell ref="K74:L74"/>
    <mergeCell ref="N74:O74"/>
    <mergeCell ref="P74:Q74"/>
    <mergeCell ref="R74:AA74"/>
    <mergeCell ref="AB76:AD76"/>
    <mergeCell ref="A77:B77"/>
    <mergeCell ref="F77:J77"/>
    <mergeCell ref="K77:L77"/>
    <mergeCell ref="N77:O77"/>
    <mergeCell ref="P77:Q77"/>
    <mergeCell ref="R77:AA77"/>
    <mergeCell ref="AB77:AD77"/>
    <mergeCell ref="A76:B76"/>
    <mergeCell ref="F76:J76"/>
    <mergeCell ref="K76:L76"/>
    <mergeCell ref="N76:O76"/>
    <mergeCell ref="P76:Q76"/>
    <mergeCell ref="R76:AA76"/>
    <mergeCell ref="AB78:AD78"/>
    <mergeCell ref="A79:B79"/>
    <mergeCell ref="F79:J79"/>
    <mergeCell ref="K79:L79"/>
    <mergeCell ref="N79:O79"/>
    <mergeCell ref="P79:Q79"/>
    <mergeCell ref="R79:AA79"/>
    <mergeCell ref="AB79:AD79"/>
    <mergeCell ref="A78:B78"/>
    <mergeCell ref="F78:J78"/>
    <mergeCell ref="K78:L78"/>
    <mergeCell ref="N78:O78"/>
    <mergeCell ref="P78:Q78"/>
    <mergeCell ref="R78:AA78"/>
    <mergeCell ref="AB80:AD80"/>
    <mergeCell ref="A81:B81"/>
    <mergeCell ref="F81:J81"/>
    <mergeCell ref="K81:L81"/>
    <mergeCell ref="N81:O81"/>
    <mergeCell ref="P81:Q81"/>
    <mergeCell ref="R81:AA81"/>
    <mergeCell ref="AB81:AD81"/>
    <mergeCell ref="A80:B80"/>
    <mergeCell ref="F80:J80"/>
    <mergeCell ref="K80:L80"/>
    <mergeCell ref="N80:O80"/>
    <mergeCell ref="P80:Q80"/>
    <mergeCell ref="R80:AA80"/>
    <mergeCell ref="AB82:AD82"/>
    <mergeCell ref="A83:E83"/>
    <mergeCell ref="A84:B84"/>
    <mergeCell ref="F84:J84"/>
    <mergeCell ref="K84:S84"/>
    <mergeCell ref="T84:U84"/>
    <mergeCell ref="V84:W84"/>
    <mergeCell ref="X84:AD84"/>
    <mergeCell ref="A82:B82"/>
    <mergeCell ref="F82:J82"/>
    <mergeCell ref="K82:L82"/>
    <mergeCell ref="N82:O82"/>
    <mergeCell ref="P82:Q82"/>
    <mergeCell ref="R82:AA82"/>
    <mergeCell ref="A86:B86"/>
    <mergeCell ref="F86:J86"/>
    <mergeCell ref="K86:S86"/>
    <mergeCell ref="T86:U86"/>
    <mergeCell ref="V86:W86"/>
    <mergeCell ref="X86:AD86"/>
    <mergeCell ref="A85:B85"/>
    <mergeCell ref="F85:J85"/>
    <mergeCell ref="K85:S85"/>
    <mergeCell ref="T85:U85"/>
    <mergeCell ref="V85:W85"/>
    <mergeCell ref="X85:AD85"/>
    <mergeCell ref="A88:B88"/>
    <mergeCell ref="F88:J88"/>
    <mergeCell ref="K88:S88"/>
    <mergeCell ref="T88:U88"/>
    <mergeCell ref="V88:W88"/>
    <mergeCell ref="X88:AD88"/>
    <mergeCell ref="A87:B87"/>
    <mergeCell ref="F87:J87"/>
    <mergeCell ref="K87:S87"/>
    <mergeCell ref="T87:U87"/>
    <mergeCell ref="V87:W87"/>
    <mergeCell ref="X87:AD87"/>
    <mergeCell ref="V91:W91"/>
    <mergeCell ref="X91:AD91"/>
    <mergeCell ref="A90:B90"/>
    <mergeCell ref="F90:J90"/>
    <mergeCell ref="K90:S90"/>
    <mergeCell ref="T90:U90"/>
    <mergeCell ref="V90:W90"/>
    <mergeCell ref="X90:AD90"/>
    <mergeCell ref="A89:B89"/>
    <mergeCell ref="F89:J89"/>
    <mergeCell ref="K89:S89"/>
    <mergeCell ref="T89:U89"/>
    <mergeCell ref="V89:W89"/>
    <mergeCell ref="X89:AD89"/>
    <mergeCell ref="A92:E92"/>
    <mergeCell ref="A93:B93"/>
    <mergeCell ref="C93:D93"/>
    <mergeCell ref="E93:J93"/>
    <mergeCell ref="K93:S93"/>
    <mergeCell ref="T93:U93"/>
    <mergeCell ref="A91:B91"/>
    <mergeCell ref="F91:J91"/>
    <mergeCell ref="K91:S91"/>
    <mergeCell ref="T91:U91"/>
    <mergeCell ref="V93:X93"/>
    <mergeCell ref="Y93:AD93"/>
    <mergeCell ref="A94:B94"/>
    <mergeCell ref="C94:D94"/>
    <mergeCell ref="E94:J94"/>
    <mergeCell ref="K94:S94"/>
    <mergeCell ref="T94:U94"/>
    <mergeCell ref="V94:X94"/>
    <mergeCell ref="Y94:AD94"/>
    <mergeCell ref="Y95:AD95"/>
    <mergeCell ref="A96:B96"/>
    <mergeCell ref="C96:D96"/>
    <mergeCell ref="E96:J96"/>
    <mergeCell ref="K96:S96"/>
    <mergeCell ref="T96:U96"/>
    <mergeCell ref="V96:X96"/>
    <mergeCell ref="Y96:AD96"/>
    <mergeCell ref="A95:B95"/>
    <mergeCell ref="C95:D95"/>
    <mergeCell ref="E95:J95"/>
    <mergeCell ref="K95:S95"/>
    <mergeCell ref="T95:U95"/>
    <mergeCell ref="V95:X9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56" max="29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6753D-BEB4-4CFB-93F0-E7500531DDAB}">
  <sheetPr>
    <pageSetUpPr fitToPage="1"/>
  </sheetPr>
  <dimension ref="A1:AF94"/>
  <sheetViews>
    <sheetView tabSelected="1" view="pageBreakPreview" zoomScale="70" zoomScaleNormal="72" zoomScaleSheetLayoutView="70" workbookViewId="0">
      <selection activeCell="K88" sqref="K88:S88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1" bestFit="1" customWidth="1"/>
    <col min="33" max="33" width="17.625" style="50" customWidth="1"/>
    <col min="34" max="16384" width="9" style="50"/>
  </cols>
  <sheetData>
    <row r="1" spans="1:32" ht="44.25" customHeight="1">
      <c r="A1" s="461" t="s">
        <v>869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61"/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62"/>
      <c r="B3" s="462"/>
      <c r="C3" s="462"/>
      <c r="D3" s="462"/>
      <c r="E3" s="462"/>
      <c r="F3" s="462"/>
      <c r="G3" s="462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63" t="s">
        <v>0</v>
      </c>
      <c r="B4" s="465" t="s">
        <v>1</v>
      </c>
      <c r="C4" s="465" t="s">
        <v>2</v>
      </c>
      <c r="D4" s="468" t="s">
        <v>3</v>
      </c>
      <c r="E4" s="470" t="s">
        <v>4</v>
      </c>
      <c r="F4" s="468" t="s">
        <v>5</v>
      </c>
      <c r="G4" s="465" t="s">
        <v>6</v>
      </c>
      <c r="H4" s="471" t="s">
        <v>7</v>
      </c>
      <c r="I4" s="451" t="s">
        <v>8</v>
      </c>
      <c r="J4" s="452"/>
      <c r="K4" s="452"/>
      <c r="L4" s="452"/>
      <c r="M4" s="452"/>
      <c r="N4" s="452"/>
      <c r="O4" s="453"/>
      <c r="P4" s="454" t="s">
        <v>9</v>
      </c>
      <c r="Q4" s="455"/>
      <c r="R4" s="456" t="s">
        <v>10</v>
      </c>
      <c r="S4" s="457"/>
      <c r="T4" s="457"/>
      <c r="U4" s="457"/>
      <c r="V4" s="458"/>
      <c r="W4" s="457" t="s">
        <v>11</v>
      </c>
      <c r="X4" s="457"/>
      <c r="Y4" s="457"/>
      <c r="Z4" s="457"/>
      <c r="AA4" s="458"/>
      <c r="AB4" s="459" t="s">
        <v>12</v>
      </c>
      <c r="AC4" s="433" t="s">
        <v>13</v>
      </c>
      <c r="AD4" s="433" t="s">
        <v>14</v>
      </c>
      <c r="AE4" s="54"/>
    </row>
    <row r="5" spans="1:32" ht="51" customHeight="1" thickBot="1">
      <c r="A5" s="464"/>
      <c r="B5" s="466"/>
      <c r="C5" s="467"/>
      <c r="D5" s="469"/>
      <c r="E5" s="469"/>
      <c r="F5" s="469"/>
      <c r="G5" s="466"/>
      <c r="H5" s="472"/>
      <c r="I5" s="55" t="s">
        <v>15</v>
      </c>
      <c r="J5" s="56" t="s">
        <v>16</v>
      </c>
      <c r="K5" s="347" t="s">
        <v>17</v>
      </c>
      <c r="L5" s="347" t="s">
        <v>18</v>
      </c>
      <c r="M5" s="347" t="s">
        <v>19</v>
      </c>
      <c r="N5" s="347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60"/>
      <c r="AC5" s="434"/>
      <c r="AD5" s="434"/>
      <c r="AE5" s="54"/>
    </row>
    <row r="6" spans="1:32" ht="27" customHeight="1">
      <c r="A6" s="106">
        <v>1</v>
      </c>
      <c r="B6" s="11" t="s">
        <v>57</v>
      </c>
      <c r="C6" s="34" t="s">
        <v>127</v>
      </c>
      <c r="D6" s="52" t="s">
        <v>129</v>
      </c>
      <c r="E6" s="53" t="s">
        <v>311</v>
      </c>
      <c r="F6" s="30" t="s">
        <v>321</v>
      </c>
      <c r="G6" s="12">
        <v>2</v>
      </c>
      <c r="H6" s="13">
        <v>24</v>
      </c>
      <c r="I6" s="31">
        <v>20000</v>
      </c>
      <c r="J6" s="14">
        <v>7738</v>
      </c>
      <c r="K6" s="15">
        <f>L6+5046+2812</f>
        <v>15596</v>
      </c>
      <c r="L6" s="15">
        <f>1024*2+2845*2</f>
        <v>7738</v>
      </c>
      <c r="M6" s="15">
        <f t="shared" ref="M6:M28" si="0">L6-N6</f>
        <v>7738</v>
      </c>
      <c r="N6" s="15">
        <v>0</v>
      </c>
      <c r="O6" s="58">
        <f t="shared" ref="O6:O29" si="1">IF(L6=0,"0",N6/L6)</f>
        <v>0</v>
      </c>
      <c r="P6" s="39">
        <f t="shared" ref="P6:P28" si="2">IF(L6=0,"0",(24-Q6))</f>
        <v>18</v>
      </c>
      <c r="Q6" s="40">
        <f t="shared" ref="Q6:Q28" si="3">SUM(R6:AA6)</f>
        <v>6</v>
      </c>
      <c r="R6" s="7"/>
      <c r="S6" s="6">
        <v>6</v>
      </c>
      <c r="T6" s="16"/>
      <c r="U6" s="16"/>
      <c r="V6" s="17"/>
      <c r="W6" s="5"/>
      <c r="X6" s="16"/>
      <c r="Y6" s="16"/>
      <c r="Z6" s="16"/>
      <c r="AA6" s="18"/>
      <c r="AB6" s="8">
        <f t="shared" ref="AB6:AB28" si="4">IF(J6=0,"0",(L6/J6))</f>
        <v>1</v>
      </c>
      <c r="AC6" s="9">
        <f t="shared" ref="AC6:AC28" si="5">IF(P6=0,"0",(P6/24))</f>
        <v>0.75</v>
      </c>
      <c r="AD6" s="10">
        <f>AC6*AB6*(1-O6)</f>
        <v>0.75</v>
      </c>
      <c r="AE6" s="36">
        <f>$AD$29</f>
        <v>0.61413043478260865</v>
      </c>
      <c r="AF6" s="81">
        <f t="shared" ref="AF6:AF28" si="6">A6</f>
        <v>1</v>
      </c>
    </row>
    <row r="7" spans="1:32" ht="27" customHeight="1">
      <c r="A7" s="106">
        <v>2</v>
      </c>
      <c r="B7" s="11" t="s">
        <v>57</v>
      </c>
      <c r="C7" s="34" t="s">
        <v>112</v>
      </c>
      <c r="D7" s="52" t="s">
        <v>140</v>
      </c>
      <c r="E7" s="53" t="s">
        <v>315</v>
      </c>
      <c r="F7" s="30" t="s">
        <v>139</v>
      </c>
      <c r="G7" s="12">
        <v>1</v>
      </c>
      <c r="H7" s="13">
        <v>24</v>
      </c>
      <c r="I7" s="31">
        <v>55000</v>
      </c>
      <c r="J7" s="14">
        <v>6110</v>
      </c>
      <c r="K7" s="15">
        <f>L7+4962+5479+5974+5609+6074+5975</f>
        <v>40183</v>
      </c>
      <c r="L7" s="15">
        <f>3065+3045</f>
        <v>6110</v>
      </c>
      <c r="M7" s="15">
        <f t="shared" si="0"/>
        <v>6110</v>
      </c>
      <c r="N7" s="15">
        <v>0</v>
      </c>
      <c r="O7" s="58">
        <f t="shared" si="1"/>
        <v>0</v>
      </c>
      <c r="P7" s="39">
        <f t="shared" si="2"/>
        <v>24</v>
      </c>
      <c r="Q7" s="40">
        <f t="shared" si="3"/>
        <v>0</v>
      </c>
      <c r="R7" s="7"/>
      <c r="S7" s="6"/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1</v>
      </c>
      <c r="AD7" s="10">
        <f t="shared" ref="AD7:AD28" si="7">AC7*AB7*(1-O7)</f>
        <v>1</v>
      </c>
      <c r="AE7" s="36">
        <f>$AD$29</f>
        <v>0.61413043478260865</v>
      </c>
      <c r="AF7" s="81">
        <f t="shared" si="6"/>
        <v>2</v>
      </c>
    </row>
    <row r="8" spans="1:32" ht="27" customHeight="1">
      <c r="A8" s="92">
        <v>3</v>
      </c>
      <c r="B8" s="11" t="s">
        <v>57</v>
      </c>
      <c r="C8" s="34" t="s">
        <v>112</v>
      </c>
      <c r="D8" s="52" t="s">
        <v>115</v>
      </c>
      <c r="E8" s="53" t="s">
        <v>486</v>
      </c>
      <c r="F8" s="30" t="s">
        <v>286</v>
      </c>
      <c r="G8" s="12">
        <v>1</v>
      </c>
      <c r="H8" s="13">
        <v>22</v>
      </c>
      <c r="I8" s="31">
        <v>7000</v>
      </c>
      <c r="J8" s="5">
        <v>1772</v>
      </c>
      <c r="K8" s="15">
        <f>L8+2445</f>
        <v>4217</v>
      </c>
      <c r="L8" s="15">
        <v>1772</v>
      </c>
      <c r="M8" s="15">
        <f t="shared" si="0"/>
        <v>1772</v>
      </c>
      <c r="N8" s="15">
        <v>0</v>
      </c>
      <c r="O8" s="58">
        <f t="shared" si="1"/>
        <v>0</v>
      </c>
      <c r="P8" s="39">
        <f t="shared" si="2"/>
        <v>8</v>
      </c>
      <c r="Q8" s="40">
        <f t="shared" si="3"/>
        <v>16</v>
      </c>
      <c r="R8" s="7"/>
      <c r="S8" s="6"/>
      <c r="T8" s="16"/>
      <c r="U8" s="16"/>
      <c r="V8" s="17"/>
      <c r="W8" s="5"/>
      <c r="X8" s="16"/>
      <c r="Y8" s="16"/>
      <c r="Z8" s="16"/>
      <c r="AA8" s="18">
        <v>16</v>
      </c>
      <c r="AB8" s="8">
        <f t="shared" si="4"/>
        <v>1</v>
      </c>
      <c r="AC8" s="9">
        <f t="shared" si="5"/>
        <v>0.33333333333333331</v>
      </c>
      <c r="AD8" s="10">
        <f t="shared" si="7"/>
        <v>0.33333333333333331</v>
      </c>
      <c r="AE8" s="36">
        <f>$AD$29</f>
        <v>0.61413043478260865</v>
      </c>
      <c r="AF8" s="81">
        <f t="shared" si="6"/>
        <v>3</v>
      </c>
    </row>
    <row r="9" spans="1:32" ht="27" customHeight="1">
      <c r="A9" s="92">
        <v>4</v>
      </c>
      <c r="B9" s="11" t="s">
        <v>57</v>
      </c>
      <c r="C9" s="34" t="s">
        <v>116</v>
      </c>
      <c r="D9" s="52" t="s">
        <v>284</v>
      </c>
      <c r="E9" s="53" t="s">
        <v>808</v>
      </c>
      <c r="F9" s="30" t="s">
        <v>145</v>
      </c>
      <c r="G9" s="12">
        <v>1</v>
      </c>
      <c r="H9" s="13">
        <v>24</v>
      </c>
      <c r="I9" s="7">
        <v>20000</v>
      </c>
      <c r="J9" s="14">
        <v>4530</v>
      </c>
      <c r="K9" s="15">
        <f>L9+3984</f>
        <v>8514</v>
      </c>
      <c r="L9" s="15">
        <f>2903+1627</f>
        <v>4530</v>
      </c>
      <c r="M9" s="15">
        <f t="shared" si="0"/>
        <v>4530</v>
      </c>
      <c r="N9" s="15">
        <v>0</v>
      </c>
      <c r="O9" s="58">
        <f t="shared" si="1"/>
        <v>0</v>
      </c>
      <c r="P9" s="39">
        <f t="shared" si="2"/>
        <v>21</v>
      </c>
      <c r="Q9" s="40">
        <f t="shared" si="3"/>
        <v>3</v>
      </c>
      <c r="R9" s="7"/>
      <c r="S9" s="6">
        <v>3</v>
      </c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0.875</v>
      </c>
      <c r="AD9" s="10">
        <f t="shared" si="7"/>
        <v>0.875</v>
      </c>
      <c r="AE9" s="36">
        <f>$AD$29</f>
        <v>0.61413043478260865</v>
      </c>
      <c r="AF9" s="81">
        <f t="shared" si="6"/>
        <v>4</v>
      </c>
    </row>
    <row r="10" spans="1:32" ht="27" customHeight="1">
      <c r="A10" s="92">
        <v>5</v>
      </c>
      <c r="B10" s="11" t="s">
        <v>57</v>
      </c>
      <c r="C10" s="11" t="s">
        <v>112</v>
      </c>
      <c r="D10" s="52" t="s">
        <v>121</v>
      </c>
      <c r="E10" s="53" t="s">
        <v>188</v>
      </c>
      <c r="F10" s="30" t="s">
        <v>124</v>
      </c>
      <c r="G10" s="33">
        <v>1</v>
      </c>
      <c r="H10" s="35">
        <v>24</v>
      </c>
      <c r="I10" s="7">
        <v>115000</v>
      </c>
      <c r="J10" s="14">
        <v>5732</v>
      </c>
      <c r="K10" s="15">
        <f>L10+5338+5669+5744+4980+3619+1932+309+2790+5660+4715+1739+3127+5884+1203+3638</f>
        <v>62079</v>
      </c>
      <c r="L10" s="15">
        <f>2887+2845</f>
        <v>5732</v>
      </c>
      <c r="M10" s="15">
        <f t="shared" si="0"/>
        <v>5732</v>
      </c>
      <c r="N10" s="15">
        <v>0</v>
      </c>
      <c r="O10" s="58">
        <f t="shared" si="1"/>
        <v>0</v>
      </c>
      <c r="P10" s="39">
        <f t="shared" si="2"/>
        <v>24</v>
      </c>
      <c r="Q10" s="40">
        <f t="shared" si="3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1</v>
      </c>
      <c r="AD10" s="10">
        <f t="shared" si="7"/>
        <v>1</v>
      </c>
      <c r="AE10" s="36">
        <f>$AD$29</f>
        <v>0.61413043478260865</v>
      </c>
      <c r="AF10" s="81">
        <f t="shared" si="6"/>
        <v>5</v>
      </c>
    </row>
    <row r="11" spans="1:32" ht="27" customHeight="1">
      <c r="A11" s="92">
        <v>6</v>
      </c>
      <c r="B11" s="11" t="s">
        <v>57</v>
      </c>
      <c r="C11" s="11" t="s">
        <v>112</v>
      </c>
      <c r="D11" s="52" t="s">
        <v>284</v>
      </c>
      <c r="E11" s="53" t="s">
        <v>870</v>
      </c>
      <c r="F11" s="30" t="s">
        <v>123</v>
      </c>
      <c r="G11" s="33">
        <v>2</v>
      </c>
      <c r="H11" s="35">
        <v>24</v>
      </c>
      <c r="I11" s="7">
        <v>30000</v>
      </c>
      <c r="J11" s="14">
        <v>10564</v>
      </c>
      <c r="K11" s="15">
        <f>L11</f>
        <v>10564</v>
      </c>
      <c r="L11" s="15">
        <f>2448*2+2834*2</f>
        <v>10564</v>
      </c>
      <c r="M11" s="15">
        <f t="shared" si="0"/>
        <v>10564</v>
      </c>
      <c r="N11" s="15">
        <v>0</v>
      </c>
      <c r="O11" s="58">
        <f t="shared" si="1"/>
        <v>0</v>
      </c>
      <c r="P11" s="39">
        <f t="shared" si="2"/>
        <v>24</v>
      </c>
      <c r="Q11" s="40">
        <f t="shared" si="3"/>
        <v>0</v>
      </c>
      <c r="R11" s="7"/>
      <c r="S11" s="6"/>
      <c r="T11" s="16"/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1</v>
      </c>
      <c r="AD11" s="10">
        <f t="shared" si="7"/>
        <v>1</v>
      </c>
      <c r="AE11" s="36">
        <f>$AD$29</f>
        <v>0.61413043478260865</v>
      </c>
      <c r="AF11" s="81">
        <f t="shared" si="6"/>
        <v>6</v>
      </c>
    </row>
    <row r="12" spans="1:32" ht="27" customHeight="1">
      <c r="A12" s="92">
        <v>7</v>
      </c>
      <c r="B12" s="11" t="s">
        <v>57</v>
      </c>
      <c r="C12" s="34" t="s">
        <v>112</v>
      </c>
      <c r="D12" s="52" t="s">
        <v>147</v>
      </c>
      <c r="E12" s="53" t="s">
        <v>547</v>
      </c>
      <c r="F12" s="30" t="s">
        <v>286</v>
      </c>
      <c r="G12" s="12">
        <v>1</v>
      </c>
      <c r="H12" s="13">
        <v>22</v>
      </c>
      <c r="I12" s="31">
        <v>40000</v>
      </c>
      <c r="J12" s="5">
        <v>5276</v>
      </c>
      <c r="K12" s="15">
        <f>L12+4452+3191+2676+3717+4759+5028+4406+5174+5212</f>
        <v>43891</v>
      </c>
      <c r="L12" s="15">
        <f>2670+2606</f>
        <v>5276</v>
      </c>
      <c r="M12" s="15">
        <f t="shared" si="0"/>
        <v>5276</v>
      </c>
      <c r="N12" s="15">
        <v>0</v>
      </c>
      <c r="O12" s="58">
        <f t="shared" si="1"/>
        <v>0</v>
      </c>
      <c r="P12" s="39">
        <f t="shared" si="2"/>
        <v>24</v>
      </c>
      <c r="Q12" s="40">
        <f t="shared" si="3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1</v>
      </c>
      <c r="AD12" s="10">
        <f t="shared" si="7"/>
        <v>1</v>
      </c>
      <c r="AE12" s="36">
        <f>$AD$29</f>
        <v>0.61413043478260865</v>
      </c>
      <c r="AF12" s="81">
        <f t="shared" si="6"/>
        <v>7</v>
      </c>
    </row>
    <row r="13" spans="1:32" ht="27" customHeight="1">
      <c r="A13" s="92">
        <v>8</v>
      </c>
      <c r="B13" s="11" t="s">
        <v>57</v>
      </c>
      <c r="C13" s="11" t="s">
        <v>116</v>
      </c>
      <c r="D13" s="52" t="s">
        <v>147</v>
      </c>
      <c r="E13" s="53" t="s">
        <v>814</v>
      </c>
      <c r="F13" s="30" t="s">
        <v>138</v>
      </c>
      <c r="G13" s="33">
        <v>1</v>
      </c>
      <c r="H13" s="35">
        <v>22</v>
      </c>
      <c r="I13" s="7">
        <v>17400</v>
      </c>
      <c r="J13" s="14">
        <v>3612</v>
      </c>
      <c r="K13" s="15">
        <f>L13+4060</f>
        <v>7672</v>
      </c>
      <c r="L13" s="15">
        <f>3248+364</f>
        <v>3612</v>
      </c>
      <c r="M13" s="15">
        <f t="shared" si="0"/>
        <v>3612</v>
      </c>
      <c r="N13" s="15">
        <v>0</v>
      </c>
      <c r="O13" s="58">
        <f t="shared" si="1"/>
        <v>0</v>
      </c>
      <c r="P13" s="39">
        <f t="shared" si="2"/>
        <v>16</v>
      </c>
      <c r="Q13" s="40">
        <f t="shared" si="3"/>
        <v>8</v>
      </c>
      <c r="R13" s="7"/>
      <c r="S13" s="6">
        <v>8</v>
      </c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0.66666666666666663</v>
      </c>
      <c r="AD13" s="10">
        <f t="shared" si="7"/>
        <v>0.66666666666666663</v>
      </c>
      <c r="AE13" s="36">
        <f>$AD$29</f>
        <v>0.61413043478260865</v>
      </c>
      <c r="AF13" s="81">
        <f t="shared" si="6"/>
        <v>8</v>
      </c>
    </row>
    <row r="14" spans="1:32" ht="27" customHeight="1">
      <c r="A14" s="99">
        <v>9</v>
      </c>
      <c r="B14" s="11" t="s">
        <v>57</v>
      </c>
      <c r="C14" s="34" t="s">
        <v>759</v>
      </c>
      <c r="D14" s="52"/>
      <c r="E14" s="53" t="s">
        <v>758</v>
      </c>
      <c r="F14" s="30" t="s">
        <v>785</v>
      </c>
      <c r="G14" s="33">
        <v>1</v>
      </c>
      <c r="H14" s="35">
        <v>50</v>
      </c>
      <c r="I14" s="7">
        <v>500</v>
      </c>
      <c r="J14" s="5">
        <v>712</v>
      </c>
      <c r="K14" s="15">
        <f>L14+208+712</f>
        <v>920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>
        <v>24</v>
      </c>
      <c r="T14" s="16"/>
      <c r="U14" s="16"/>
      <c r="V14" s="17"/>
      <c r="W14" s="5"/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7"/>
        <v>0</v>
      </c>
      <c r="AE14" s="36">
        <f>$AD$29</f>
        <v>0.61413043478260865</v>
      </c>
      <c r="AF14" s="81">
        <f t="shared" si="6"/>
        <v>9</v>
      </c>
    </row>
    <row r="15" spans="1:32" ht="27" customHeight="1">
      <c r="A15" s="106">
        <v>10</v>
      </c>
      <c r="B15" s="11" t="s">
        <v>57</v>
      </c>
      <c r="C15" s="34" t="s">
        <v>387</v>
      </c>
      <c r="D15" s="52" t="s">
        <v>140</v>
      </c>
      <c r="E15" s="53" t="s">
        <v>871</v>
      </c>
      <c r="F15" s="30" t="s">
        <v>139</v>
      </c>
      <c r="G15" s="12">
        <v>1</v>
      </c>
      <c r="H15" s="13">
        <v>24</v>
      </c>
      <c r="I15" s="31">
        <v>10000</v>
      </c>
      <c r="J15" s="14">
        <v>5812</v>
      </c>
      <c r="K15" s="15">
        <f>L15</f>
        <v>5812</v>
      </c>
      <c r="L15" s="15">
        <f>2722+3090</f>
        <v>5812</v>
      </c>
      <c r="M15" s="15">
        <f t="shared" si="0"/>
        <v>5812</v>
      </c>
      <c r="N15" s="15">
        <v>0</v>
      </c>
      <c r="O15" s="58">
        <f t="shared" si="1"/>
        <v>0</v>
      </c>
      <c r="P15" s="39">
        <f t="shared" si="2"/>
        <v>24</v>
      </c>
      <c r="Q15" s="40">
        <f t="shared" si="3"/>
        <v>0</v>
      </c>
      <c r="R15" s="7"/>
      <c r="S15" s="6"/>
      <c r="T15" s="16"/>
      <c r="U15" s="16"/>
      <c r="V15" s="17"/>
      <c r="W15" s="5"/>
      <c r="X15" s="16"/>
      <c r="Y15" s="16"/>
      <c r="Z15" s="16"/>
      <c r="AA15" s="18"/>
      <c r="AB15" s="8">
        <f t="shared" si="4"/>
        <v>1</v>
      </c>
      <c r="AC15" s="9">
        <f t="shared" si="5"/>
        <v>1</v>
      </c>
      <c r="AD15" s="10">
        <f t="shared" si="7"/>
        <v>1</v>
      </c>
      <c r="AE15" s="36">
        <f>$AD$29</f>
        <v>0.61413043478260865</v>
      </c>
      <c r="AF15" s="81">
        <f t="shared" si="6"/>
        <v>10</v>
      </c>
    </row>
    <row r="16" spans="1:32" ht="27" customHeight="1">
      <c r="A16" s="92">
        <v>11</v>
      </c>
      <c r="B16" s="11" t="s">
        <v>57</v>
      </c>
      <c r="C16" s="34" t="s">
        <v>116</v>
      </c>
      <c r="D16" s="52" t="s">
        <v>129</v>
      </c>
      <c r="E16" s="53" t="s">
        <v>833</v>
      </c>
      <c r="F16" s="30" t="s">
        <v>221</v>
      </c>
      <c r="G16" s="12">
        <v>1</v>
      </c>
      <c r="H16" s="13">
        <v>22</v>
      </c>
      <c r="I16" s="31">
        <v>20000</v>
      </c>
      <c r="J16" s="5">
        <v>5589</v>
      </c>
      <c r="K16" s="15">
        <f>L16+3843</f>
        <v>9432</v>
      </c>
      <c r="L16" s="15">
        <f>2789+2800</f>
        <v>5589</v>
      </c>
      <c r="M16" s="15">
        <f t="shared" si="0"/>
        <v>5589</v>
      </c>
      <c r="N16" s="15">
        <v>0</v>
      </c>
      <c r="O16" s="58">
        <f t="shared" si="1"/>
        <v>0</v>
      </c>
      <c r="P16" s="39">
        <f t="shared" si="2"/>
        <v>24</v>
      </c>
      <c r="Q16" s="40">
        <f t="shared" si="3"/>
        <v>0</v>
      </c>
      <c r="R16" s="7"/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1</v>
      </c>
      <c r="AD16" s="10">
        <f t="shared" si="7"/>
        <v>1</v>
      </c>
      <c r="AE16" s="36">
        <f>$AD$29</f>
        <v>0.61413043478260865</v>
      </c>
      <c r="AF16" s="81">
        <f t="shared" si="6"/>
        <v>11</v>
      </c>
    </row>
    <row r="17" spans="1:32" ht="27" customHeight="1">
      <c r="A17" s="106">
        <v>12</v>
      </c>
      <c r="B17" s="11" t="s">
        <v>57</v>
      </c>
      <c r="C17" s="34" t="s">
        <v>112</v>
      </c>
      <c r="D17" s="52" t="s">
        <v>140</v>
      </c>
      <c r="E17" s="53" t="s">
        <v>163</v>
      </c>
      <c r="F17" s="30" t="s">
        <v>142</v>
      </c>
      <c r="G17" s="12">
        <v>1</v>
      </c>
      <c r="H17" s="13">
        <v>24</v>
      </c>
      <c r="I17" s="7">
        <v>30000</v>
      </c>
      <c r="J17" s="14">
        <v>12258</v>
      </c>
      <c r="K17" s="15">
        <f>L17+5896</f>
        <v>18154</v>
      </c>
      <c r="L17" s="15">
        <f>3107*2+3022*2</f>
        <v>12258</v>
      </c>
      <c r="M17" s="15">
        <f t="shared" si="0"/>
        <v>12258</v>
      </c>
      <c r="N17" s="15">
        <v>0</v>
      </c>
      <c r="O17" s="58">
        <f t="shared" si="1"/>
        <v>0</v>
      </c>
      <c r="P17" s="39">
        <f t="shared" si="2"/>
        <v>24</v>
      </c>
      <c r="Q17" s="40">
        <f t="shared" si="3"/>
        <v>0</v>
      </c>
      <c r="R17" s="7"/>
      <c r="S17" s="6"/>
      <c r="T17" s="16"/>
      <c r="U17" s="16"/>
      <c r="V17" s="17"/>
      <c r="W17" s="5"/>
      <c r="X17" s="16"/>
      <c r="Y17" s="16"/>
      <c r="Z17" s="16"/>
      <c r="AA17" s="18"/>
      <c r="AB17" s="8">
        <f t="shared" si="4"/>
        <v>1</v>
      </c>
      <c r="AC17" s="9">
        <f t="shared" si="5"/>
        <v>1</v>
      </c>
      <c r="AD17" s="10">
        <f t="shared" si="7"/>
        <v>1</v>
      </c>
      <c r="AE17" s="36">
        <f>$AD$29</f>
        <v>0.61413043478260865</v>
      </c>
      <c r="AF17" s="81">
        <f t="shared" si="6"/>
        <v>12</v>
      </c>
    </row>
    <row r="18" spans="1:32" ht="27" customHeight="1">
      <c r="A18" s="92">
        <v>13</v>
      </c>
      <c r="B18" s="11" t="s">
        <v>57</v>
      </c>
      <c r="C18" s="34" t="s">
        <v>116</v>
      </c>
      <c r="D18" s="52" t="s">
        <v>115</v>
      </c>
      <c r="E18" s="53" t="s">
        <v>769</v>
      </c>
      <c r="F18" s="30" t="s">
        <v>138</v>
      </c>
      <c r="G18" s="12">
        <v>1</v>
      </c>
      <c r="H18" s="13">
        <v>22</v>
      </c>
      <c r="I18" s="31">
        <v>17000</v>
      </c>
      <c r="J18" s="5">
        <v>3747</v>
      </c>
      <c r="K18" s="15">
        <f>L18+1550+666+3747</f>
        <v>5963</v>
      </c>
      <c r="L18" s="15"/>
      <c r="M18" s="15">
        <f t="shared" ref="M18" si="8">L18-N18</f>
        <v>0</v>
      </c>
      <c r="N18" s="15">
        <v>0</v>
      </c>
      <c r="O18" s="58" t="str">
        <f t="shared" ref="O18" si="9">IF(L18=0,"0",N18/L18)</f>
        <v>0</v>
      </c>
      <c r="P18" s="39" t="str">
        <f t="shared" ref="P18" si="10">IF(L18=0,"0",(24-Q18))</f>
        <v>0</v>
      </c>
      <c r="Q18" s="40">
        <f t="shared" ref="Q18" si="11">SUM(R18:AA18)</f>
        <v>24</v>
      </c>
      <c r="R18" s="7"/>
      <c r="S18" s="6">
        <v>24</v>
      </c>
      <c r="T18" s="16"/>
      <c r="U18" s="16"/>
      <c r="V18" s="17"/>
      <c r="W18" s="5"/>
      <c r="X18" s="16"/>
      <c r="Y18" s="16"/>
      <c r="Z18" s="16"/>
      <c r="AA18" s="18"/>
      <c r="AB18" s="8">
        <f t="shared" ref="AB18" si="12">IF(J18=0,"0",(L18/J18))</f>
        <v>0</v>
      </c>
      <c r="AC18" s="9">
        <f t="shared" ref="AC18" si="13">IF(P18=0,"0",(P18/24))</f>
        <v>0</v>
      </c>
      <c r="AD18" s="10">
        <f t="shared" ref="AD18" si="14">AC18*AB18*(1-O18)</f>
        <v>0</v>
      </c>
      <c r="AE18" s="36">
        <f>$AD$29</f>
        <v>0.61413043478260865</v>
      </c>
      <c r="AF18" s="81">
        <f t="shared" ref="AF18" si="15">A18</f>
        <v>13</v>
      </c>
    </row>
    <row r="19" spans="1:32" ht="27" customHeight="1">
      <c r="A19" s="92">
        <v>13</v>
      </c>
      <c r="B19" s="11" t="s">
        <v>57</v>
      </c>
      <c r="C19" s="34" t="s">
        <v>127</v>
      </c>
      <c r="D19" s="52" t="s">
        <v>872</v>
      </c>
      <c r="E19" s="53" t="s">
        <v>873</v>
      </c>
      <c r="F19" s="30" t="s">
        <v>156</v>
      </c>
      <c r="G19" s="12">
        <v>1</v>
      </c>
      <c r="H19" s="13">
        <v>22</v>
      </c>
      <c r="I19" s="31">
        <v>500</v>
      </c>
      <c r="J19" s="5">
        <v>570</v>
      </c>
      <c r="K19" s="15">
        <f>L19</f>
        <v>570</v>
      </c>
      <c r="L19" s="15">
        <v>570</v>
      </c>
      <c r="M19" s="15">
        <f t="shared" si="0"/>
        <v>570</v>
      </c>
      <c r="N19" s="15">
        <v>0</v>
      </c>
      <c r="O19" s="58">
        <f t="shared" si="1"/>
        <v>0</v>
      </c>
      <c r="P19" s="39">
        <f t="shared" si="2"/>
        <v>4</v>
      </c>
      <c r="Q19" s="40">
        <f t="shared" si="3"/>
        <v>20</v>
      </c>
      <c r="R19" s="7"/>
      <c r="S19" s="6"/>
      <c r="T19" s="16"/>
      <c r="U19" s="16"/>
      <c r="V19" s="17"/>
      <c r="W19" s="5">
        <v>20</v>
      </c>
      <c r="X19" s="16"/>
      <c r="Y19" s="16"/>
      <c r="Z19" s="16"/>
      <c r="AA19" s="18"/>
      <c r="AB19" s="8">
        <f t="shared" si="4"/>
        <v>1</v>
      </c>
      <c r="AC19" s="9">
        <f t="shared" si="5"/>
        <v>0.16666666666666666</v>
      </c>
      <c r="AD19" s="10">
        <f t="shared" si="7"/>
        <v>0.16666666666666666</v>
      </c>
      <c r="AE19" s="36">
        <f>$AD$29</f>
        <v>0.61413043478260865</v>
      </c>
      <c r="AF19" s="81">
        <f t="shared" si="6"/>
        <v>13</v>
      </c>
    </row>
    <row r="20" spans="1:32" ht="27" customHeight="1">
      <c r="A20" s="92">
        <v>14</v>
      </c>
      <c r="B20" s="11" t="s">
        <v>57</v>
      </c>
      <c r="C20" s="11" t="s">
        <v>112</v>
      </c>
      <c r="D20" s="52" t="s">
        <v>287</v>
      </c>
      <c r="E20" s="53" t="s">
        <v>770</v>
      </c>
      <c r="F20" s="30" t="s">
        <v>124</v>
      </c>
      <c r="G20" s="33">
        <v>1</v>
      </c>
      <c r="H20" s="35">
        <v>24</v>
      </c>
      <c r="I20" s="7">
        <v>35000</v>
      </c>
      <c r="J20" s="14">
        <v>5440</v>
      </c>
      <c r="K20" s="15">
        <f>L20+2187+4152</f>
        <v>11779</v>
      </c>
      <c r="L20" s="15">
        <f>2810+2630</f>
        <v>5440</v>
      </c>
      <c r="M20" s="15">
        <f t="shared" si="0"/>
        <v>5440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si="7"/>
        <v>1</v>
      </c>
      <c r="AE20" s="36">
        <f>$AD$29</f>
        <v>0.61413043478260865</v>
      </c>
      <c r="AF20" s="81">
        <f t="shared" si="6"/>
        <v>14</v>
      </c>
    </row>
    <row r="21" spans="1:32" ht="27" customHeight="1">
      <c r="A21" s="106">
        <v>15</v>
      </c>
      <c r="B21" s="11" t="s">
        <v>57</v>
      </c>
      <c r="C21" s="11" t="s">
        <v>112</v>
      </c>
      <c r="D21" s="52" t="s">
        <v>115</v>
      </c>
      <c r="E21" s="53" t="s">
        <v>148</v>
      </c>
      <c r="F21" s="30" t="s">
        <v>138</v>
      </c>
      <c r="G21" s="33">
        <v>2</v>
      </c>
      <c r="H21" s="35">
        <v>24</v>
      </c>
      <c r="I21" s="7">
        <v>190000</v>
      </c>
      <c r="J21" s="14">
        <v>8000</v>
      </c>
      <c r="K21" s="15">
        <f>L21+2429+7472+8688+7444+11036+10988+11010+10896+8170+1188+8544+8600+10428+2136+6276+9709+8542+9846+6657+2519+4495+3045</f>
        <v>168118</v>
      </c>
      <c r="L21" s="15">
        <f>2823*2+1177*2</f>
        <v>8000</v>
      </c>
      <c r="M21" s="15">
        <f t="shared" si="0"/>
        <v>8000</v>
      </c>
      <c r="N21" s="15">
        <v>0</v>
      </c>
      <c r="O21" s="58">
        <f t="shared" si="1"/>
        <v>0</v>
      </c>
      <c r="P21" s="39">
        <f t="shared" si="2"/>
        <v>20</v>
      </c>
      <c r="Q21" s="40">
        <f t="shared" si="3"/>
        <v>4</v>
      </c>
      <c r="R21" s="7"/>
      <c r="S21" s="6">
        <v>4</v>
      </c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0.83333333333333337</v>
      </c>
      <c r="AD21" s="10">
        <f t="shared" si="7"/>
        <v>0.83333333333333337</v>
      </c>
      <c r="AE21" s="36">
        <f>$AD$29</f>
        <v>0.61413043478260865</v>
      </c>
      <c r="AF21" s="81">
        <f t="shared" si="6"/>
        <v>15</v>
      </c>
    </row>
    <row r="22" spans="1:32" ht="26.25" customHeight="1">
      <c r="A22" s="92">
        <v>16</v>
      </c>
      <c r="B22" s="11" t="s">
        <v>57</v>
      </c>
      <c r="C22" s="11" t="s">
        <v>113</v>
      </c>
      <c r="D22" s="52"/>
      <c r="E22" s="53" t="s">
        <v>160</v>
      </c>
      <c r="F22" s="12" t="s">
        <v>114</v>
      </c>
      <c r="G22" s="12">
        <v>4</v>
      </c>
      <c r="H22" s="35">
        <v>20</v>
      </c>
      <c r="I22" s="7">
        <v>2000000</v>
      </c>
      <c r="J22" s="14">
        <v>30464</v>
      </c>
      <c r="K22" s="15">
        <f>L22+29876+62940+54476+54396+57856+63452+64136+60836+58660+62760+62928+64084+55912+44824+63988+40136+63248+64592</f>
        <v>1059564</v>
      </c>
      <c r="L22" s="15">
        <f>7616*4</f>
        <v>30464</v>
      </c>
      <c r="M22" s="15">
        <f t="shared" si="0"/>
        <v>30464</v>
      </c>
      <c r="N22" s="15">
        <v>0</v>
      </c>
      <c r="O22" s="58">
        <f t="shared" si="1"/>
        <v>0</v>
      </c>
      <c r="P22" s="39">
        <f t="shared" si="2"/>
        <v>12</v>
      </c>
      <c r="Q22" s="40">
        <f t="shared" si="3"/>
        <v>12</v>
      </c>
      <c r="R22" s="7"/>
      <c r="S22" s="6"/>
      <c r="T22" s="16"/>
      <c r="U22" s="16"/>
      <c r="V22" s="17">
        <v>12</v>
      </c>
      <c r="W22" s="5"/>
      <c r="X22" s="16"/>
      <c r="Y22" s="16"/>
      <c r="Z22" s="16"/>
      <c r="AA22" s="18"/>
      <c r="AB22" s="8">
        <f t="shared" si="4"/>
        <v>1</v>
      </c>
      <c r="AC22" s="9">
        <f t="shared" si="5"/>
        <v>0.5</v>
      </c>
      <c r="AD22" s="10">
        <f t="shared" si="7"/>
        <v>0.5</v>
      </c>
      <c r="AE22" s="36">
        <f>$AD$29</f>
        <v>0.61413043478260865</v>
      </c>
      <c r="AF22" s="81">
        <f t="shared" si="6"/>
        <v>16</v>
      </c>
    </row>
    <row r="23" spans="1:32" ht="21.75" customHeight="1">
      <c r="A23" s="92">
        <v>31</v>
      </c>
      <c r="B23" s="11" t="s">
        <v>57</v>
      </c>
      <c r="C23" s="11" t="s">
        <v>116</v>
      </c>
      <c r="D23" s="52" t="s">
        <v>115</v>
      </c>
      <c r="E23" s="53" t="s">
        <v>174</v>
      </c>
      <c r="F23" s="12" t="s">
        <v>138</v>
      </c>
      <c r="G23" s="12">
        <v>4</v>
      </c>
      <c r="H23" s="35">
        <v>20</v>
      </c>
      <c r="I23" s="7">
        <v>70000</v>
      </c>
      <c r="J23" s="14">
        <v>22300</v>
      </c>
      <c r="K23" s="15">
        <f>L23</f>
        <v>22300</v>
      </c>
      <c r="L23" s="15">
        <f>3341*4+2234*4</f>
        <v>22300</v>
      </c>
      <c r="M23" s="15">
        <f t="shared" si="0"/>
        <v>22300</v>
      </c>
      <c r="N23" s="15">
        <v>0</v>
      </c>
      <c r="O23" s="58">
        <f t="shared" si="1"/>
        <v>0</v>
      </c>
      <c r="P23" s="39">
        <f t="shared" si="2"/>
        <v>24</v>
      </c>
      <c r="Q23" s="40">
        <f t="shared" si="3"/>
        <v>0</v>
      </c>
      <c r="R23" s="7"/>
      <c r="S23" s="6"/>
      <c r="T23" s="16"/>
      <c r="U23" s="16"/>
      <c r="V23" s="17"/>
      <c r="W23" s="5"/>
      <c r="X23" s="16"/>
      <c r="Y23" s="16"/>
      <c r="Z23" s="16"/>
      <c r="AA23" s="18"/>
      <c r="AB23" s="8">
        <f t="shared" si="4"/>
        <v>1</v>
      </c>
      <c r="AC23" s="9">
        <f t="shared" si="5"/>
        <v>1</v>
      </c>
      <c r="AD23" s="10">
        <f t="shared" si="7"/>
        <v>1</v>
      </c>
      <c r="AE23" s="36">
        <f>$AD$29</f>
        <v>0.61413043478260865</v>
      </c>
      <c r="AF23" s="81">
        <f t="shared" si="6"/>
        <v>31</v>
      </c>
    </row>
    <row r="24" spans="1:32" ht="21.75" customHeight="1">
      <c r="A24" s="92">
        <v>32</v>
      </c>
      <c r="B24" s="11" t="s">
        <v>57</v>
      </c>
      <c r="C24" s="11"/>
      <c r="D24" s="52"/>
      <c r="E24" s="53"/>
      <c r="F24" s="12"/>
      <c r="G24" s="12"/>
      <c r="H24" s="35">
        <v>20</v>
      </c>
      <c r="I24" s="7"/>
      <c r="J24" s="14">
        <v>0</v>
      </c>
      <c r="K24" s="15">
        <f t="shared" ref="K24" si="16">L24</f>
        <v>0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7"/>
      <c r="W24" s="5">
        <v>24</v>
      </c>
      <c r="X24" s="16"/>
      <c r="Y24" s="16"/>
      <c r="Z24" s="16"/>
      <c r="AA24" s="18"/>
      <c r="AB24" s="8" t="str">
        <f t="shared" si="4"/>
        <v>0</v>
      </c>
      <c r="AC24" s="9">
        <f t="shared" si="5"/>
        <v>0</v>
      </c>
      <c r="AD24" s="10">
        <f t="shared" si="7"/>
        <v>0</v>
      </c>
      <c r="AE24" s="36">
        <f>$AD$29</f>
        <v>0.61413043478260865</v>
      </c>
      <c r="AF24" s="81">
        <f t="shared" si="6"/>
        <v>32</v>
      </c>
    </row>
    <row r="25" spans="1:32" ht="21.75" customHeight="1">
      <c r="A25" s="92">
        <v>33</v>
      </c>
      <c r="B25" s="11" t="s">
        <v>57</v>
      </c>
      <c r="C25" s="11" t="s">
        <v>116</v>
      </c>
      <c r="D25" s="52" t="s">
        <v>147</v>
      </c>
      <c r="E25" s="53" t="s">
        <v>183</v>
      </c>
      <c r="F25" s="12" t="s">
        <v>124</v>
      </c>
      <c r="G25" s="12">
        <v>3</v>
      </c>
      <c r="H25" s="35">
        <v>20</v>
      </c>
      <c r="I25" s="7">
        <v>70000</v>
      </c>
      <c r="J25" s="14">
        <v>22300</v>
      </c>
      <c r="K25" s="15">
        <f>L25</f>
        <v>0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14"/>
      <c r="W25" s="5">
        <v>24</v>
      </c>
      <c r="X25" s="16"/>
      <c r="Y25" s="16"/>
      <c r="Z25" s="16"/>
      <c r="AA25" s="18"/>
      <c r="AB25" s="8">
        <f t="shared" si="4"/>
        <v>0</v>
      </c>
      <c r="AC25" s="9">
        <f t="shared" si="5"/>
        <v>0</v>
      </c>
      <c r="AD25" s="10">
        <f t="shared" si="7"/>
        <v>0</v>
      </c>
      <c r="AE25" s="36">
        <f>$AD$29</f>
        <v>0.61413043478260865</v>
      </c>
      <c r="AF25" s="81">
        <f t="shared" si="6"/>
        <v>33</v>
      </c>
    </row>
    <row r="26" spans="1:32" ht="21.75" customHeight="1">
      <c r="A26" s="92">
        <v>34</v>
      </c>
      <c r="B26" s="11" t="s">
        <v>57</v>
      </c>
      <c r="C26" s="11" t="s">
        <v>116</v>
      </c>
      <c r="D26" s="52" t="s">
        <v>129</v>
      </c>
      <c r="E26" s="53" t="s">
        <v>172</v>
      </c>
      <c r="F26" s="12" t="s">
        <v>125</v>
      </c>
      <c r="G26" s="12">
        <v>4</v>
      </c>
      <c r="H26" s="35">
        <v>20</v>
      </c>
      <c r="I26" s="7">
        <v>50000</v>
      </c>
      <c r="J26" s="14">
        <v>26548</v>
      </c>
      <c r="K26" s="15">
        <f>L26+15172+24432+25280+26548</f>
        <v>91432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24</v>
      </c>
      <c r="R26" s="7"/>
      <c r="S26" s="6"/>
      <c r="T26" s="16"/>
      <c r="U26" s="16"/>
      <c r="V26" s="114"/>
      <c r="W26" s="5">
        <v>24</v>
      </c>
      <c r="X26" s="16"/>
      <c r="Y26" s="16"/>
      <c r="Z26" s="16"/>
      <c r="AA26" s="18"/>
      <c r="AB26" s="8">
        <f t="shared" si="4"/>
        <v>0</v>
      </c>
      <c r="AC26" s="9">
        <f t="shared" si="5"/>
        <v>0</v>
      </c>
      <c r="AD26" s="10">
        <f t="shared" si="7"/>
        <v>0</v>
      </c>
      <c r="AE26" s="36">
        <f>$AD$29</f>
        <v>0.61413043478260865</v>
      </c>
      <c r="AF26" s="81">
        <f t="shared" si="6"/>
        <v>34</v>
      </c>
    </row>
    <row r="27" spans="1:32" ht="21.75" customHeight="1">
      <c r="A27" s="92">
        <v>35</v>
      </c>
      <c r="B27" s="11" t="s">
        <v>57</v>
      </c>
      <c r="C27" s="11" t="s">
        <v>116</v>
      </c>
      <c r="D27" s="52" t="s">
        <v>121</v>
      </c>
      <c r="E27" s="53" t="s">
        <v>126</v>
      </c>
      <c r="F27" s="12" t="s">
        <v>125</v>
      </c>
      <c r="G27" s="12">
        <v>4</v>
      </c>
      <c r="H27" s="35">
        <v>20</v>
      </c>
      <c r="I27" s="7">
        <v>50000</v>
      </c>
      <c r="J27" s="14">
        <v>26944</v>
      </c>
      <c r="K27" s="15">
        <f>L27+24592+26944+21716</f>
        <v>73252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24</v>
      </c>
      <c r="R27" s="7"/>
      <c r="S27" s="6"/>
      <c r="T27" s="16"/>
      <c r="U27" s="16"/>
      <c r="V27" s="114"/>
      <c r="W27" s="5">
        <v>24</v>
      </c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7"/>
        <v>0</v>
      </c>
      <c r="AE27" s="36">
        <f>$AD$29</f>
        <v>0.61413043478260865</v>
      </c>
      <c r="AF27" s="81">
        <f t="shared" si="6"/>
        <v>35</v>
      </c>
    </row>
    <row r="28" spans="1:32" ht="21.75" customHeight="1" thickBot="1">
      <c r="A28" s="92">
        <v>36</v>
      </c>
      <c r="B28" s="11" t="s">
        <v>57</v>
      </c>
      <c r="C28" s="11" t="s">
        <v>113</v>
      </c>
      <c r="D28" s="52"/>
      <c r="E28" s="53" t="s">
        <v>182</v>
      </c>
      <c r="F28" s="12" t="s">
        <v>114</v>
      </c>
      <c r="G28" s="12">
        <v>4</v>
      </c>
      <c r="H28" s="35">
        <v>20</v>
      </c>
      <c r="I28" s="7">
        <v>1000000</v>
      </c>
      <c r="J28" s="14">
        <v>79328</v>
      </c>
      <c r="K28" s="15">
        <f>L28+28388+70816+76368+81764+83428+47688+53180+83092+82192</f>
        <v>686244</v>
      </c>
      <c r="L28" s="15">
        <f>12191*4+7641*4</f>
        <v>79328</v>
      </c>
      <c r="M28" s="15">
        <f t="shared" si="0"/>
        <v>79328</v>
      </c>
      <c r="N28" s="15">
        <v>0</v>
      </c>
      <c r="O28" s="58">
        <f t="shared" si="1"/>
        <v>0</v>
      </c>
      <c r="P28" s="39">
        <f t="shared" si="2"/>
        <v>24</v>
      </c>
      <c r="Q28" s="40">
        <f t="shared" si="3"/>
        <v>0</v>
      </c>
      <c r="R28" s="7"/>
      <c r="S28" s="6"/>
      <c r="T28" s="16"/>
      <c r="U28" s="16"/>
      <c r="V28" s="114"/>
      <c r="W28" s="5"/>
      <c r="X28" s="16"/>
      <c r="Y28" s="16"/>
      <c r="Z28" s="16"/>
      <c r="AA28" s="18"/>
      <c r="AB28" s="8">
        <f t="shared" si="4"/>
        <v>1</v>
      </c>
      <c r="AC28" s="9">
        <f t="shared" si="5"/>
        <v>1</v>
      </c>
      <c r="AD28" s="10">
        <f t="shared" si="7"/>
        <v>1</v>
      </c>
      <c r="AE28" s="36">
        <f>$AD$29</f>
        <v>0.61413043478260865</v>
      </c>
      <c r="AF28" s="81">
        <f t="shared" si="6"/>
        <v>36</v>
      </c>
    </row>
    <row r="29" spans="1:32" ht="19.5" thickBot="1">
      <c r="A29" s="435" t="s">
        <v>34</v>
      </c>
      <c r="B29" s="436"/>
      <c r="C29" s="436"/>
      <c r="D29" s="436"/>
      <c r="E29" s="436"/>
      <c r="F29" s="436"/>
      <c r="G29" s="436"/>
      <c r="H29" s="437"/>
      <c r="I29" s="22">
        <f>SUM(I6:I28)</f>
        <v>3847400</v>
      </c>
      <c r="J29" s="19">
        <f>SUM(J6:J28)</f>
        <v>295346</v>
      </c>
      <c r="K29" s="20">
        <f>SUM(K6:K28)</f>
        <v>2346256</v>
      </c>
      <c r="L29" s="21">
        <f>SUM(L6:L28)</f>
        <v>215095</v>
      </c>
      <c r="M29" s="20">
        <f>SUM(M6:M28)</f>
        <v>215095</v>
      </c>
      <c r="N29" s="21">
        <f>SUM(N6:N28)</f>
        <v>0</v>
      </c>
      <c r="O29" s="41">
        <f t="shared" si="1"/>
        <v>0</v>
      </c>
      <c r="P29" s="42">
        <f>SUM(P6:P28)</f>
        <v>339</v>
      </c>
      <c r="Q29" s="43">
        <f>SUM(Q6:Q28)</f>
        <v>213</v>
      </c>
      <c r="R29" s="23">
        <f>SUM(R6:R28)</f>
        <v>0</v>
      </c>
      <c r="S29" s="24">
        <f>SUM(S6:S28)</f>
        <v>69</v>
      </c>
      <c r="T29" s="24">
        <f>SUM(T6:T28)</f>
        <v>0</v>
      </c>
      <c r="U29" s="24">
        <f>SUM(U6:U28)</f>
        <v>0</v>
      </c>
      <c r="V29" s="25">
        <f>SUM(V6:V28)</f>
        <v>12</v>
      </c>
      <c r="W29" s="26">
        <f>SUM(W6:W28)</f>
        <v>116</v>
      </c>
      <c r="X29" s="27">
        <f>SUM(X6:X28)</f>
        <v>0</v>
      </c>
      <c r="Y29" s="27">
        <f>SUM(Y6:Y28)</f>
        <v>0</v>
      </c>
      <c r="Z29" s="27">
        <f>SUM(Z6:Z28)</f>
        <v>0</v>
      </c>
      <c r="AA29" s="27">
        <f>SUM(AA6:AA28)</f>
        <v>16</v>
      </c>
      <c r="AB29" s="28">
        <f>AVERAGE(AB6:AB28)</f>
        <v>0.77272727272727271</v>
      </c>
      <c r="AC29" s="4">
        <f>AVERAGE(AC6:AC28)</f>
        <v>0.61413043478260865</v>
      </c>
      <c r="AD29" s="4">
        <f>AVERAGE(AD6:AD28)</f>
        <v>0.61413043478260865</v>
      </c>
      <c r="AE29" s="29"/>
    </row>
    <row r="30" spans="1:32">
      <c r="T30" s="50" t="s">
        <v>130</v>
      </c>
    </row>
    <row r="31" spans="1:32" ht="18.75">
      <c r="A31" s="2"/>
      <c r="B31" s="2" t="s">
        <v>35</v>
      </c>
      <c r="C31" s="2"/>
      <c r="D31" s="2"/>
      <c r="E31" s="2"/>
      <c r="F31" s="2"/>
      <c r="G31" s="2"/>
      <c r="H31" s="3"/>
      <c r="I31" s="3"/>
      <c r="J31" s="2"/>
      <c r="K31" s="2"/>
      <c r="L31" s="2"/>
      <c r="M31" s="2"/>
      <c r="N31" s="2" t="s">
        <v>36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1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 t="s">
        <v>131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F40" s="82"/>
    </row>
    <row r="41" spans="1:32" ht="14.2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F41" s="50"/>
    </row>
    <row r="42" spans="1:32" ht="14.2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50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14.2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F45" s="50"/>
    </row>
    <row r="46" spans="1:32" ht="27">
      <c r="A46" s="59"/>
      <c r="B46" s="59"/>
      <c r="C46" s="59"/>
      <c r="D46" s="59"/>
      <c r="E46" s="59"/>
      <c r="F46" s="37"/>
      <c r="G46" s="37"/>
      <c r="H46" s="38"/>
      <c r="I46" s="38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F46" s="50"/>
    </row>
    <row r="47" spans="1:32" ht="29.25" customHeight="1">
      <c r="A47" s="60"/>
      <c r="B47" s="60"/>
      <c r="C47" s="61"/>
      <c r="D47" s="61"/>
      <c r="E47" s="61"/>
      <c r="F47" s="60"/>
      <c r="G47" s="60"/>
      <c r="H47" s="60"/>
      <c r="I47" s="60"/>
      <c r="J47" s="60"/>
      <c r="K47" s="60"/>
      <c r="L47" s="60"/>
      <c r="M47" s="61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29.25" customHeight="1">
      <c r="A49" s="60"/>
      <c r="B49" s="60"/>
      <c r="C49" s="62"/>
      <c r="D49" s="61"/>
      <c r="E49" s="61"/>
      <c r="F49" s="60"/>
      <c r="G49" s="60"/>
      <c r="H49" s="60"/>
      <c r="I49" s="60"/>
      <c r="J49" s="60"/>
      <c r="K49" s="60"/>
      <c r="L49" s="60"/>
      <c r="M49" s="62"/>
      <c r="N49" s="60"/>
      <c r="O49" s="60"/>
      <c r="P49" s="63"/>
      <c r="Q49" s="63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29.25" customHeight="1">
      <c r="A54" s="60"/>
      <c r="B54" s="60"/>
      <c r="C54" s="62"/>
      <c r="D54" s="61"/>
      <c r="E54" s="61"/>
      <c r="F54" s="60"/>
      <c r="G54" s="60"/>
      <c r="H54" s="60"/>
      <c r="I54" s="60"/>
      <c r="J54" s="60"/>
      <c r="K54" s="60"/>
      <c r="L54" s="60"/>
      <c r="M54" s="62"/>
      <c r="N54" s="60"/>
      <c r="O54" s="60"/>
      <c r="P54" s="63"/>
      <c r="Q54" s="63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0"/>
      <c r="AC54" s="60"/>
      <c r="AD54" s="60"/>
      <c r="AF54" s="50"/>
    </row>
    <row r="55" spans="1:32" ht="14.25" customHeight="1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F55" s="50"/>
    </row>
    <row r="56" spans="1:32" ht="36" thickBot="1">
      <c r="A56" s="438" t="s">
        <v>45</v>
      </c>
      <c r="B56" s="438"/>
      <c r="C56" s="438"/>
      <c r="D56" s="438"/>
      <c r="E56" s="438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F56" s="50"/>
    </row>
    <row r="57" spans="1:32" ht="26.25" thickBot="1">
      <c r="A57" s="439" t="s">
        <v>874</v>
      </c>
      <c r="B57" s="440"/>
      <c r="C57" s="440"/>
      <c r="D57" s="440"/>
      <c r="E57" s="440"/>
      <c r="F57" s="440"/>
      <c r="G57" s="440"/>
      <c r="H57" s="440"/>
      <c r="I57" s="440"/>
      <c r="J57" s="440"/>
      <c r="K57" s="440"/>
      <c r="L57" s="440"/>
      <c r="M57" s="441"/>
      <c r="N57" s="442" t="s">
        <v>886</v>
      </c>
      <c r="O57" s="443"/>
      <c r="P57" s="443"/>
      <c r="Q57" s="443"/>
      <c r="R57" s="443"/>
      <c r="S57" s="443"/>
      <c r="T57" s="443"/>
      <c r="U57" s="443"/>
      <c r="V57" s="443"/>
      <c r="W57" s="443"/>
      <c r="X57" s="443"/>
      <c r="Y57" s="443"/>
      <c r="Z57" s="443"/>
      <c r="AA57" s="443"/>
      <c r="AB57" s="443"/>
      <c r="AC57" s="443"/>
      <c r="AD57" s="444"/>
    </row>
    <row r="58" spans="1:32" ht="27" customHeight="1">
      <c r="A58" s="445" t="s">
        <v>2</v>
      </c>
      <c r="B58" s="446"/>
      <c r="C58" s="346" t="s">
        <v>46</v>
      </c>
      <c r="D58" s="346" t="s">
        <v>47</v>
      </c>
      <c r="E58" s="346" t="s">
        <v>107</v>
      </c>
      <c r="F58" s="447" t="s">
        <v>106</v>
      </c>
      <c r="G58" s="448"/>
      <c r="H58" s="448"/>
      <c r="I58" s="448"/>
      <c r="J58" s="448"/>
      <c r="K58" s="448"/>
      <c r="L58" s="448"/>
      <c r="M58" s="449"/>
      <c r="N58" s="67" t="s">
        <v>110</v>
      </c>
      <c r="O58" s="346" t="s">
        <v>46</v>
      </c>
      <c r="P58" s="447" t="s">
        <v>47</v>
      </c>
      <c r="Q58" s="450"/>
      <c r="R58" s="447" t="s">
        <v>38</v>
      </c>
      <c r="S58" s="448"/>
      <c r="T58" s="448"/>
      <c r="U58" s="450"/>
      <c r="V58" s="447" t="s">
        <v>48</v>
      </c>
      <c r="W58" s="448"/>
      <c r="X58" s="448"/>
      <c r="Y58" s="448"/>
      <c r="Z58" s="448"/>
      <c r="AA58" s="448"/>
      <c r="AB58" s="448"/>
      <c r="AC58" s="448"/>
      <c r="AD58" s="449"/>
    </row>
    <row r="59" spans="1:32" ht="27" customHeight="1">
      <c r="A59" s="415" t="s">
        <v>127</v>
      </c>
      <c r="B59" s="416"/>
      <c r="C59" s="341" t="s">
        <v>143</v>
      </c>
      <c r="D59" s="341" t="s">
        <v>129</v>
      </c>
      <c r="E59" s="341" t="s">
        <v>311</v>
      </c>
      <c r="F59" s="473" t="s">
        <v>153</v>
      </c>
      <c r="G59" s="474"/>
      <c r="H59" s="474"/>
      <c r="I59" s="474"/>
      <c r="J59" s="474"/>
      <c r="K59" s="474"/>
      <c r="L59" s="474"/>
      <c r="M59" s="475"/>
      <c r="N59" s="345" t="s">
        <v>116</v>
      </c>
      <c r="O59" s="339" t="s">
        <v>388</v>
      </c>
      <c r="P59" s="430" t="s">
        <v>115</v>
      </c>
      <c r="Q59" s="431"/>
      <c r="R59" s="430" t="s">
        <v>769</v>
      </c>
      <c r="S59" s="432"/>
      <c r="T59" s="432"/>
      <c r="U59" s="431"/>
      <c r="V59" s="417" t="s">
        <v>153</v>
      </c>
      <c r="W59" s="418"/>
      <c r="X59" s="418"/>
      <c r="Y59" s="418"/>
      <c r="Z59" s="418"/>
      <c r="AA59" s="418"/>
      <c r="AB59" s="418"/>
      <c r="AC59" s="418"/>
      <c r="AD59" s="419"/>
    </row>
    <row r="60" spans="1:32" ht="27" customHeight="1">
      <c r="A60" s="429" t="s">
        <v>116</v>
      </c>
      <c r="B60" s="420"/>
      <c r="C60" s="342" t="s">
        <v>152</v>
      </c>
      <c r="D60" s="342" t="s">
        <v>836</v>
      </c>
      <c r="E60" s="342" t="s">
        <v>814</v>
      </c>
      <c r="F60" s="473" t="s">
        <v>153</v>
      </c>
      <c r="G60" s="474"/>
      <c r="H60" s="474"/>
      <c r="I60" s="474"/>
      <c r="J60" s="474"/>
      <c r="K60" s="474"/>
      <c r="L60" s="474"/>
      <c r="M60" s="475"/>
      <c r="N60" s="345" t="s">
        <v>877</v>
      </c>
      <c r="O60" s="339" t="s">
        <v>888</v>
      </c>
      <c r="P60" s="430" t="s">
        <v>115</v>
      </c>
      <c r="Q60" s="431"/>
      <c r="R60" s="430" t="s">
        <v>887</v>
      </c>
      <c r="S60" s="432"/>
      <c r="T60" s="432"/>
      <c r="U60" s="431"/>
      <c r="V60" s="417" t="s">
        <v>875</v>
      </c>
      <c r="W60" s="418"/>
      <c r="X60" s="418"/>
      <c r="Y60" s="418"/>
      <c r="Z60" s="418"/>
      <c r="AA60" s="418"/>
      <c r="AB60" s="418"/>
      <c r="AC60" s="418"/>
      <c r="AD60" s="419"/>
    </row>
    <row r="61" spans="1:32" ht="27" customHeight="1">
      <c r="A61" s="415" t="s">
        <v>116</v>
      </c>
      <c r="B61" s="416"/>
      <c r="C61" s="349" t="s">
        <v>154</v>
      </c>
      <c r="D61" s="349" t="s">
        <v>284</v>
      </c>
      <c r="E61" s="348" t="s">
        <v>808</v>
      </c>
      <c r="F61" s="473" t="s">
        <v>244</v>
      </c>
      <c r="G61" s="474"/>
      <c r="H61" s="474"/>
      <c r="I61" s="474"/>
      <c r="J61" s="474"/>
      <c r="K61" s="474"/>
      <c r="L61" s="474"/>
      <c r="M61" s="475"/>
      <c r="N61" s="345"/>
      <c r="O61" s="339"/>
      <c r="P61" s="430"/>
      <c r="Q61" s="431"/>
      <c r="R61" s="430"/>
      <c r="S61" s="432"/>
      <c r="T61" s="432"/>
      <c r="U61" s="431"/>
      <c r="V61" s="417"/>
      <c r="W61" s="418"/>
      <c r="X61" s="418"/>
      <c r="Y61" s="418"/>
      <c r="Z61" s="418"/>
      <c r="AA61" s="418"/>
      <c r="AB61" s="418"/>
      <c r="AC61" s="418"/>
      <c r="AD61" s="419"/>
    </row>
    <row r="62" spans="1:32" ht="27" customHeight="1">
      <c r="A62" s="415" t="s">
        <v>116</v>
      </c>
      <c r="B62" s="416"/>
      <c r="C62" s="349" t="s">
        <v>388</v>
      </c>
      <c r="D62" s="349" t="s">
        <v>115</v>
      </c>
      <c r="E62" s="348" t="s">
        <v>769</v>
      </c>
      <c r="F62" s="473" t="s">
        <v>582</v>
      </c>
      <c r="G62" s="474"/>
      <c r="H62" s="474"/>
      <c r="I62" s="474"/>
      <c r="J62" s="474"/>
      <c r="K62" s="474"/>
      <c r="L62" s="474"/>
      <c r="M62" s="475"/>
      <c r="N62" s="345"/>
      <c r="O62" s="339"/>
      <c r="P62" s="430"/>
      <c r="Q62" s="431"/>
      <c r="R62" s="430"/>
      <c r="S62" s="432"/>
      <c r="T62" s="432"/>
      <c r="U62" s="431"/>
      <c r="V62" s="417"/>
      <c r="W62" s="418"/>
      <c r="X62" s="418"/>
      <c r="Y62" s="418"/>
      <c r="Z62" s="418"/>
      <c r="AA62" s="418"/>
      <c r="AB62" s="418"/>
      <c r="AC62" s="418"/>
      <c r="AD62" s="419"/>
    </row>
    <row r="63" spans="1:32" ht="27" customHeight="1">
      <c r="A63" s="429" t="s">
        <v>877</v>
      </c>
      <c r="B63" s="420"/>
      <c r="C63" s="342" t="s">
        <v>878</v>
      </c>
      <c r="D63" s="342" t="s">
        <v>284</v>
      </c>
      <c r="E63" s="342" t="s">
        <v>870</v>
      </c>
      <c r="F63" s="473" t="s">
        <v>875</v>
      </c>
      <c r="G63" s="474"/>
      <c r="H63" s="474"/>
      <c r="I63" s="474"/>
      <c r="J63" s="474"/>
      <c r="K63" s="474"/>
      <c r="L63" s="474"/>
      <c r="M63" s="475"/>
      <c r="N63" s="345"/>
      <c r="O63" s="339"/>
      <c r="P63" s="430"/>
      <c r="Q63" s="431"/>
      <c r="R63" s="430"/>
      <c r="S63" s="432"/>
      <c r="T63" s="432"/>
      <c r="U63" s="431"/>
      <c r="V63" s="417"/>
      <c r="W63" s="418"/>
      <c r="X63" s="418"/>
      <c r="Y63" s="418"/>
      <c r="Z63" s="418"/>
      <c r="AA63" s="418"/>
      <c r="AB63" s="418"/>
      <c r="AC63" s="418"/>
      <c r="AD63" s="419"/>
    </row>
    <row r="64" spans="1:32" ht="27" customHeight="1">
      <c r="A64" s="415" t="s">
        <v>879</v>
      </c>
      <c r="B64" s="416"/>
      <c r="C64" s="341" t="s">
        <v>880</v>
      </c>
      <c r="D64" s="341" t="s">
        <v>881</v>
      </c>
      <c r="E64" s="342" t="s">
        <v>871</v>
      </c>
      <c r="F64" s="473" t="s">
        <v>875</v>
      </c>
      <c r="G64" s="474"/>
      <c r="H64" s="474"/>
      <c r="I64" s="474"/>
      <c r="J64" s="474"/>
      <c r="K64" s="474"/>
      <c r="L64" s="474"/>
      <c r="M64" s="475"/>
      <c r="N64" s="345"/>
      <c r="O64" s="339"/>
      <c r="P64" s="430"/>
      <c r="Q64" s="431"/>
      <c r="R64" s="430"/>
      <c r="S64" s="432"/>
      <c r="T64" s="432"/>
      <c r="U64" s="431"/>
      <c r="V64" s="417"/>
      <c r="W64" s="418"/>
      <c r="X64" s="418"/>
      <c r="Y64" s="418"/>
      <c r="Z64" s="418"/>
      <c r="AA64" s="418"/>
      <c r="AB64" s="418"/>
      <c r="AC64" s="418"/>
      <c r="AD64" s="419"/>
    </row>
    <row r="65" spans="1:32" ht="27" customHeight="1">
      <c r="A65" s="415" t="s">
        <v>127</v>
      </c>
      <c r="B65" s="416"/>
      <c r="C65" s="341" t="s">
        <v>882</v>
      </c>
      <c r="D65" s="341" t="s">
        <v>883</v>
      </c>
      <c r="E65" s="342" t="s">
        <v>873</v>
      </c>
      <c r="F65" s="473" t="s">
        <v>875</v>
      </c>
      <c r="G65" s="474"/>
      <c r="H65" s="474"/>
      <c r="I65" s="474"/>
      <c r="J65" s="474"/>
      <c r="K65" s="474"/>
      <c r="L65" s="474"/>
      <c r="M65" s="475"/>
      <c r="N65" s="345"/>
      <c r="O65" s="339"/>
      <c r="P65" s="430"/>
      <c r="Q65" s="431"/>
      <c r="R65" s="430"/>
      <c r="S65" s="432"/>
      <c r="T65" s="432"/>
      <c r="U65" s="431"/>
      <c r="V65" s="417"/>
      <c r="W65" s="418"/>
      <c r="X65" s="418"/>
      <c r="Y65" s="418"/>
      <c r="Z65" s="418"/>
      <c r="AA65" s="418"/>
      <c r="AB65" s="418"/>
      <c r="AC65" s="418"/>
      <c r="AD65" s="419"/>
    </row>
    <row r="66" spans="1:32" ht="27" customHeight="1">
      <c r="A66" s="415" t="s">
        <v>877</v>
      </c>
      <c r="B66" s="416"/>
      <c r="C66" s="341" t="s">
        <v>884</v>
      </c>
      <c r="D66" s="341" t="s">
        <v>885</v>
      </c>
      <c r="E66" s="342" t="s">
        <v>876</v>
      </c>
      <c r="F66" s="473" t="s">
        <v>157</v>
      </c>
      <c r="G66" s="474"/>
      <c r="H66" s="474"/>
      <c r="I66" s="474"/>
      <c r="J66" s="474"/>
      <c r="K66" s="474"/>
      <c r="L66" s="474"/>
      <c r="M66" s="475"/>
      <c r="N66" s="345"/>
      <c r="O66" s="339"/>
      <c r="P66" s="430"/>
      <c r="Q66" s="431"/>
      <c r="R66" s="430"/>
      <c r="S66" s="432"/>
      <c r="T66" s="432"/>
      <c r="U66" s="431"/>
      <c r="V66" s="417"/>
      <c r="W66" s="418"/>
      <c r="X66" s="418"/>
      <c r="Y66" s="418"/>
      <c r="Z66" s="418"/>
      <c r="AA66" s="418"/>
      <c r="AB66" s="418"/>
      <c r="AC66" s="418"/>
      <c r="AD66" s="419"/>
    </row>
    <row r="67" spans="1:32" ht="27" customHeight="1">
      <c r="A67" s="415"/>
      <c r="B67" s="416"/>
      <c r="C67" s="341"/>
      <c r="D67" s="341"/>
      <c r="E67" s="342"/>
      <c r="F67" s="473"/>
      <c r="G67" s="474"/>
      <c r="H67" s="474"/>
      <c r="I67" s="474"/>
      <c r="J67" s="474"/>
      <c r="K67" s="474"/>
      <c r="L67" s="474"/>
      <c r="M67" s="475"/>
      <c r="N67" s="345"/>
      <c r="O67" s="339"/>
      <c r="P67" s="420"/>
      <c r="Q67" s="420"/>
      <c r="R67" s="420"/>
      <c r="S67" s="420"/>
      <c r="T67" s="420"/>
      <c r="U67" s="420"/>
      <c r="V67" s="417"/>
      <c r="W67" s="418"/>
      <c r="X67" s="418"/>
      <c r="Y67" s="418"/>
      <c r="Z67" s="418"/>
      <c r="AA67" s="418"/>
      <c r="AB67" s="418"/>
      <c r="AC67" s="418"/>
      <c r="AD67" s="419"/>
      <c r="AF67" s="81">
        <f>8*3000</f>
        <v>24000</v>
      </c>
    </row>
    <row r="68" spans="1:32" ht="27" customHeight="1" thickBot="1">
      <c r="A68" s="421"/>
      <c r="B68" s="422"/>
      <c r="C68" s="343"/>
      <c r="D68" s="344"/>
      <c r="E68" s="343"/>
      <c r="F68" s="423"/>
      <c r="G68" s="424"/>
      <c r="H68" s="424"/>
      <c r="I68" s="424"/>
      <c r="J68" s="424"/>
      <c r="K68" s="424"/>
      <c r="L68" s="424"/>
      <c r="M68" s="425"/>
      <c r="N68" s="105"/>
      <c r="O68" s="97"/>
      <c r="P68" s="426"/>
      <c r="Q68" s="426"/>
      <c r="R68" s="426"/>
      <c r="S68" s="426"/>
      <c r="T68" s="426"/>
      <c r="U68" s="426"/>
      <c r="V68" s="427"/>
      <c r="W68" s="427"/>
      <c r="X68" s="427"/>
      <c r="Y68" s="427"/>
      <c r="Z68" s="427"/>
      <c r="AA68" s="427"/>
      <c r="AB68" s="427"/>
      <c r="AC68" s="427"/>
      <c r="AD68" s="428"/>
      <c r="AF68" s="81">
        <f>16*3000</f>
        <v>48000</v>
      </c>
    </row>
    <row r="69" spans="1:32" ht="27.75" thickBot="1">
      <c r="A69" s="413" t="s">
        <v>889</v>
      </c>
      <c r="B69" s="413"/>
      <c r="C69" s="413"/>
      <c r="D69" s="413"/>
      <c r="E69" s="413"/>
      <c r="F69" s="37"/>
      <c r="G69" s="37"/>
      <c r="H69" s="38"/>
      <c r="I69" s="38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F69" s="81">
        <v>24000</v>
      </c>
    </row>
    <row r="70" spans="1:32" ht="29.25" customHeight="1" thickBot="1">
      <c r="A70" s="414" t="s">
        <v>111</v>
      </c>
      <c r="B70" s="411"/>
      <c r="C70" s="340" t="s">
        <v>2</v>
      </c>
      <c r="D70" s="340" t="s">
        <v>37</v>
      </c>
      <c r="E70" s="340" t="s">
        <v>3</v>
      </c>
      <c r="F70" s="411" t="s">
        <v>109</v>
      </c>
      <c r="G70" s="411"/>
      <c r="H70" s="411"/>
      <c r="I70" s="411"/>
      <c r="J70" s="411"/>
      <c r="K70" s="411" t="s">
        <v>39</v>
      </c>
      <c r="L70" s="411"/>
      <c r="M70" s="340" t="s">
        <v>40</v>
      </c>
      <c r="N70" s="411" t="s">
        <v>41</v>
      </c>
      <c r="O70" s="411"/>
      <c r="P70" s="408" t="s">
        <v>42</v>
      </c>
      <c r="Q70" s="410"/>
      <c r="R70" s="408" t="s">
        <v>43</v>
      </c>
      <c r="S70" s="409"/>
      <c r="T70" s="409"/>
      <c r="U70" s="409"/>
      <c r="V70" s="409"/>
      <c r="W70" s="409"/>
      <c r="X70" s="409"/>
      <c r="Y70" s="409"/>
      <c r="Z70" s="409"/>
      <c r="AA70" s="410"/>
      <c r="AB70" s="411" t="s">
        <v>44</v>
      </c>
      <c r="AC70" s="411"/>
      <c r="AD70" s="412"/>
      <c r="AF70" s="81">
        <f>SUM(AF67:AF69)</f>
        <v>96000</v>
      </c>
    </row>
    <row r="71" spans="1:32" ht="25.5" customHeight="1">
      <c r="A71" s="399">
        <v>1</v>
      </c>
      <c r="B71" s="400"/>
      <c r="C71" s="98" t="s">
        <v>387</v>
      </c>
      <c r="D71" s="335"/>
      <c r="E71" s="338" t="s">
        <v>115</v>
      </c>
      <c r="F71" s="401" t="s">
        <v>554</v>
      </c>
      <c r="G71" s="391"/>
      <c r="H71" s="391"/>
      <c r="I71" s="391"/>
      <c r="J71" s="391"/>
      <c r="K71" s="391" t="s">
        <v>565</v>
      </c>
      <c r="L71" s="391"/>
      <c r="M71" s="51" t="s">
        <v>222</v>
      </c>
      <c r="N71" s="402" t="s">
        <v>240</v>
      </c>
      <c r="O71" s="402"/>
      <c r="P71" s="403"/>
      <c r="Q71" s="403"/>
      <c r="R71" s="404" t="s">
        <v>890</v>
      </c>
      <c r="S71" s="404"/>
      <c r="T71" s="404"/>
      <c r="U71" s="404"/>
      <c r="V71" s="404"/>
      <c r="W71" s="404"/>
      <c r="X71" s="404"/>
      <c r="Y71" s="404"/>
      <c r="Z71" s="404"/>
      <c r="AA71" s="404"/>
      <c r="AB71" s="391"/>
      <c r="AC71" s="391"/>
      <c r="AD71" s="392"/>
      <c r="AF71" s="50"/>
    </row>
    <row r="72" spans="1:32" ht="25.5" customHeight="1">
      <c r="A72" s="399">
        <v>2</v>
      </c>
      <c r="B72" s="400"/>
      <c r="C72" s="98" t="s">
        <v>387</v>
      </c>
      <c r="D72" s="335"/>
      <c r="E72" s="338" t="s">
        <v>115</v>
      </c>
      <c r="F72" s="401" t="s">
        <v>553</v>
      </c>
      <c r="G72" s="391"/>
      <c r="H72" s="391"/>
      <c r="I72" s="391"/>
      <c r="J72" s="391"/>
      <c r="K72" s="391" t="s">
        <v>565</v>
      </c>
      <c r="L72" s="391"/>
      <c r="M72" s="51" t="s">
        <v>222</v>
      </c>
      <c r="N72" s="402" t="s">
        <v>240</v>
      </c>
      <c r="O72" s="402"/>
      <c r="P72" s="403"/>
      <c r="Q72" s="403"/>
      <c r="R72" s="404" t="s">
        <v>891</v>
      </c>
      <c r="S72" s="404"/>
      <c r="T72" s="404"/>
      <c r="U72" s="404"/>
      <c r="V72" s="404"/>
      <c r="W72" s="404"/>
      <c r="X72" s="404"/>
      <c r="Y72" s="404"/>
      <c r="Z72" s="404"/>
      <c r="AA72" s="404"/>
      <c r="AB72" s="391"/>
      <c r="AC72" s="391"/>
      <c r="AD72" s="392"/>
      <c r="AF72" s="50"/>
    </row>
    <row r="73" spans="1:32" ht="25.5" customHeight="1">
      <c r="A73" s="399">
        <v>3</v>
      </c>
      <c r="B73" s="400"/>
      <c r="C73" s="98" t="s">
        <v>893</v>
      </c>
      <c r="D73" s="335"/>
      <c r="E73" s="338"/>
      <c r="F73" s="401" t="s">
        <v>892</v>
      </c>
      <c r="G73" s="391"/>
      <c r="H73" s="391"/>
      <c r="I73" s="391"/>
      <c r="J73" s="391"/>
      <c r="K73" s="391" t="s">
        <v>894</v>
      </c>
      <c r="L73" s="391"/>
      <c r="M73" s="51" t="s">
        <v>895</v>
      </c>
      <c r="N73" s="402" t="s">
        <v>896</v>
      </c>
      <c r="O73" s="402"/>
      <c r="P73" s="403"/>
      <c r="Q73" s="403"/>
      <c r="R73" s="404" t="s">
        <v>897</v>
      </c>
      <c r="S73" s="404"/>
      <c r="T73" s="404"/>
      <c r="U73" s="404"/>
      <c r="V73" s="404"/>
      <c r="W73" s="404"/>
      <c r="X73" s="404"/>
      <c r="Y73" s="404"/>
      <c r="Z73" s="404"/>
      <c r="AA73" s="404"/>
      <c r="AB73" s="391"/>
      <c r="AC73" s="391"/>
      <c r="AD73" s="392"/>
      <c r="AF73" s="50"/>
    </row>
    <row r="74" spans="1:32" ht="25.5" customHeight="1">
      <c r="A74" s="399">
        <v>4</v>
      </c>
      <c r="B74" s="400"/>
      <c r="C74" s="98"/>
      <c r="D74" s="335"/>
      <c r="E74" s="338"/>
      <c r="F74" s="405"/>
      <c r="G74" s="406"/>
      <c r="H74" s="406"/>
      <c r="I74" s="406"/>
      <c r="J74" s="407"/>
      <c r="K74" s="391"/>
      <c r="L74" s="391"/>
      <c r="M74" s="51"/>
      <c r="N74" s="402"/>
      <c r="O74" s="402"/>
      <c r="P74" s="403"/>
      <c r="Q74" s="403"/>
      <c r="R74" s="404"/>
      <c r="S74" s="404"/>
      <c r="T74" s="404"/>
      <c r="U74" s="404"/>
      <c r="V74" s="404"/>
      <c r="W74" s="404"/>
      <c r="X74" s="404"/>
      <c r="Y74" s="404"/>
      <c r="Z74" s="404"/>
      <c r="AA74" s="404"/>
      <c r="AB74" s="391"/>
      <c r="AC74" s="391"/>
      <c r="AD74" s="392"/>
      <c r="AF74" s="50"/>
    </row>
    <row r="75" spans="1:32" ht="25.5" customHeight="1">
      <c r="A75" s="399">
        <v>5</v>
      </c>
      <c r="B75" s="400"/>
      <c r="C75" s="98"/>
      <c r="D75" s="335"/>
      <c r="E75" s="338"/>
      <c r="F75" s="405"/>
      <c r="G75" s="406"/>
      <c r="H75" s="406"/>
      <c r="I75" s="406"/>
      <c r="J75" s="407"/>
      <c r="K75" s="391"/>
      <c r="L75" s="391"/>
      <c r="M75" s="51"/>
      <c r="N75" s="402"/>
      <c r="O75" s="402"/>
      <c r="P75" s="403"/>
      <c r="Q75" s="403"/>
      <c r="R75" s="404"/>
      <c r="S75" s="404"/>
      <c r="T75" s="404"/>
      <c r="U75" s="404"/>
      <c r="V75" s="404"/>
      <c r="W75" s="404"/>
      <c r="X75" s="404"/>
      <c r="Y75" s="404"/>
      <c r="Z75" s="404"/>
      <c r="AA75" s="404"/>
      <c r="AB75" s="391"/>
      <c r="AC75" s="391"/>
      <c r="AD75" s="392"/>
      <c r="AF75" s="50"/>
    </row>
    <row r="76" spans="1:32" ht="25.5" customHeight="1">
      <c r="A76" s="399">
        <v>6</v>
      </c>
      <c r="B76" s="400"/>
      <c r="C76" s="98"/>
      <c r="D76" s="335"/>
      <c r="E76" s="338"/>
      <c r="F76" s="405"/>
      <c r="G76" s="406"/>
      <c r="H76" s="406"/>
      <c r="I76" s="406"/>
      <c r="J76" s="407"/>
      <c r="K76" s="391"/>
      <c r="L76" s="391"/>
      <c r="M76" s="51"/>
      <c r="N76" s="402"/>
      <c r="O76" s="402"/>
      <c r="P76" s="403"/>
      <c r="Q76" s="403"/>
      <c r="R76" s="404"/>
      <c r="S76" s="404"/>
      <c r="T76" s="404"/>
      <c r="U76" s="404"/>
      <c r="V76" s="404"/>
      <c r="W76" s="404"/>
      <c r="X76" s="404"/>
      <c r="Y76" s="404"/>
      <c r="Z76" s="404"/>
      <c r="AA76" s="404"/>
      <c r="AB76" s="391"/>
      <c r="AC76" s="391"/>
      <c r="AD76" s="392"/>
      <c r="AF76" s="50"/>
    </row>
    <row r="77" spans="1:32" ht="25.5" customHeight="1">
      <c r="A77" s="399">
        <v>7</v>
      </c>
      <c r="B77" s="400"/>
      <c r="C77" s="98"/>
      <c r="D77" s="335"/>
      <c r="E77" s="338"/>
      <c r="F77" s="405"/>
      <c r="G77" s="406"/>
      <c r="H77" s="406"/>
      <c r="I77" s="406"/>
      <c r="J77" s="407"/>
      <c r="K77" s="391"/>
      <c r="L77" s="391"/>
      <c r="M77" s="51"/>
      <c r="N77" s="402"/>
      <c r="O77" s="402"/>
      <c r="P77" s="403"/>
      <c r="Q77" s="403"/>
      <c r="R77" s="404"/>
      <c r="S77" s="404"/>
      <c r="T77" s="404"/>
      <c r="U77" s="404"/>
      <c r="V77" s="404"/>
      <c r="W77" s="404"/>
      <c r="X77" s="404"/>
      <c r="Y77" s="404"/>
      <c r="Z77" s="404"/>
      <c r="AA77" s="404"/>
      <c r="AB77" s="391"/>
      <c r="AC77" s="391"/>
      <c r="AD77" s="392"/>
      <c r="AF77" s="50"/>
    </row>
    <row r="78" spans="1:32" ht="25.5" customHeight="1">
      <c r="A78" s="399">
        <v>8</v>
      </c>
      <c r="B78" s="400"/>
      <c r="C78" s="98"/>
      <c r="D78" s="335"/>
      <c r="E78" s="338"/>
      <c r="F78" s="401"/>
      <c r="G78" s="391"/>
      <c r="H78" s="391"/>
      <c r="I78" s="391"/>
      <c r="J78" s="391"/>
      <c r="K78" s="391"/>
      <c r="L78" s="391"/>
      <c r="M78" s="51"/>
      <c r="N78" s="402"/>
      <c r="O78" s="402"/>
      <c r="P78" s="403"/>
      <c r="Q78" s="403"/>
      <c r="R78" s="404"/>
      <c r="S78" s="404"/>
      <c r="T78" s="404"/>
      <c r="U78" s="404"/>
      <c r="V78" s="404"/>
      <c r="W78" s="404"/>
      <c r="X78" s="404"/>
      <c r="Y78" s="404"/>
      <c r="Z78" s="404"/>
      <c r="AA78" s="404"/>
      <c r="AB78" s="391"/>
      <c r="AC78" s="391"/>
      <c r="AD78" s="392"/>
      <c r="AF78" s="50"/>
    </row>
    <row r="79" spans="1:32" ht="25.5" customHeight="1">
      <c r="A79" s="399">
        <v>9</v>
      </c>
      <c r="B79" s="400"/>
      <c r="C79" s="98"/>
      <c r="D79" s="335"/>
      <c r="E79" s="338"/>
      <c r="F79" s="401"/>
      <c r="G79" s="391"/>
      <c r="H79" s="391"/>
      <c r="I79" s="391"/>
      <c r="J79" s="391"/>
      <c r="K79" s="391"/>
      <c r="L79" s="391"/>
      <c r="M79" s="51"/>
      <c r="N79" s="402"/>
      <c r="O79" s="402"/>
      <c r="P79" s="403"/>
      <c r="Q79" s="403"/>
      <c r="R79" s="404"/>
      <c r="S79" s="404"/>
      <c r="T79" s="404"/>
      <c r="U79" s="404"/>
      <c r="V79" s="404"/>
      <c r="W79" s="404"/>
      <c r="X79" s="404"/>
      <c r="Y79" s="404"/>
      <c r="Z79" s="404"/>
      <c r="AA79" s="404"/>
      <c r="AB79" s="391"/>
      <c r="AC79" s="391"/>
      <c r="AD79" s="392"/>
      <c r="AF79" s="50"/>
    </row>
    <row r="80" spans="1:32" ht="25.5" customHeight="1">
      <c r="A80" s="399">
        <v>10</v>
      </c>
      <c r="B80" s="400"/>
      <c r="C80" s="98"/>
      <c r="D80" s="335"/>
      <c r="E80" s="338"/>
      <c r="F80" s="401"/>
      <c r="G80" s="391"/>
      <c r="H80" s="391"/>
      <c r="I80" s="391"/>
      <c r="J80" s="391"/>
      <c r="K80" s="391"/>
      <c r="L80" s="391"/>
      <c r="M80" s="51"/>
      <c r="N80" s="402"/>
      <c r="O80" s="402"/>
      <c r="P80" s="403"/>
      <c r="Q80" s="403"/>
      <c r="R80" s="404"/>
      <c r="S80" s="404"/>
      <c r="T80" s="404"/>
      <c r="U80" s="404"/>
      <c r="V80" s="404"/>
      <c r="W80" s="404"/>
      <c r="X80" s="404"/>
      <c r="Y80" s="404"/>
      <c r="Z80" s="404"/>
      <c r="AA80" s="404"/>
      <c r="AB80" s="391"/>
      <c r="AC80" s="391"/>
      <c r="AD80" s="392"/>
      <c r="AF80" s="50"/>
    </row>
    <row r="81" spans="1:32" ht="26.25" customHeight="1" thickBot="1">
      <c r="A81" s="371" t="s">
        <v>898</v>
      </c>
      <c r="B81" s="371"/>
      <c r="C81" s="371"/>
      <c r="D81" s="371"/>
      <c r="E81" s="371"/>
      <c r="F81" s="37"/>
      <c r="G81" s="37"/>
      <c r="H81" s="38"/>
      <c r="I81" s="38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F81" s="50"/>
    </row>
    <row r="82" spans="1:32" ht="23.25" thickBot="1">
      <c r="A82" s="393" t="s">
        <v>111</v>
      </c>
      <c r="B82" s="394"/>
      <c r="C82" s="337" t="s">
        <v>2</v>
      </c>
      <c r="D82" s="337" t="s">
        <v>37</v>
      </c>
      <c r="E82" s="337" t="s">
        <v>120</v>
      </c>
      <c r="F82" s="373" t="s">
        <v>38</v>
      </c>
      <c r="G82" s="373"/>
      <c r="H82" s="373"/>
      <c r="I82" s="373"/>
      <c r="J82" s="373"/>
      <c r="K82" s="395" t="s">
        <v>58</v>
      </c>
      <c r="L82" s="396"/>
      <c r="M82" s="396"/>
      <c r="N82" s="396"/>
      <c r="O82" s="396"/>
      <c r="P82" s="396"/>
      <c r="Q82" s="396"/>
      <c r="R82" s="396"/>
      <c r="S82" s="397"/>
      <c r="T82" s="373" t="s">
        <v>49</v>
      </c>
      <c r="U82" s="373"/>
      <c r="V82" s="395" t="s">
        <v>50</v>
      </c>
      <c r="W82" s="397"/>
      <c r="X82" s="396" t="s">
        <v>51</v>
      </c>
      <c r="Y82" s="396"/>
      <c r="Z82" s="396"/>
      <c r="AA82" s="396"/>
      <c r="AB82" s="396"/>
      <c r="AC82" s="396"/>
      <c r="AD82" s="398"/>
      <c r="AF82" s="50"/>
    </row>
    <row r="83" spans="1:32" ht="33.75" customHeight="1">
      <c r="A83" s="365">
        <v>1</v>
      </c>
      <c r="B83" s="366"/>
      <c r="C83" s="336"/>
      <c r="D83" s="336"/>
      <c r="E83" s="65"/>
      <c r="F83" s="380"/>
      <c r="G83" s="381"/>
      <c r="H83" s="381"/>
      <c r="I83" s="381"/>
      <c r="J83" s="382"/>
      <c r="K83" s="383"/>
      <c r="L83" s="384"/>
      <c r="M83" s="384"/>
      <c r="N83" s="384"/>
      <c r="O83" s="384"/>
      <c r="P83" s="384"/>
      <c r="Q83" s="384"/>
      <c r="R83" s="384"/>
      <c r="S83" s="385"/>
      <c r="T83" s="386"/>
      <c r="U83" s="387"/>
      <c r="V83" s="388"/>
      <c r="W83" s="388"/>
      <c r="X83" s="389"/>
      <c r="Y83" s="389"/>
      <c r="Z83" s="389"/>
      <c r="AA83" s="389"/>
      <c r="AB83" s="389"/>
      <c r="AC83" s="389"/>
      <c r="AD83" s="390"/>
      <c r="AF83" s="50"/>
    </row>
    <row r="84" spans="1:32" ht="30" customHeight="1">
      <c r="A84" s="358">
        <f>A83+1</f>
        <v>2</v>
      </c>
      <c r="B84" s="359"/>
      <c r="C84" s="335"/>
      <c r="D84" s="335"/>
      <c r="E84" s="32"/>
      <c r="F84" s="359"/>
      <c r="G84" s="359"/>
      <c r="H84" s="359"/>
      <c r="I84" s="359"/>
      <c r="J84" s="359"/>
      <c r="K84" s="374"/>
      <c r="L84" s="375"/>
      <c r="M84" s="375"/>
      <c r="N84" s="375"/>
      <c r="O84" s="375"/>
      <c r="P84" s="375"/>
      <c r="Q84" s="375"/>
      <c r="R84" s="375"/>
      <c r="S84" s="376"/>
      <c r="T84" s="377"/>
      <c r="U84" s="377"/>
      <c r="V84" s="377"/>
      <c r="W84" s="377"/>
      <c r="X84" s="378"/>
      <c r="Y84" s="378"/>
      <c r="Z84" s="378"/>
      <c r="AA84" s="378"/>
      <c r="AB84" s="378"/>
      <c r="AC84" s="378"/>
      <c r="AD84" s="379"/>
      <c r="AF84" s="50"/>
    </row>
    <row r="85" spans="1:32" ht="30" customHeight="1">
      <c r="A85" s="358">
        <f t="shared" ref="A85:A89" si="17">A84+1</f>
        <v>3</v>
      </c>
      <c r="B85" s="359"/>
      <c r="C85" s="335"/>
      <c r="D85" s="335"/>
      <c r="E85" s="32"/>
      <c r="F85" s="359"/>
      <c r="G85" s="359"/>
      <c r="H85" s="359"/>
      <c r="I85" s="359"/>
      <c r="J85" s="359"/>
      <c r="K85" s="374"/>
      <c r="L85" s="375"/>
      <c r="M85" s="375"/>
      <c r="N85" s="375"/>
      <c r="O85" s="375"/>
      <c r="P85" s="375"/>
      <c r="Q85" s="375"/>
      <c r="R85" s="375"/>
      <c r="S85" s="376"/>
      <c r="T85" s="377"/>
      <c r="U85" s="377"/>
      <c r="V85" s="377"/>
      <c r="W85" s="377"/>
      <c r="X85" s="378"/>
      <c r="Y85" s="378"/>
      <c r="Z85" s="378"/>
      <c r="AA85" s="378"/>
      <c r="AB85" s="378"/>
      <c r="AC85" s="378"/>
      <c r="AD85" s="379"/>
      <c r="AF85" s="50"/>
    </row>
    <row r="86" spans="1:32" ht="30" customHeight="1">
      <c r="A86" s="358">
        <f t="shared" si="17"/>
        <v>4</v>
      </c>
      <c r="B86" s="359"/>
      <c r="C86" s="335"/>
      <c r="D86" s="335"/>
      <c r="E86" s="32"/>
      <c r="F86" s="359"/>
      <c r="G86" s="359"/>
      <c r="H86" s="359"/>
      <c r="I86" s="359"/>
      <c r="J86" s="359"/>
      <c r="K86" s="374"/>
      <c r="L86" s="375"/>
      <c r="M86" s="375"/>
      <c r="N86" s="375"/>
      <c r="O86" s="375"/>
      <c r="P86" s="375"/>
      <c r="Q86" s="375"/>
      <c r="R86" s="375"/>
      <c r="S86" s="376"/>
      <c r="T86" s="377"/>
      <c r="U86" s="377"/>
      <c r="V86" s="377"/>
      <c r="W86" s="377"/>
      <c r="X86" s="378"/>
      <c r="Y86" s="378"/>
      <c r="Z86" s="378"/>
      <c r="AA86" s="378"/>
      <c r="AB86" s="378"/>
      <c r="AC86" s="378"/>
      <c r="AD86" s="379"/>
      <c r="AF86" s="50"/>
    </row>
    <row r="87" spans="1:32" ht="30" customHeight="1">
      <c r="A87" s="358">
        <f t="shared" si="17"/>
        <v>5</v>
      </c>
      <c r="B87" s="359"/>
      <c r="C87" s="335"/>
      <c r="D87" s="335"/>
      <c r="E87" s="32"/>
      <c r="F87" s="359"/>
      <c r="G87" s="359"/>
      <c r="H87" s="359"/>
      <c r="I87" s="359"/>
      <c r="J87" s="359"/>
      <c r="K87" s="374"/>
      <c r="L87" s="375"/>
      <c r="M87" s="375"/>
      <c r="N87" s="375"/>
      <c r="O87" s="375"/>
      <c r="P87" s="375"/>
      <c r="Q87" s="375"/>
      <c r="R87" s="375"/>
      <c r="S87" s="376"/>
      <c r="T87" s="377"/>
      <c r="U87" s="377"/>
      <c r="V87" s="377"/>
      <c r="W87" s="377"/>
      <c r="X87" s="378"/>
      <c r="Y87" s="378"/>
      <c r="Z87" s="378"/>
      <c r="AA87" s="378"/>
      <c r="AB87" s="378"/>
      <c r="AC87" s="378"/>
      <c r="AD87" s="379"/>
      <c r="AF87" s="50"/>
    </row>
    <row r="88" spans="1:32" ht="30" customHeight="1">
      <c r="A88" s="358">
        <f t="shared" si="17"/>
        <v>6</v>
      </c>
      <c r="B88" s="359"/>
      <c r="C88" s="335"/>
      <c r="D88" s="335"/>
      <c r="E88" s="32"/>
      <c r="F88" s="359"/>
      <c r="G88" s="359"/>
      <c r="H88" s="359"/>
      <c r="I88" s="359"/>
      <c r="J88" s="359"/>
      <c r="K88" s="374"/>
      <c r="L88" s="375"/>
      <c r="M88" s="375"/>
      <c r="N88" s="375"/>
      <c r="O88" s="375"/>
      <c r="P88" s="375"/>
      <c r="Q88" s="375"/>
      <c r="R88" s="375"/>
      <c r="S88" s="376"/>
      <c r="T88" s="377"/>
      <c r="U88" s="377"/>
      <c r="V88" s="377"/>
      <c r="W88" s="377"/>
      <c r="X88" s="378"/>
      <c r="Y88" s="378"/>
      <c r="Z88" s="378"/>
      <c r="AA88" s="378"/>
      <c r="AB88" s="378"/>
      <c r="AC88" s="378"/>
      <c r="AD88" s="379"/>
      <c r="AF88" s="50"/>
    </row>
    <row r="89" spans="1:32" ht="30" customHeight="1">
      <c r="A89" s="358">
        <f t="shared" si="17"/>
        <v>7</v>
      </c>
      <c r="B89" s="359"/>
      <c r="C89" s="335"/>
      <c r="D89" s="335"/>
      <c r="E89" s="32"/>
      <c r="F89" s="359"/>
      <c r="G89" s="359"/>
      <c r="H89" s="359"/>
      <c r="I89" s="359"/>
      <c r="J89" s="359"/>
      <c r="K89" s="374"/>
      <c r="L89" s="375"/>
      <c r="M89" s="375"/>
      <c r="N89" s="375"/>
      <c r="O89" s="375"/>
      <c r="P89" s="375"/>
      <c r="Q89" s="375"/>
      <c r="R89" s="375"/>
      <c r="S89" s="376"/>
      <c r="T89" s="377"/>
      <c r="U89" s="377"/>
      <c r="V89" s="377"/>
      <c r="W89" s="377"/>
      <c r="X89" s="378"/>
      <c r="Y89" s="378"/>
      <c r="Z89" s="378"/>
      <c r="AA89" s="378"/>
      <c r="AB89" s="378"/>
      <c r="AC89" s="378"/>
      <c r="AD89" s="379"/>
      <c r="AF89" s="50"/>
    </row>
    <row r="90" spans="1:32" ht="36" thickBot="1">
      <c r="A90" s="371" t="s">
        <v>899</v>
      </c>
      <c r="B90" s="371"/>
      <c r="C90" s="371"/>
      <c r="D90" s="371"/>
      <c r="E90" s="371"/>
      <c r="F90" s="37"/>
      <c r="G90" s="37"/>
      <c r="H90" s="38"/>
      <c r="I90" s="38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F90" s="50"/>
    </row>
    <row r="91" spans="1:32" ht="30.75" customHeight="1" thickBot="1">
      <c r="A91" s="372" t="s">
        <v>111</v>
      </c>
      <c r="B91" s="373"/>
      <c r="C91" s="363" t="s">
        <v>52</v>
      </c>
      <c r="D91" s="363"/>
      <c r="E91" s="363" t="s">
        <v>53</v>
      </c>
      <c r="F91" s="363"/>
      <c r="G91" s="363"/>
      <c r="H91" s="363"/>
      <c r="I91" s="363"/>
      <c r="J91" s="363"/>
      <c r="K91" s="363" t="s">
        <v>54</v>
      </c>
      <c r="L91" s="363"/>
      <c r="M91" s="363"/>
      <c r="N91" s="363"/>
      <c r="O91" s="363"/>
      <c r="P91" s="363"/>
      <c r="Q91" s="363"/>
      <c r="R91" s="363"/>
      <c r="S91" s="363"/>
      <c r="T91" s="363" t="s">
        <v>55</v>
      </c>
      <c r="U91" s="363"/>
      <c r="V91" s="363" t="s">
        <v>56</v>
      </c>
      <c r="W91" s="363"/>
      <c r="X91" s="363"/>
      <c r="Y91" s="363" t="s">
        <v>51</v>
      </c>
      <c r="Z91" s="363"/>
      <c r="AA91" s="363"/>
      <c r="AB91" s="363"/>
      <c r="AC91" s="363"/>
      <c r="AD91" s="364"/>
      <c r="AF91" s="50"/>
    </row>
    <row r="92" spans="1:32" ht="30.75" customHeight="1">
      <c r="A92" s="365">
        <v>1</v>
      </c>
      <c r="B92" s="366"/>
      <c r="C92" s="367"/>
      <c r="D92" s="367"/>
      <c r="E92" s="367"/>
      <c r="F92" s="367"/>
      <c r="G92" s="367"/>
      <c r="H92" s="367"/>
      <c r="I92" s="367"/>
      <c r="J92" s="367"/>
      <c r="K92" s="367"/>
      <c r="L92" s="367"/>
      <c r="M92" s="367"/>
      <c r="N92" s="367"/>
      <c r="O92" s="367"/>
      <c r="P92" s="367"/>
      <c r="Q92" s="367"/>
      <c r="R92" s="367"/>
      <c r="S92" s="367"/>
      <c r="T92" s="367"/>
      <c r="U92" s="367"/>
      <c r="V92" s="368"/>
      <c r="W92" s="368"/>
      <c r="X92" s="368"/>
      <c r="Y92" s="369"/>
      <c r="Z92" s="369"/>
      <c r="AA92" s="369"/>
      <c r="AB92" s="369"/>
      <c r="AC92" s="369"/>
      <c r="AD92" s="370"/>
      <c r="AF92" s="50"/>
    </row>
    <row r="93" spans="1:32" ht="30.75" customHeight="1">
      <c r="A93" s="358">
        <v>2</v>
      </c>
      <c r="B93" s="359"/>
      <c r="C93" s="360"/>
      <c r="D93" s="360"/>
      <c r="E93" s="360"/>
      <c r="F93" s="360"/>
      <c r="G93" s="360"/>
      <c r="H93" s="360"/>
      <c r="I93" s="360"/>
      <c r="J93" s="360"/>
      <c r="K93" s="360"/>
      <c r="L93" s="360"/>
      <c r="M93" s="360"/>
      <c r="N93" s="360"/>
      <c r="O93" s="360"/>
      <c r="P93" s="360"/>
      <c r="Q93" s="360"/>
      <c r="R93" s="360"/>
      <c r="S93" s="360"/>
      <c r="T93" s="361"/>
      <c r="U93" s="361"/>
      <c r="V93" s="362"/>
      <c r="W93" s="362"/>
      <c r="X93" s="362"/>
      <c r="Y93" s="350"/>
      <c r="Z93" s="350"/>
      <c r="AA93" s="350"/>
      <c r="AB93" s="350"/>
      <c r="AC93" s="350"/>
      <c r="AD93" s="351"/>
      <c r="AF93" s="50"/>
    </row>
    <row r="94" spans="1:32" ht="30.75" customHeight="1" thickBot="1">
      <c r="A94" s="352">
        <v>3</v>
      </c>
      <c r="B94" s="353"/>
      <c r="C94" s="354"/>
      <c r="D94" s="354"/>
      <c r="E94" s="354"/>
      <c r="F94" s="354"/>
      <c r="G94" s="354"/>
      <c r="H94" s="354"/>
      <c r="I94" s="354"/>
      <c r="J94" s="354"/>
      <c r="K94" s="354"/>
      <c r="L94" s="354"/>
      <c r="M94" s="354"/>
      <c r="N94" s="354"/>
      <c r="O94" s="354"/>
      <c r="P94" s="354"/>
      <c r="Q94" s="354"/>
      <c r="R94" s="354"/>
      <c r="S94" s="354"/>
      <c r="T94" s="354"/>
      <c r="U94" s="354"/>
      <c r="V94" s="355"/>
      <c r="W94" s="355"/>
      <c r="X94" s="355"/>
      <c r="Y94" s="356"/>
      <c r="Z94" s="356"/>
      <c r="AA94" s="356"/>
      <c r="AB94" s="356"/>
      <c r="AC94" s="356"/>
      <c r="AD94" s="357"/>
      <c r="AF94" s="50"/>
    </row>
  </sheetData>
  <mergeCells count="232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9:H29"/>
    <mergeCell ref="A56:E56"/>
    <mergeCell ref="A57:M57"/>
    <mergeCell ref="N57:AD57"/>
    <mergeCell ref="A58:B58"/>
    <mergeCell ref="F58:M58"/>
    <mergeCell ref="P58:Q58"/>
    <mergeCell ref="R58:U58"/>
    <mergeCell ref="V58:AD58"/>
    <mergeCell ref="I4:O4"/>
    <mergeCell ref="P4:Q4"/>
    <mergeCell ref="R4:V4"/>
    <mergeCell ref="W4:AA4"/>
    <mergeCell ref="AB4:AB5"/>
    <mergeCell ref="AC4:AC5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A64:B64"/>
    <mergeCell ref="F64:M64"/>
    <mergeCell ref="P64:Q64"/>
    <mergeCell ref="R64:U64"/>
    <mergeCell ref="V64:AD64"/>
    <mergeCell ref="R67:U67"/>
    <mergeCell ref="V67:AD67"/>
    <mergeCell ref="A68:B68"/>
    <mergeCell ref="F68:M68"/>
    <mergeCell ref="P68:Q68"/>
    <mergeCell ref="R68:U68"/>
    <mergeCell ref="V68:AD68"/>
    <mergeCell ref="A65:B65"/>
    <mergeCell ref="F65:M65"/>
    <mergeCell ref="P65:Q65"/>
    <mergeCell ref="R65:U65"/>
    <mergeCell ref="V65:AD65"/>
    <mergeCell ref="A66:B66"/>
    <mergeCell ref="F66:M66"/>
    <mergeCell ref="P66:Q66"/>
    <mergeCell ref="R66:U66"/>
    <mergeCell ref="V66:AD66"/>
    <mergeCell ref="A69:E69"/>
    <mergeCell ref="A70:B70"/>
    <mergeCell ref="F70:J70"/>
    <mergeCell ref="K70:L70"/>
    <mergeCell ref="N70:O70"/>
    <mergeCell ref="P70:Q70"/>
    <mergeCell ref="A67:B67"/>
    <mergeCell ref="F67:M67"/>
    <mergeCell ref="P67:Q67"/>
    <mergeCell ref="R70:AA70"/>
    <mergeCell ref="AB70:AD70"/>
    <mergeCell ref="A71:B71"/>
    <mergeCell ref="F71:J71"/>
    <mergeCell ref="K71:L71"/>
    <mergeCell ref="N71:O71"/>
    <mergeCell ref="P71:Q71"/>
    <mergeCell ref="R71:AA71"/>
    <mergeCell ref="AB71:AD71"/>
    <mergeCell ref="AB72:AD72"/>
    <mergeCell ref="A73:B73"/>
    <mergeCell ref="F73:J73"/>
    <mergeCell ref="K73:L73"/>
    <mergeCell ref="N73:O73"/>
    <mergeCell ref="P73:Q73"/>
    <mergeCell ref="R73:AA73"/>
    <mergeCell ref="AB73:AD73"/>
    <mergeCell ref="A72:B72"/>
    <mergeCell ref="F72:J72"/>
    <mergeCell ref="K72:L72"/>
    <mergeCell ref="N72:O72"/>
    <mergeCell ref="P72:Q72"/>
    <mergeCell ref="R72:AA72"/>
    <mergeCell ref="AB74:AD74"/>
    <mergeCell ref="A75:B75"/>
    <mergeCell ref="F75:J75"/>
    <mergeCell ref="K75:L75"/>
    <mergeCell ref="N75:O75"/>
    <mergeCell ref="P75:Q75"/>
    <mergeCell ref="R75:AA75"/>
    <mergeCell ref="AB75:AD75"/>
    <mergeCell ref="A74:B74"/>
    <mergeCell ref="F74:J74"/>
    <mergeCell ref="K74:L74"/>
    <mergeCell ref="N74:O74"/>
    <mergeCell ref="P74:Q74"/>
    <mergeCell ref="R74:AA74"/>
    <mergeCell ref="AB76:AD76"/>
    <mergeCell ref="A77:B77"/>
    <mergeCell ref="F77:J77"/>
    <mergeCell ref="K77:L77"/>
    <mergeCell ref="N77:O77"/>
    <mergeCell ref="P77:Q77"/>
    <mergeCell ref="R77:AA77"/>
    <mergeCell ref="AB77:AD77"/>
    <mergeCell ref="A76:B76"/>
    <mergeCell ref="F76:J76"/>
    <mergeCell ref="K76:L76"/>
    <mergeCell ref="N76:O76"/>
    <mergeCell ref="P76:Q76"/>
    <mergeCell ref="R76:AA76"/>
    <mergeCell ref="AB78:AD78"/>
    <mergeCell ref="A79:B79"/>
    <mergeCell ref="F79:J79"/>
    <mergeCell ref="K79:L79"/>
    <mergeCell ref="N79:O79"/>
    <mergeCell ref="P79:Q79"/>
    <mergeCell ref="R79:AA79"/>
    <mergeCell ref="AB79:AD79"/>
    <mergeCell ref="A78:B78"/>
    <mergeCell ref="F78:J78"/>
    <mergeCell ref="K78:L78"/>
    <mergeCell ref="N78:O78"/>
    <mergeCell ref="P78:Q78"/>
    <mergeCell ref="R78:AA78"/>
    <mergeCell ref="AB80:AD80"/>
    <mergeCell ref="A81:E81"/>
    <mergeCell ref="A82:B82"/>
    <mergeCell ref="F82:J82"/>
    <mergeCell ref="K82:S82"/>
    <mergeCell ref="T82:U82"/>
    <mergeCell ref="V82:W82"/>
    <mergeCell ref="X82:AD82"/>
    <mergeCell ref="A80:B80"/>
    <mergeCell ref="F80:J80"/>
    <mergeCell ref="K80:L80"/>
    <mergeCell ref="N80:O80"/>
    <mergeCell ref="P80:Q80"/>
    <mergeCell ref="R80:AA80"/>
    <mergeCell ref="A84:B84"/>
    <mergeCell ref="F84:J84"/>
    <mergeCell ref="K84:S84"/>
    <mergeCell ref="T84:U84"/>
    <mergeCell ref="V84:W84"/>
    <mergeCell ref="X84:AD84"/>
    <mergeCell ref="A83:B83"/>
    <mergeCell ref="F83:J83"/>
    <mergeCell ref="K83:S83"/>
    <mergeCell ref="T83:U83"/>
    <mergeCell ref="V83:W83"/>
    <mergeCell ref="X83:AD83"/>
    <mergeCell ref="A86:B86"/>
    <mergeCell ref="F86:J86"/>
    <mergeCell ref="K86:S86"/>
    <mergeCell ref="T86:U86"/>
    <mergeCell ref="V86:W86"/>
    <mergeCell ref="X86:AD86"/>
    <mergeCell ref="A85:B85"/>
    <mergeCell ref="F85:J85"/>
    <mergeCell ref="K85:S85"/>
    <mergeCell ref="T85:U85"/>
    <mergeCell ref="V85:W85"/>
    <mergeCell ref="X85:AD85"/>
    <mergeCell ref="V89:W89"/>
    <mergeCell ref="X89:AD89"/>
    <mergeCell ref="A88:B88"/>
    <mergeCell ref="F88:J88"/>
    <mergeCell ref="K88:S88"/>
    <mergeCell ref="T88:U88"/>
    <mergeCell ref="V88:W88"/>
    <mergeCell ref="X88:AD88"/>
    <mergeCell ref="A87:B87"/>
    <mergeCell ref="F87:J87"/>
    <mergeCell ref="K87:S87"/>
    <mergeCell ref="T87:U87"/>
    <mergeCell ref="V87:W87"/>
    <mergeCell ref="X87:AD87"/>
    <mergeCell ref="A90:E90"/>
    <mergeCell ref="A91:B91"/>
    <mergeCell ref="C91:D91"/>
    <mergeCell ref="E91:J91"/>
    <mergeCell ref="K91:S91"/>
    <mergeCell ref="T91:U91"/>
    <mergeCell ref="A89:B89"/>
    <mergeCell ref="F89:J89"/>
    <mergeCell ref="K89:S89"/>
    <mergeCell ref="T89:U89"/>
    <mergeCell ref="V91:X91"/>
    <mergeCell ref="Y91:AD91"/>
    <mergeCell ref="A92:B92"/>
    <mergeCell ref="C92:D92"/>
    <mergeCell ref="E92:J92"/>
    <mergeCell ref="K92:S92"/>
    <mergeCell ref="T92:U92"/>
    <mergeCell ref="V92:X92"/>
    <mergeCell ref="Y92:AD92"/>
    <mergeCell ref="Y93:AD93"/>
    <mergeCell ref="A94:B94"/>
    <mergeCell ref="C94:D94"/>
    <mergeCell ref="E94:J94"/>
    <mergeCell ref="K94:S94"/>
    <mergeCell ref="T94:U94"/>
    <mergeCell ref="V94:X94"/>
    <mergeCell ref="Y94:AD94"/>
    <mergeCell ref="A93:B93"/>
    <mergeCell ref="C93:D93"/>
    <mergeCell ref="E93:J93"/>
    <mergeCell ref="K93:S93"/>
    <mergeCell ref="T93:U93"/>
    <mergeCell ref="V93:X93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54" max="29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  <pageSetUpPr fitToPage="1"/>
  </sheetPr>
  <dimension ref="A1:AG26"/>
  <sheetViews>
    <sheetView view="pageBreakPreview" zoomScaleNormal="100" zoomScaleSheetLayoutView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E21" sqref="AE21"/>
    </sheetView>
  </sheetViews>
  <sheetFormatPr defaultRowHeight="13.5"/>
  <cols>
    <col min="1" max="1" width="7.5" style="68" bestFit="1" customWidth="1"/>
    <col min="2" max="17" width="5.5" style="68" bestFit="1" customWidth="1"/>
    <col min="18" max="18" width="6" style="68" customWidth="1"/>
    <col min="19" max="32" width="5.5" style="68" bestFit="1" customWidth="1"/>
    <col min="33" max="33" width="6.5" style="68" bestFit="1" customWidth="1"/>
    <col min="34" max="16384" width="9" style="68"/>
  </cols>
  <sheetData>
    <row r="1" spans="1:33" ht="33.75" customHeight="1" thickBot="1">
      <c r="A1" s="476" t="s">
        <v>189</v>
      </c>
      <c r="B1" s="476"/>
      <c r="C1" s="476"/>
      <c r="D1" s="476"/>
      <c r="E1" s="476"/>
      <c r="F1" s="476"/>
      <c r="G1" s="476"/>
      <c r="H1" s="476"/>
    </row>
    <row r="2" spans="1:33" ht="21.75" customHeight="1" thickBot="1">
      <c r="A2" s="83" t="s">
        <v>59</v>
      </c>
      <c r="B2" s="85" t="s">
        <v>73</v>
      </c>
      <c r="C2" s="86" t="s">
        <v>74</v>
      </c>
      <c r="D2" s="86" t="s">
        <v>75</v>
      </c>
      <c r="E2" s="86" t="s">
        <v>76</v>
      </c>
      <c r="F2" s="86" t="s">
        <v>77</v>
      </c>
      <c r="G2" s="86" t="s">
        <v>78</v>
      </c>
      <c r="H2" s="86" t="s">
        <v>79</v>
      </c>
      <c r="I2" s="86" t="s">
        <v>80</v>
      </c>
      <c r="J2" s="86" t="s">
        <v>81</v>
      </c>
      <c r="K2" s="86" t="s">
        <v>82</v>
      </c>
      <c r="L2" s="86" t="s">
        <v>83</v>
      </c>
      <c r="M2" s="86" t="s">
        <v>84</v>
      </c>
      <c r="N2" s="86" t="s">
        <v>85</v>
      </c>
      <c r="O2" s="86" t="s">
        <v>86</v>
      </c>
      <c r="P2" s="86" t="s">
        <v>87</v>
      </c>
      <c r="Q2" s="86" t="s">
        <v>88</v>
      </c>
      <c r="R2" s="86" t="s">
        <v>89</v>
      </c>
      <c r="S2" s="86" t="s">
        <v>90</v>
      </c>
      <c r="T2" s="86" t="s">
        <v>91</v>
      </c>
      <c r="U2" s="86" t="s">
        <v>92</v>
      </c>
      <c r="V2" s="86" t="s">
        <v>93</v>
      </c>
      <c r="W2" s="86" t="s">
        <v>94</v>
      </c>
      <c r="X2" s="86" t="s">
        <v>95</v>
      </c>
      <c r="Y2" s="86" t="s">
        <v>96</v>
      </c>
      <c r="Z2" s="86" t="s">
        <v>97</v>
      </c>
      <c r="AA2" s="86" t="s">
        <v>98</v>
      </c>
      <c r="AB2" s="86" t="s">
        <v>99</v>
      </c>
      <c r="AC2" s="86" t="s">
        <v>100</v>
      </c>
      <c r="AD2" s="86" t="s">
        <v>101</v>
      </c>
      <c r="AE2" s="86" t="s">
        <v>102</v>
      </c>
      <c r="AF2" s="87" t="s">
        <v>103</v>
      </c>
      <c r="AG2" s="83" t="s">
        <v>105</v>
      </c>
    </row>
    <row r="3" spans="1:33" ht="21.75" customHeight="1">
      <c r="A3" s="107" t="s">
        <v>60</v>
      </c>
      <c r="B3" s="108">
        <f>'01'!AD6</f>
        <v>0</v>
      </c>
      <c r="C3" s="108">
        <f>'02'!AD6</f>
        <v>1</v>
      </c>
      <c r="D3" s="109">
        <f>'03'!AD6</f>
        <v>0.625</v>
      </c>
      <c r="E3" s="109">
        <f>'04'!AD6</f>
        <v>0</v>
      </c>
      <c r="F3" s="109"/>
      <c r="G3" s="109">
        <f>'06'!AD6</f>
        <v>0</v>
      </c>
      <c r="H3" s="109">
        <f>'07'!AD6</f>
        <v>0</v>
      </c>
      <c r="I3" s="109">
        <f>'08'!AD6</f>
        <v>0.125</v>
      </c>
      <c r="J3" s="109">
        <f>'09'!AD6</f>
        <v>0.91666666666666663</v>
      </c>
      <c r="K3" s="109">
        <f>'10'!AD6</f>
        <v>1</v>
      </c>
      <c r="L3" s="109"/>
      <c r="M3" s="109"/>
      <c r="N3" s="110">
        <f>'13'!AD6</f>
        <v>0.16666666666666666</v>
      </c>
      <c r="O3" s="109">
        <f>'14'!AD6</f>
        <v>0</v>
      </c>
      <c r="P3" s="109">
        <f>'15'!AD6</f>
        <v>0.58333333333333337</v>
      </c>
      <c r="Q3" s="109">
        <f>'16'!AD6</f>
        <v>0</v>
      </c>
      <c r="R3" s="109">
        <f>'17'!AD6</f>
        <v>0</v>
      </c>
      <c r="S3" s="109"/>
      <c r="T3" s="109"/>
      <c r="U3" s="109"/>
      <c r="V3" s="109"/>
      <c r="W3" s="110"/>
      <c r="X3" s="110">
        <f>'23'!AD6</f>
        <v>0.20833333333333334</v>
      </c>
      <c r="Y3" s="109">
        <f>'24'!AD6</f>
        <v>0</v>
      </c>
      <c r="Z3" s="109"/>
      <c r="AA3" s="109"/>
      <c r="AB3" s="109">
        <f>'27'!AD6</f>
        <v>0</v>
      </c>
      <c r="AC3" s="109">
        <f>'28'!AD6</f>
        <v>0.5</v>
      </c>
      <c r="AD3" s="109">
        <f>'29'!AD6</f>
        <v>0.29166666666666669</v>
      </c>
      <c r="AE3" s="109">
        <f>'30'!AD6</f>
        <v>0.75</v>
      </c>
      <c r="AF3" s="111"/>
      <c r="AG3" s="112">
        <f>SUM(B3:AF3)/30</f>
        <v>0.20555555555555555</v>
      </c>
    </row>
    <row r="4" spans="1:33" ht="21.75" customHeight="1">
      <c r="A4" s="95" t="s">
        <v>61</v>
      </c>
      <c r="B4" s="93">
        <f>'01'!AD7</f>
        <v>1</v>
      </c>
      <c r="C4" s="93">
        <f>'02'!AD7</f>
        <v>1</v>
      </c>
      <c r="D4" s="74">
        <f>'03'!AD7</f>
        <v>0.79166666666666663</v>
      </c>
      <c r="E4" s="74">
        <f>'04'!AD7</f>
        <v>1</v>
      </c>
      <c r="F4" s="74"/>
      <c r="G4" s="113">
        <f>'06'!AD7</f>
        <v>1</v>
      </c>
      <c r="H4" s="74">
        <f>'07'!AD7</f>
        <v>1</v>
      </c>
      <c r="I4" s="74">
        <f>'08'!AD7</f>
        <v>1</v>
      </c>
      <c r="J4" s="74">
        <f>'09'!AD7</f>
        <v>1</v>
      </c>
      <c r="K4" s="74">
        <f>'10'!AD7</f>
        <v>0.75</v>
      </c>
      <c r="L4" s="74"/>
      <c r="M4" s="74"/>
      <c r="N4" s="74">
        <f>'13'!AD7</f>
        <v>1</v>
      </c>
      <c r="O4" s="74">
        <f>'14'!AD7</f>
        <v>1</v>
      </c>
      <c r="P4" s="74">
        <f>'15'!AD7</f>
        <v>1</v>
      </c>
      <c r="Q4" s="74">
        <f>'16'!AD7</f>
        <v>1</v>
      </c>
      <c r="R4" s="74">
        <f>'17'!AD7</f>
        <v>1</v>
      </c>
      <c r="S4" s="74"/>
      <c r="T4" s="74"/>
      <c r="U4" s="74"/>
      <c r="V4" s="74"/>
      <c r="W4" s="74"/>
      <c r="X4" s="74">
        <f>'23'!AD7</f>
        <v>1</v>
      </c>
      <c r="Y4" s="74">
        <f>'24'!AD7</f>
        <v>1</v>
      </c>
      <c r="Z4" s="74"/>
      <c r="AA4" s="74"/>
      <c r="AB4" s="74">
        <f>'27'!AD7</f>
        <v>1</v>
      </c>
      <c r="AC4" s="74">
        <f>'28'!AD7</f>
        <v>1</v>
      </c>
      <c r="AD4" s="74">
        <f>'29'!AD7</f>
        <v>1</v>
      </c>
      <c r="AE4" s="74">
        <f>'30'!AD7</f>
        <v>1</v>
      </c>
      <c r="AF4" s="75"/>
      <c r="AG4" s="76">
        <f t="shared" ref="AG4:AG25" si="0">SUM(B4:AF4)/30</f>
        <v>0.6513888888888888</v>
      </c>
    </row>
    <row r="5" spans="1:33" ht="21.75" customHeight="1">
      <c r="A5" s="95" t="s">
        <v>62</v>
      </c>
      <c r="B5" s="93">
        <f>'01'!AD8</f>
        <v>1</v>
      </c>
      <c r="C5" s="93">
        <f>'02'!AD8</f>
        <v>1</v>
      </c>
      <c r="D5" s="74">
        <f>'03'!AD8</f>
        <v>0.5</v>
      </c>
      <c r="E5" s="74">
        <f>'04'!AD8</f>
        <v>1</v>
      </c>
      <c r="F5" s="74"/>
      <c r="G5" s="74">
        <f>'06'!AD8</f>
        <v>0.54166666666666663</v>
      </c>
      <c r="H5" s="74">
        <f>'07'!AD8+'07'!AD9</f>
        <v>0.91666666666666674</v>
      </c>
      <c r="I5" s="74">
        <f>'08'!AD8</f>
        <v>1</v>
      </c>
      <c r="J5" s="74">
        <f>'09'!AD8</f>
        <v>0.79166666666666663</v>
      </c>
      <c r="K5" s="74">
        <f>'10'!AD8+'10'!AD9</f>
        <v>0.79166666666666674</v>
      </c>
      <c r="L5" s="74"/>
      <c r="M5" s="74"/>
      <c r="N5" s="74">
        <f>'13'!AD8</f>
        <v>0</v>
      </c>
      <c r="O5" s="74">
        <f>'14'!AD8+'14'!AD9</f>
        <v>0.45833333333333337</v>
      </c>
      <c r="P5" s="74">
        <f>'15'!AD8</f>
        <v>0.41666666666666669</v>
      </c>
      <c r="Q5" s="74">
        <f>'16'!AD8</f>
        <v>0.95833333333333337</v>
      </c>
      <c r="R5" s="74">
        <f>'17'!AD8</f>
        <v>1</v>
      </c>
      <c r="S5" s="74"/>
      <c r="T5" s="74"/>
      <c r="U5" s="74"/>
      <c r="V5" s="74"/>
      <c r="W5" s="113"/>
      <c r="X5" s="74">
        <f>'23'!AD8+'23'!AD9</f>
        <v>0.95833333333333326</v>
      </c>
      <c r="Y5" s="74">
        <f>'24'!AD8</f>
        <v>0.83333333333333337</v>
      </c>
      <c r="Z5" s="74"/>
      <c r="AA5" s="74"/>
      <c r="AB5" s="74">
        <f>'27'!AD8</f>
        <v>0.25</v>
      </c>
      <c r="AC5" s="74">
        <f>'28'!AD8</f>
        <v>0.45833333333333331</v>
      </c>
      <c r="AD5" s="74">
        <f>'29'!AD8</f>
        <v>0.45833333333333331</v>
      </c>
      <c r="AE5" s="74">
        <f>'30'!AD8</f>
        <v>0.33333333333333331</v>
      </c>
      <c r="AF5" s="75"/>
      <c r="AG5" s="76">
        <f t="shared" si="0"/>
        <v>0.45555555555555571</v>
      </c>
    </row>
    <row r="6" spans="1:33" ht="21.75" customHeight="1">
      <c r="A6" s="95" t="s">
        <v>63</v>
      </c>
      <c r="B6" s="93">
        <f>'01'!AD9</f>
        <v>0.79166666666666663</v>
      </c>
      <c r="C6" s="93">
        <f>'02'!AD9</f>
        <v>1</v>
      </c>
      <c r="D6" s="74">
        <f>'03'!AD9</f>
        <v>1</v>
      </c>
      <c r="E6" s="74">
        <f>'04'!AD9</f>
        <v>1</v>
      </c>
      <c r="F6" s="74"/>
      <c r="G6" s="74">
        <f>'06'!AD9</f>
        <v>0.79166666666666663</v>
      </c>
      <c r="H6" s="74">
        <f>'07'!AD9+'07'!AD10</f>
        <v>0.75</v>
      </c>
      <c r="I6" s="74">
        <f>'08'!AD9</f>
        <v>0.79166666666666663</v>
      </c>
      <c r="J6" s="74">
        <f>'09'!AD9</f>
        <v>0.95833333333333337</v>
      </c>
      <c r="K6" s="74">
        <f>'10'!AD10</f>
        <v>0.875</v>
      </c>
      <c r="L6" s="74"/>
      <c r="M6" s="74"/>
      <c r="N6" s="74">
        <f>'13'!AD9</f>
        <v>0.95833333333333337</v>
      </c>
      <c r="O6" s="74">
        <f>'14'!AD10</f>
        <v>0.83333333333333337</v>
      </c>
      <c r="P6" s="74">
        <f>'15'!AD9</f>
        <v>0.875</v>
      </c>
      <c r="Q6" s="74">
        <f>'16'!AD9</f>
        <v>0.95833333333333337</v>
      </c>
      <c r="R6" s="74">
        <f>'17'!AD9</f>
        <v>0.95833333333333337</v>
      </c>
      <c r="S6" s="74"/>
      <c r="T6" s="74"/>
      <c r="U6" s="74"/>
      <c r="V6" s="74"/>
      <c r="W6" s="74"/>
      <c r="X6" s="74">
        <f>'23'!AD10</f>
        <v>0.95833333333333337</v>
      </c>
      <c r="Y6" s="74">
        <f>'24'!AD9</f>
        <v>1</v>
      </c>
      <c r="Z6" s="74"/>
      <c r="AA6" s="74"/>
      <c r="AB6" s="74">
        <f>'27'!AD9</f>
        <v>1</v>
      </c>
      <c r="AC6" s="74">
        <f>'28'!AD9</f>
        <v>1</v>
      </c>
      <c r="AD6" s="74">
        <f>'29'!AD9</f>
        <v>0.83333333333333337</v>
      </c>
      <c r="AE6" s="74">
        <f>'30'!AD9</f>
        <v>0.875</v>
      </c>
      <c r="AF6" s="75"/>
      <c r="AG6" s="76">
        <f t="shared" si="0"/>
        <v>0.6069444444444444</v>
      </c>
    </row>
    <row r="7" spans="1:33" ht="21.75" customHeight="1">
      <c r="A7" s="95" t="s">
        <v>64</v>
      </c>
      <c r="B7" s="93">
        <f>'01'!AD10</f>
        <v>0.91666666666666663</v>
      </c>
      <c r="C7" s="93">
        <f>'02'!AD10</f>
        <v>0.95833333333333337</v>
      </c>
      <c r="D7" s="74">
        <f>'03'!AD10</f>
        <v>1</v>
      </c>
      <c r="E7" s="74">
        <f>'04'!AD10</f>
        <v>1</v>
      </c>
      <c r="F7" s="74"/>
      <c r="G7" s="74">
        <f>'06'!AD10</f>
        <v>0.83333333333333337</v>
      </c>
      <c r="H7" s="74">
        <f>'07'!AD11</f>
        <v>0</v>
      </c>
      <c r="I7" s="74">
        <f>'08'!AD10</f>
        <v>0.375</v>
      </c>
      <c r="J7" s="74">
        <f>'09'!AD10</f>
        <v>0.125</v>
      </c>
      <c r="K7" s="74">
        <f>'10'!AD11</f>
        <v>0.54166666666666663</v>
      </c>
      <c r="L7" s="74"/>
      <c r="M7" s="74"/>
      <c r="N7" s="74">
        <f>'13'!AD10</f>
        <v>1</v>
      </c>
      <c r="O7" s="74">
        <f>'14'!AD11</f>
        <v>1</v>
      </c>
      <c r="P7" s="74">
        <f>'15'!AD10</f>
        <v>0.33333333333333331</v>
      </c>
      <c r="Q7" s="74">
        <f>'16'!AD10</f>
        <v>0</v>
      </c>
      <c r="R7" s="74">
        <f>'17'!AD10</f>
        <v>0</v>
      </c>
      <c r="S7" s="74"/>
      <c r="T7" s="74"/>
      <c r="U7" s="74"/>
      <c r="V7" s="74"/>
      <c r="W7" s="74"/>
      <c r="X7" s="74">
        <f>'23'!AD11</f>
        <v>0.58333333333333337</v>
      </c>
      <c r="Y7" s="74">
        <f>'24'!AD10</f>
        <v>1</v>
      </c>
      <c r="Z7" s="74"/>
      <c r="AA7" s="74"/>
      <c r="AB7" s="74">
        <f>'27'!AD10</f>
        <v>0.25</v>
      </c>
      <c r="AC7" s="74">
        <f>'28'!AD10</f>
        <v>0</v>
      </c>
      <c r="AD7" s="74">
        <f>'29'!AD10</f>
        <v>0.70833333333333337</v>
      </c>
      <c r="AE7" s="74">
        <f>'30'!AD10</f>
        <v>1</v>
      </c>
      <c r="AF7" s="75"/>
      <c r="AG7" s="76">
        <f t="shared" si="0"/>
        <v>0.38750000000000007</v>
      </c>
    </row>
    <row r="8" spans="1:33" ht="21.75" customHeight="1">
      <c r="A8" s="95" t="s">
        <v>65</v>
      </c>
      <c r="B8" s="93">
        <f>'01'!AD11+'01'!AD12</f>
        <v>0.875</v>
      </c>
      <c r="C8" s="93">
        <f>'02'!AD11+'02'!AD12</f>
        <v>0.875</v>
      </c>
      <c r="D8" s="74">
        <f>'03'!AD11+'03'!AD12+'03'!AD13</f>
        <v>0.66666666666666674</v>
      </c>
      <c r="E8" s="74">
        <f>'04'!AD11</f>
        <v>0.70833333333333337</v>
      </c>
      <c r="F8" s="74"/>
      <c r="G8" s="74">
        <f>'06'!AD11</f>
        <v>0.16666666666666666</v>
      </c>
      <c r="H8" s="74">
        <f>'07'!AD12+'07'!AD13+'07'!AD14</f>
        <v>0.91666666666666674</v>
      </c>
      <c r="I8" s="74">
        <f>'08'!AD11+'08'!AD12+'08'!AD13</f>
        <v>0.91666666666666674</v>
      </c>
      <c r="J8" s="74">
        <f>'09'!AD11</f>
        <v>1</v>
      </c>
      <c r="K8" s="74">
        <f>'10'!AD12+'10'!AD13</f>
        <v>0.91666666666666663</v>
      </c>
      <c r="L8" s="74"/>
      <c r="M8" s="74"/>
      <c r="N8" s="74">
        <f>'13'!AD11</f>
        <v>1</v>
      </c>
      <c r="O8" s="74">
        <f>'14'!AD12+'14'!AD13</f>
        <v>0.75</v>
      </c>
      <c r="P8" s="74">
        <f>'15'!AD11+'15'!AD12</f>
        <v>0.625</v>
      </c>
      <c r="Q8" s="74">
        <f>'16'!AD11</f>
        <v>0</v>
      </c>
      <c r="R8" s="74">
        <f>'17'!AD11</f>
        <v>0.16666666666666666</v>
      </c>
      <c r="S8" s="74"/>
      <c r="T8" s="74"/>
      <c r="U8" s="74"/>
      <c r="V8" s="74"/>
      <c r="W8" s="74"/>
      <c r="X8" s="74">
        <f>'23'!AD12</f>
        <v>0</v>
      </c>
      <c r="Y8" s="74">
        <f>'24'!AD11</f>
        <v>0</v>
      </c>
      <c r="Z8" s="74"/>
      <c r="AA8" s="74"/>
      <c r="AB8" s="74">
        <f>'27'!AD11</f>
        <v>0.54166666666666663</v>
      </c>
      <c r="AC8" s="74">
        <f>'28'!AD11+'28'!AD12</f>
        <v>0.875</v>
      </c>
      <c r="AD8" s="74">
        <f>'29'!AD11</f>
        <v>0</v>
      </c>
      <c r="AE8" s="74">
        <f>'30'!AD11</f>
        <v>1</v>
      </c>
      <c r="AF8" s="75"/>
      <c r="AG8" s="76">
        <f t="shared" si="0"/>
        <v>0.4</v>
      </c>
    </row>
    <row r="9" spans="1:33" ht="21.75" customHeight="1">
      <c r="A9" s="95" t="s">
        <v>66</v>
      </c>
      <c r="B9" s="93">
        <f>'01'!AD13</f>
        <v>1</v>
      </c>
      <c r="C9" s="93">
        <f>'02'!AD13</f>
        <v>0.79166666666666663</v>
      </c>
      <c r="D9" s="74">
        <f>'03'!AD14</f>
        <v>1</v>
      </c>
      <c r="E9" s="74">
        <f>'04'!AD12</f>
        <v>1</v>
      </c>
      <c r="F9" s="74"/>
      <c r="G9" s="74">
        <f>'06'!AD12</f>
        <v>1</v>
      </c>
      <c r="H9" s="74">
        <f>'07'!AD15</f>
        <v>1</v>
      </c>
      <c r="I9" s="74">
        <f>'08'!AD14</f>
        <v>1</v>
      </c>
      <c r="J9" s="74">
        <f>'09'!AD12</f>
        <v>0.95833333333333337</v>
      </c>
      <c r="K9" s="74">
        <f>'10'!AD14</f>
        <v>0.45833333333333331</v>
      </c>
      <c r="L9" s="74"/>
      <c r="M9" s="74"/>
      <c r="N9" s="74">
        <f>'13'!AD12</f>
        <v>1</v>
      </c>
      <c r="O9" s="74">
        <f>'14'!AD14</f>
        <v>0.95833333333333337</v>
      </c>
      <c r="P9" s="74">
        <f>'15'!AD13</f>
        <v>0.75</v>
      </c>
      <c r="Q9" s="74">
        <f>'16'!AD12</f>
        <v>0.70833333333333337</v>
      </c>
      <c r="R9" s="74">
        <f>'17'!AD12</f>
        <v>0.875</v>
      </c>
      <c r="S9" s="74"/>
      <c r="T9" s="74"/>
      <c r="U9" s="74"/>
      <c r="V9" s="74"/>
      <c r="W9" s="74"/>
      <c r="X9" s="74">
        <f>'23'!AD13</f>
        <v>1</v>
      </c>
      <c r="Y9" s="74">
        <f>'24'!AD12</f>
        <v>1</v>
      </c>
      <c r="Z9" s="74"/>
      <c r="AA9" s="74"/>
      <c r="AB9" s="74">
        <f>'27'!AD12</f>
        <v>1</v>
      </c>
      <c r="AC9" s="74">
        <f>'28'!AD13</f>
        <v>1</v>
      </c>
      <c r="AD9" s="74">
        <f>'29'!AD12</f>
        <v>1</v>
      </c>
      <c r="AE9" s="74">
        <f>'30'!AD12</f>
        <v>1</v>
      </c>
      <c r="AF9" s="75"/>
      <c r="AG9" s="76">
        <f t="shared" si="0"/>
        <v>0.6166666666666667</v>
      </c>
    </row>
    <row r="10" spans="1:33" ht="21.75" customHeight="1">
      <c r="A10" s="95" t="s">
        <v>67</v>
      </c>
      <c r="B10" s="93">
        <f>'01'!AD14+'01'!AD15</f>
        <v>0.5</v>
      </c>
      <c r="C10" s="93">
        <f>'02'!AD14+'02'!AD15+'02'!AD16</f>
        <v>0.83333333333333337</v>
      </c>
      <c r="D10" s="74">
        <f>'03'!AD15</f>
        <v>0.95833333333333337</v>
      </c>
      <c r="E10" s="74">
        <f>'04'!AD13+'04'!AD14</f>
        <v>0.66666666666666663</v>
      </c>
      <c r="F10" s="74"/>
      <c r="G10" s="74">
        <f>'06'!AD13</f>
        <v>0.75</v>
      </c>
      <c r="H10" s="74">
        <f>'07'!AD16</f>
        <v>0.79166666666666663</v>
      </c>
      <c r="I10" s="74">
        <f>'08'!AD15</f>
        <v>1</v>
      </c>
      <c r="J10" s="74">
        <f>'09'!AD13+'09'!AD14</f>
        <v>0.875</v>
      </c>
      <c r="K10" s="74">
        <f>'10'!AD15</f>
        <v>1</v>
      </c>
      <c r="L10" s="74"/>
      <c r="M10" s="74"/>
      <c r="N10" s="74">
        <f>'13'!AD13</f>
        <v>0.45833333333333331</v>
      </c>
      <c r="O10" s="74">
        <f>'14'!AD15</f>
        <v>0.375</v>
      </c>
      <c r="P10" s="74">
        <f>'15'!AD14</f>
        <v>0.875</v>
      </c>
      <c r="Q10" s="74">
        <f>'16'!AD13</f>
        <v>1</v>
      </c>
      <c r="R10" s="74">
        <f>'17'!AD13</f>
        <v>0.54166666666666663</v>
      </c>
      <c r="S10" s="74"/>
      <c r="T10" s="74"/>
      <c r="U10" s="74"/>
      <c r="V10" s="74"/>
      <c r="W10" s="74"/>
      <c r="X10" s="74">
        <f>'23'!AD14</f>
        <v>0.41666666666666669</v>
      </c>
      <c r="Y10" s="74">
        <f>'24'!AD13</f>
        <v>0.95833333333333337</v>
      </c>
      <c r="Z10" s="74"/>
      <c r="AA10" s="74"/>
      <c r="AB10" s="74">
        <f>'27'!AD13</f>
        <v>0.33333333333333331</v>
      </c>
      <c r="AC10" s="74">
        <f>'28'!AD14</f>
        <v>0.625</v>
      </c>
      <c r="AD10" s="74">
        <f>'29'!AD13</f>
        <v>0.83333333333333337</v>
      </c>
      <c r="AE10" s="74">
        <f>'30'!AD13</f>
        <v>0.66666666666666663</v>
      </c>
      <c r="AF10" s="75"/>
      <c r="AG10" s="76">
        <f t="shared" si="0"/>
        <v>0.4819444444444444</v>
      </c>
    </row>
    <row r="11" spans="1:33" ht="21.75" customHeight="1">
      <c r="A11" s="100" t="s">
        <v>68</v>
      </c>
      <c r="B11" s="101">
        <f>'01'!AD16</f>
        <v>0.29166666666666669</v>
      </c>
      <c r="C11" s="101">
        <f>'02'!AD17</f>
        <v>0</v>
      </c>
      <c r="D11" s="102">
        <f>'03'!AD16</f>
        <v>0</v>
      </c>
      <c r="E11" s="102">
        <f>'04'!AD15</f>
        <v>0</v>
      </c>
      <c r="F11" s="102"/>
      <c r="G11" s="102">
        <f>'06'!AD14</f>
        <v>0</v>
      </c>
      <c r="H11" s="102">
        <f>'07'!AD17</f>
        <v>0</v>
      </c>
      <c r="I11" s="102">
        <f>'08'!AD16</f>
        <v>0</v>
      </c>
      <c r="J11" s="102">
        <f>'09'!AD15</f>
        <v>0</v>
      </c>
      <c r="K11" s="102">
        <f>'10'!AD16</f>
        <v>0</v>
      </c>
      <c r="L11" s="102"/>
      <c r="M11" s="102"/>
      <c r="N11" s="102">
        <f>'13'!AD14</f>
        <v>0</v>
      </c>
      <c r="O11" s="102">
        <f>'14'!AD16</f>
        <v>0</v>
      </c>
      <c r="P11" s="102">
        <f>'15'!AD15</f>
        <v>0</v>
      </c>
      <c r="Q11" s="102">
        <f>'16'!AD14</f>
        <v>0</v>
      </c>
      <c r="R11" s="102">
        <f>'17'!AD14</f>
        <v>0</v>
      </c>
      <c r="S11" s="102"/>
      <c r="T11" s="102"/>
      <c r="U11" s="102"/>
      <c r="V11" s="102"/>
      <c r="W11" s="102"/>
      <c r="X11" s="102">
        <f>'23'!AD15</f>
        <v>0</v>
      </c>
      <c r="Y11" s="102">
        <f>'24'!AD14</f>
        <v>0</v>
      </c>
      <c r="Z11" s="102"/>
      <c r="AA11" s="102"/>
      <c r="AB11" s="102">
        <f>'27'!AD14</f>
        <v>0.20833333333333334</v>
      </c>
      <c r="AC11" s="102">
        <f>'28'!AD15</f>
        <v>0.41666666666666669</v>
      </c>
      <c r="AD11" s="102">
        <f>'29'!AD14</f>
        <v>0</v>
      </c>
      <c r="AE11" s="102">
        <f>'30'!AD14</f>
        <v>0</v>
      </c>
      <c r="AF11" s="103"/>
      <c r="AG11" s="104">
        <f t="shared" si="0"/>
        <v>3.0555555555555558E-2</v>
      </c>
    </row>
    <row r="12" spans="1:33" ht="21.75" customHeight="1">
      <c r="A12" s="95" t="s">
        <v>69</v>
      </c>
      <c r="B12" s="93">
        <f>'01'!AD17</f>
        <v>0</v>
      </c>
      <c r="C12" s="93">
        <f>'02'!AD18</f>
        <v>0.33333333333333331</v>
      </c>
      <c r="D12" s="74">
        <f>'03'!AD17</f>
        <v>0</v>
      </c>
      <c r="E12" s="74">
        <f>'04'!AD16</f>
        <v>0</v>
      </c>
      <c r="F12" s="74"/>
      <c r="G12" s="74">
        <f>'06'!AD15</f>
        <v>0.91666666666666663</v>
      </c>
      <c r="H12" s="74">
        <f>'07'!AD18</f>
        <v>1</v>
      </c>
      <c r="I12" s="74">
        <f>'08'!AD17</f>
        <v>0.58333333333333337</v>
      </c>
      <c r="J12" s="74">
        <f>'09'!AD16</f>
        <v>0.95833333333333337</v>
      </c>
      <c r="K12" s="74">
        <f>'10'!AD17</f>
        <v>1</v>
      </c>
      <c r="L12" s="74"/>
      <c r="M12" s="74"/>
      <c r="N12" s="74">
        <f>'13'!AD15</f>
        <v>1</v>
      </c>
      <c r="O12" s="74">
        <f>'14'!AD17</f>
        <v>0</v>
      </c>
      <c r="P12" s="74">
        <f>'15'!AD16</f>
        <v>0.58333333333333337</v>
      </c>
      <c r="Q12" s="74">
        <f>'16'!AD15</f>
        <v>1</v>
      </c>
      <c r="R12" s="74">
        <f>'17'!AD15</f>
        <v>1</v>
      </c>
      <c r="S12" s="74"/>
      <c r="T12" s="74"/>
      <c r="U12" s="74"/>
      <c r="V12" s="74"/>
      <c r="W12" s="74"/>
      <c r="X12" s="74">
        <f>'23'!AD16</f>
        <v>0.29166666666666669</v>
      </c>
      <c r="Y12" s="74">
        <f>'24'!AD15</f>
        <v>0.58333333333333337</v>
      </c>
      <c r="Z12" s="74"/>
      <c r="AA12" s="74"/>
      <c r="AB12" s="74">
        <f>'27'!AD15</f>
        <v>0</v>
      </c>
      <c r="AC12" s="74">
        <f>'28'!AD16</f>
        <v>0</v>
      </c>
      <c r="AD12" s="74">
        <f>'29'!AD15</f>
        <v>0</v>
      </c>
      <c r="AE12" s="74">
        <f>'30'!AD15</f>
        <v>1</v>
      </c>
      <c r="AF12" s="75"/>
      <c r="AG12" s="76">
        <f t="shared" si="0"/>
        <v>0.34166666666666667</v>
      </c>
    </row>
    <row r="13" spans="1:33" ht="21.75" customHeight="1">
      <c r="A13" s="95" t="s">
        <v>70</v>
      </c>
      <c r="B13" s="93">
        <f>'01'!AD18</f>
        <v>1</v>
      </c>
      <c r="C13" s="93">
        <f>'02'!AD19</f>
        <v>0.75</v>
      </c>
      <c r="D13" s="74">
        <f>'03'!AD18</f>
        <v>0.83333333333333337</v>
      </c>
      <c r="E13" s="74">
        <f>'04'!AD17</f>
        <v>1</v>
      </c>
      <c r="F13" s="74"/>
      <c r="G13" s="74">
        <f>'06'!AD16</f>
        <v>0.375</v>
      </c>
      <c r="H13" s="74">
        <f>'07'!AD19+'07'!AD20</f>
        <v>0.625</v>
      </c>
      <c r="I13" s="74">
        <f>'08'!AD18</f>
        <v>0.79166666666666663</v>
      </c>
      <c r="J13" s="74">
        <f>'09'!AD17+'09'!AD18</f>
        <v>0.70250310945273631</v>
      </c>
      <c r="K13" s="74">
        <f>'10'!AD18</f>
        <v>0.45833333333333331</v>
      </c>
      <c r="L13" s="74"/>
      <c r="M13" s="74"/>
      <c r="N13" s="74">
        <f>'13'!AD16</f>
        <v>1</v>
      </c>
      <c r="O13" s="74">
        <f>'14'!AD18+'14'!AD19</f>
        <v>0.875</v>
      </c>
      <c r="P13" s="74">
        <f>'15'!AD17+'15'!AD18</f>
        <v>0.91666666666666663</v>
      </c>
      <c r="Q13" s="74">
        <f>'16'!AD16</f>
        <v>1</v>
      </c>
      <c r="R13" s="74">
        <f>'17'!AD16</f>
        <v>1</v>
      </c>
      <c r="S13" s="74"/>
      <c r="T13" s="74"/>
      <c r="U13" s="74"/>
      <c r="V13" s="74"/>
      <c r="W13" s="74"/>
      <c r="X13" s="74">
        <f>'23'!AD17</f>
        <v>0.91666666666666663</v>
      </c>
      <c r="Y13" s="74">
        <f>'24'!AD16</f>
        <v>0.91666666666666663</v>
      </c>
      <c r="Z13" s="74"/>
      <c r="AA13" s="74"/>
      <c r="AB13" s="74">
        <f>'27'!AD16</f>
        <v>0.58333333333333337</v>
      </c>
      <c r="AC13" s="74">
        <f>'28'!AD17</f>
        <v>0.91666666666666663</v>
      </c>
      <c r="AD13" s="74">
        <f>'29'!AD16+'29'!AD17</f>
        <v>0.83333333333333337</v>
      </c>
      <c r="AE13" s="74">
        <f>'30'!AD16</f>
        <v>1</v>
      </c>
      <c r="AF13" s="75"/>
      <c r="AG13" s="76">
        <f t="shared" si="0"/>
        <v>0.54980565920398006</v>
      </c>
    </row>
    <row r="14" spans="1:33" ht="21.75" customHeight="1">
      <c r="A14" s="95" t="s">
        <v>71</v>
      </c>
      <c r="B14" s="93">
        <f>'01'!AD19</f>
        <v>1</v>
      </c>
      <c r="C14" s="93">
        <f>'02'!AD20</f>
        <v>0</v>
      </c>
      <c r="D14" s="74">
        <f>'03'!AD19+'03'!AD20</f>
        <v>0.79166666666666674</v>
      </c>
      <c r="E14" s="74">
        <f>'04'!AD18</f>
        <v>0.29166666666666669</v>
      </c>
      <c r="F14" s="74"/>
      <c r="G14" s="74">
        <f>'06'!AD17</f>
        <v>0.875</v>
      </c>
      <c r="H14" s="74">
        <f>'07'!AD21</f>
        <v>0.375</v>
      </c>
      <c r="I14" s="74">
        <f>'08'!AD19</f>
        <v>0.38750000000000007</v>
      </c>
      <c r="J14" s="74">
        <f>'09'!AD19+'09'!AD20</f>
        <v>0.70833333333333326</v>
      </c>
      <c r="K14" s="74">
        <f>'10'!AD19</f>
        <v>0.75</v>
      </c>
      <c r="L14" s="74"/>
      <c r="M14" s="74"/>
      <c r="N14" s="74">
        <f>'13'!AD17</f>
        <v>1</v>
      </c>
      <c r="O14" s="74">
        <f>'14'!AD20</f>
        <v>0</v>
      </c>
      <c r="P14" s="74">
        <f>'15'!AD19</f>
        <v>0.83333333333333337</v>
      </c>
      <c r="Q14" s="74">
        <f>'16'!AD17</f>
        <v>1</v>
      </c>
      <c r="R14" s="74">
        <f>'17'!AD17</f>
        <v>1</v>
      </c>
      <c r="S14" s="74"/>
      <c r="T14" s="74"/>
      <c r="U14" s="74"/>
      <c r="V14" s="74"/>
      <c r="W14" s="74"/>
      <c r="X14" s="74">
        <f>'23'!AD18</f>
        <v>1</v>
      </c>
      <c r="Y14" s="74">
        <f>'24'!AD17</f>
        <v>1</v>
      </c>
      <c r="Z14" s="74"/>
      <c r="AA14" s="74"/>
      <c r="AB14" s="74">
        <f>'27'!AD17</f>
        <v>0.91666666666666663</v>
      </c>
      <c r="AC14" s="74">
        <f>'28'!AD18</f>
        <v>0.95833333333333337</v>
      </c>
      <c r="AD14" s="74">
        <f>'29'!AD18</f>
        <v>0.58333333333333337</v>
      </c>
      <c r="AE14" s="74">
        <f>'30'!AD17</f>
        <v>1</v>
      </c>
      <c r="AF14" s="75"/>
      <c r="AG14" s="76">
        <f t="shared" si="0"/>
        <v>0.48236111111111113</v>
      </c>
    </row>
    <row r="15" spans="1:33" ht="21.75" customHeight="1">
      <c r="A15" s="95" t="s">
        <v>72</v>
      </c>
      <c r="B15" s="93">
        <f>'01'!AD20+'01'!AD21</f>
        <v>0.91666666666666674</v>
      </c>
      <c r="C15" s="93">
        <f>'02'!AD21</f>
        <v>1</v>
      </c>
      <c r="D15" s="74">
        <f>'03'!AD21</f>
        <v>1</v>
      </c>
      <c r="E15" s="74">
        <f>'04'!AD19</f>
        <v>1</v>
      </c>
      <c r="F15" s="74"/>
      <c r="G15" s="74">
        <f>'06'!AD18</f>
        <v>1</v>
      </c>
      <c r="H15" s="74">
        <f>'07'!AD22</f>
        <v>1</v>
      </c>
      <c r="I15" s="74">
        <f>'08'!AD20</f>
        <v>0</v>
      </c>
      <c r="J15" s="74">
        <f>'09'!AD21</f>
        <v>1</v>
      </c>
      <c r="K15" s="74">
        <f>'10'!AD20</f>
        <v>1</v>
      </c>
      <c r="L15" s="74"/>
      <c r="M15" s="74"/>
      <c r="N15" s="74">
        <f>'13'!AD18</f>
        <v>0.54166666666666663</v>
      </c>
      <c r="O15" s="74">
        <f>'14'!AD21+'14'!AD22</f>
        <v>0.625</v>
      </c>
      <c r="P15" s="74">
        <f>'15'!AD20+'15'!AD21</f>
        <v>0.5</v>
      </c>
      <c r="Q15" s="74">
        <f>'16'!AD18+'16'!AD19</f>
        <v>0.5</v>
      </c>
      <c r="R15" s="74">
        <f>'17'!AD18</f>
        <v>0.54166666666666663</v>
      </c>
      <c r="S15" s="74"/>
      <c r="T15" s="74"/>
      <c r="U15" s="74"/>
      <c r="V15" s="74"/>
      <c r="W15" s="74"/>
      <c r="X15" s="74">
        <f>'23'!AD19</f>
        <v>0.66666666666666663</v>
      </c>
      <c r="Y15" s="74">
        <f>'24'!AD18</f>
        <v>1</v>
      </c>
      <c r="Z15" s="74"/>
      <c r="AA15" s="74"/>
      <c r="AB15" s="74">
        <f>'27'!AD18</f>
        <v>0.33333333333333331</v>
      </c>
      <c r="AC15" s="74">
        <f>'28'!AD19</f>
        <v>0.16666666666666666</v>
      </c>
      <c r="AD15" s="74">
        <f>'29'!AD19</f>
        <v>0.66666666666666663</v>
      </c>
      <c r="AE15" s="74">
        <f>'30'!AD18+'30'!AD19</f>
        <v>0.16666666666666666</v>
      </c>
      <c r="AF15" s="75"/>
      <c r="AG15" s="76">
        <f t="shared" si="0"/>
        <v>0.45416666666666661</v>
      </c>
    </row>
    <row r="16" spans="1:33" ht="21.75" customHeight="1">
      <c r="A16" s="95" t="s">
        <v>117</v>
      </c>
      <c r="B16" s="93">
        <f>'01'!AD22</f>
        <v>0.66666666666666663</v>
      </c>
      <c r="C16" s="93">
        <f>'02'!AD22</f>
        <v>0.625</v>
      </c>
      <c r="D16" s="74">
        <f>'03'!AD22</f>
        <v>0.79166666666666663</v>
      </c>
      <c r="E16" s="74">
        <f>'04'!AD20</f>
        <v>0.16666666666666666</v>
      </c>
      <c r="F16" s="74"/>
      <c r="G16" s="74">
        <f>'06'!AD19</f>
        <v>0</v>
      </c>
      <c r="H16" s="74">
        <f>'07'!AD23</f>
        <v>0</v>
      </c>
      <c r="I16" s="74">
        <f>'08'!AD21</f>
        <v>0</v>
      </c>
      <c r="J16" s="74">
        <f>'09'!AD22</f>
        <v>1</v>
      </c>
      <c r="K16" s="74">
        <f>'10'!AD21</f>
        <v>0.91666666666666663</v>
      </c>
      <c r="L16" s="74"/>
      <c r="M16" s="74"/>
      <c r="N16" s="74">
        <f>'13'!AD19</f>
        <v>0.79166666666666663</v>
      </c>
      <c r="O16" s="74">
        <f>'14'!AD23+'14'!AD24</f>
        <v>0.91666666666666674</v>
      </c>
      <c r="P16" s="74">
        <f>'15'!AD22</f>
        <v>1</v>
      </c>
      <c r="Q16" s="74">
        <f>'16'!AD20</f>
        <v>1</v>
      </c>
      <c r="R16" s="74">
        <f>'17'!AD19</f>
        <v>1</v>
      </c>
      <c r="S16" s="74"/>
      <c r="T16" s="74"/>
      <c r="U16" s="74"/>
      <c r="V16" s="74"/>
      <c r="W16" s="74"/>
      <c r="X16" s="74">
        <f>'23'!AD20</f>
        <v>0.95833333333333337</v>
      </c>
      <c r="Y16" s="74">
        <f>'24'!AD19</f>
        <v>1</v>
      </c>
      <c r="Z16" s="74"/>
      <c r="AA16" s="74"/>
      <c r="AB16" s="74">
        <f>'27'!AD19</f>
        <v>0</v>
      </c>
      <c r="AC16" s="74">
        <f>'28'!AD20</f>
        <v>0.41666666666666669</v>
      </c>
      <c r="AD16" s="74">
        <f>'29'!AD20</f>
        <v>0.875</v>
      </c>
      <c r="AE16" s="74">
        <f>'30'!AD20</f>
        <v>1</v>
      </c>
      <c r="AF16" s="75"/>
      <c r="AG16" s="76">
        <f t="shared" si="0"/>
        <v>0.4375</v>
      </c>
    </row>
    <row r="17" spans="1:33" ht="21.75" customHeight="1">
      <c r="A17" s="95" t="s">
        <v>118</v>
      </c>
      <c r="B17" s="93">
        <f>'01'!AD23</f>
        <v>1</v>
      </c>
      <c r="C17" s="93">
        <f>'02'!AD23</f>
        <v>1</v>
      </c>
      <c r="D17" s="74">
        <f>'03'!AD23</f>
        <v>1</v>
      </c>
      <c r="E17" s="74">
        <f>'04'!AD21</f>
        <v>0.83333333333333337</v>
      </c>
      <c r="F17" s="74"/>
      <c r="G17" s="74">
        <f>'06'!AD20</f>
        <v>0.125</v>
      </c>
      <c r="H17" s="74">
        <f>'07'!AD24</f>
        <v>0.83333333333333337</v>
      </c>
      <c r="I17" s="74">
        <f>'08'!AD22</f>
        <v>0</v>
      </c>
      <c r="J17" s="74">
        <f>'09'!AD23</f>
        <v>0.875</v>
      </c>
      <c r="K17" s="74">
        <f>'10'!AD22</f>
        <v>1</v>
      </c>
      <c r="L17" s="74"/>
      <c r="M17" s="74"/>
      <c r="N17" s="74">
        <f>'13'!AD20</f>
        <v>0.45833333333333331</v>
      </c>
      <c r="O17" s="74">
        <f>'14'!AD25</f>
        <v>0.58333333333333337</v>
      </c>
      <c r="P17" s="74">
        <f>'15'!AD23</f>
        <v>0.91666666666666663</v>
      </c>
      <c r="Q17" s="74">
        <f>'16'!AD21</f>
        <v>0.875</v>
      </c>
      <c r="R17" s="74">
        <f>'17'!AD20</f>
        <v>1</v>
      </c>
      <c r="S17" s="74"/>
      <c r="T17" s="74"/>
      <c r="U17" s="74"/>
      <c r="V17" s="74"/>
      <c r="W17" s="74"/>
      <c r="X17" s="74">
        <f>'23'!AD21</f>
        <v>0.83333333333333337</v>
      </c>
      <c r="Y17" s="74">
        <f>'24'!AD20</f>
        <v>0.54166666666666663</v>
      </c>
      <c r="Z17" s="74"/>
      <c r="AA17" s="74"/>
      <c r="AB17" s="74">
        <f>'27'!AD20</f>
        <v>0.91666666666666663</v>
      </c>
      <c r="AC17" s="74">
        <f>'28'!AD21</f>
        <v>0.58333333333333337</v>
      </c>
      <c r="AD17" s="74">
        <f>'29'!AD21</f>
        <v>0</v>
      </c>
      <c r="AE17" s="74">
        <f>'30'!AD21</f>
        <v>0.83333333333333337</v>
      </c>
      <c r="AF17" s="75"/>
      <c r="AG17" s="76">
        <f t="shared" si="0"/>
        <v>0.47361111111111115</v>
      </c>
    </row>
    <row r="18" spans="1:33" ht="21.75" customHeight="1">
      <c r="A18" s="95" t="s">
        <v>119</v>
      </c>
      <c r="B18" s="93">
        <f>'01'!AD24+'01'!AD25</f>
        <v>0.91666666666666674</v>
      </c>
      <c r="C18" s="93">
        <f>'02'!AD24</f>
        <v>1</v>
      </c>
      <c r="D18" s="74">
        <f>'03'!AD24</f>
        <v>0.875</v>
      </c>
      <c r="E18" s="74">
        <f>'04'!AD22</f>
        <v>1</v>
      </c>
      <c r="F18" s="74"/>
      <c r="G18" s="74">
        <f>'06'!AD21</f>
        <v>1</v>
      </c>
      <c r="H18" s="74">
        <f>'07'!AD25</f>
        <v>1</v>
      </c>
      <c r="I18" s="74">
        <f>'08'!AD23</f>
        <v>0</v>
      </c>
      <c r="J18" s="74">
        <f>'09'!AD24</f>
        <v>1</v>
      </c>
      <c r="K18" s="74">
        <f>'10'!AD23</f>
        <v>0.94854683796931516</v>
      </c>
      <c r="L18" s="74"/>
      <c r="M18" s="74"/>
      <c r="N18" s="74">
        <f>'13'!AD21</f>
        <v>1</v>
      </c>
      <c r="O18" s="74">
        <f>'14'!AD26</f>
        <v>1</v>
      </c>
      <c r="P18" s="74">
        <f>'15'!AD24</f>
        <v>1</v>
      </c>
      <c r="Q18" s="74">
        <f>'16'!AD22</f>
        <v>1</v>
      </c>
      <c r="R18" s="74">
        <f>'17'!AD21</f>
        <v>1</v>
      </c>
      <c r="S18" s="74"/>
      <c r="T18" s="74"/>
      <c r="U18" s="74"/>
      <c r="V18" s="74"/>
      <c r="W18" s="74"/>
      <c r="X18" s="74">
        <f>'23'!AD22</f>
        <v>0.75</v>
      </c>
      <c r="Y18" s="74">
        <f>'24'!AD21</f>
        <v>1</v>
      </c>
      <c r="Z18" s="74"/>
      <c r="AA18" s="74"/>
      <c r="AB18" s="74">
        <f>'27'!AD21</f>
        <v>0.875</v>
      </c>
      <c r="AC18" s="74">
        <f>'28'!AD22</f>
        <v>1</v>
      </c>
      <c r="AD18" s="74">
        <f>'29'!AD22</f>
        <v>1</v>
      </c>
      <c r="AE18" s="74">
        <f>'30'!AD22</f>
        <v>0.5</v>
      </c>
      <c r="AF18" s="75"/>
      <c r="AG18" s="76">
        <f t="shared" si="0"/>
        <v>0.59550711682119939</v>
      </c>
    </row>
    <row r="19" spans="1:33" ht="21.75" customHeight="1">
      <c r="A19" s="95" t="s">
        <v>132</v>
      </c>
      <c r="B19" s="93">
        <f>'01'!AD26</f>
        <v>0.70833333333333337</v>
      </c>
      <c r="C19" s="93">
        <f>'02'!AD25</f>
        <v>1</v>
      </c>
      <c r="D19" s="74">
        <f>'03'!AD25</f>
        <v>1</v>
      </c>
      <c r="E19" s="74">
        <f>'04'!AD23</f>
        <v>0</v>
      </c>
      <c r="F19" s="74"/>
      <c r="G19" s="74">
        <f>'06'!AD22</f>
        <v>1</v>
      </c>
      <c r="H19" s="74">
        <f>'07'!AD26</f>
        <v>1</v>
      </c>
      <c r="I19" s="74">
        <f>'08'!AD24</f>
        <v>1</v>
      </c>
      <c r="J19" s="74">
        <f>'09'!AD25</f>
        <v>0.625</v>
      </c>
      <c r="K19" s="74">
        <f>'10'!AD24</f>
        <v>0</v>
      </c>
      <c r="L19" s="74"/>
      <c r="M19" s="74"/>
      <c r="N19" s="74">
        <f>'13'!AD22</f>
        <v>0.91666666666666663</v>
      </c>
      <c r="O19" s="74">
        <f>'14'!AD27</f>
        <v>1</v>
      </c>
      <c r="P19" s="74">
        <f>'15'!AD25</f>
        <v>0.45833333333333331</v>
      </c>
      <c r="Q19" s="74">
        <f>'16'!AD23</f>
        <v>0.58333333333333337</v>
      </c>
      <c r="R19" s="74">
        <f>'17'!AD22</f>
        <v>1</v>
      </c>
      <c r="S19" s="74"/>
      <c r="T19" s="74"/>
      <c r="U19" s="74"/>
      <c r="V19" s="74"/>
      <c r="W19" s="74"/>
      <c r="X19" s="74">
        <f>'23'!AD23</f>
        <v>1</v>
      </c>
      <c r="Y19" s="74">
        <f>'24'!AD22</f>
        <v>1</v>
      </c>
      <c r="Z19" s="74"/>
      <c r="AA19" s="74"/>
      <c r="AB19" s="74">
        <f>'27'!AD22</f>
        <v>0</v>
      </c>
      <c r="AC19" s="74">
        <f>'28'!AD23</f>
        <v>0</v>
      </c>
      <c r="AD19" s="74">
        <f>'29'!AD23</f>
        <v>0</v>
      </c>
      <c r="AE19" s="74">
        <f>'30'!AD23</f>
        <v>1</v>
      </c>
      <c r="AF19" s="75"/>
      <c r="AG19" s="76">
        <f t="shared" si="0"/>
        <v>0.44305555555555559</v>
      </c>
    </row>
    <row r="20" spans="1:33" ht="21.75" customHeight="1">
      <c r="A20" s="95" t="s">
        <v>133</v>
      </c>
      <c r="B20" s="93">
        <f>'01'!AD27</f>
        <v>0</v>
      </c>
      <c r="C20" s="93">
        <f>'02'!AD26</f>
        <v>0</v>
      </c>
      <c r="D20" s="74">
        <f>'03'!AD26</f>
        <v>0</v>
      </c>
      <c r="E20" s="74">
        <f>'04'!AD24</f>
        <v>0</v>
      </c>
      <c r="F20" s="74"/>
      <c r="G20" s="74">
        <f>'06'!AD23</f>
        <v>0</v>
      </c>
      <c r="H20" s="74">
        <f>'07'!AD27</f>
        <v>0</v>
      </c>
      <c r="I20" s="74">
        <f>'08'!AD25</f>
        <v>0</v>
      </c>
      <c r="J20" s="74">
        <f>'09'!AD26</f>
        <v>0</v>
      </c>
      <c r="K20" s="74">
        <f>'10'!AD25</f>
        <v>0</v>
      </c>
      <c r="L20" s="74"/>
      <c r="M20" s="74"/>
      <c r="N20" s="74">
        <f>'13'!AD23</f>
        <v>0</v>
      </c>
      <c r="O20" s="74">
        <f>'14'!AD28</f>
        <v>0</v>
      </c>
      <c r="P20" s="74">
        <f>'15'!AD26</f>
        <v>0</v>
      </c>
      <c r="Q20" s="74">
        <f>'16'!AD24</f>
        <v>0</v>
      </c>
      <c r="R20" s="74">
        <f>'17'!AD23</f>
        <v>0</v>
      </c>
      <c r="S20" s="74"/>
      <c r="T20" s="74"/>
      <c r="U20" s="74"/>
      <c r="V20" s="74"/>
      <c r="W20" s="74"/>
      <c r="X20" s="74">
        <f>'23'!AD24</f>
        <v>0</v>
      </c>
      <c r="Y20" s="74">
        <f>'24'!AD23</f>
        <v>0</v>
      </c>
      <c r="Z20" s="74"/>
      <c r="AA20" s="74"/>
      <c r="AB20" s="74">
        <f>'27'!AD23</f>
        <v>0</v>
      </c>
      <c r="AC20" s="74">
        <f>'28'!AD24</f>
        <v>0</v>
      </c>
      <c r="AD20" s="74">
        <f>'29'!AD24</f>
        <v>0</v>
      </c>
      <c r="AE20" s="74">
        <f>'30'!AD24</f>
        <v>0</v>
      </c>
      <c r="AF20" s="75"/>
      <c r="AG20" s="76">
        <f t="shared" si="0"/>
        <v>0</v>
      </c>
    </row>
    <row r="21" spans="1:33" ht="21.75" customHeight="1">
      <c r="A21" s="95" t="s">
        <v>134</v>
      </c>
      <c r="B21" s="93">
        <f>'01'!AD28</f>
        <v>1</v>
      </c>
      <c r="C21" s="93">
        <f>'02'!AD27</f>
        <v>1</v>
      </c>
      <c r="D21" s="74">
        <f>'03'!AD27</f>
        <v>0</v>
      </c>
      <c r="E21" s="74">
        <f>'04'!AD25</f>
        <v>0</v>
      </c>
      <c r="F21" s="74"/>
      <c r="G21" s="74">
        <f>'06'!AD24</f>
        <v>0</v>
      </c>
      <c r="H21" s="74">
        <f>'07'!AD28</f>
        <v>0</v>
      </c>
      <c r="I21" s="74">
        <f>'08'!AD26</f>
        <v>0</v>
      </c>
      <c r="J21" s="74">
        <f>'09'!AD27</f>
        <v>0</v>
      </c>
      <c r="K21" s="74">
        <f>'10'!AD26</f>
        <v>0</v>
      </c>
      <c r="L21" s="74"/>
      <c r="M21" s="74"/>
      <c r="N21" s="74">
        <f>'13'!AD24</f>
        <v>0</v>
      </c>
      <c r="O21" s="74">
        <f>'14'!AD29</f>
        <v>0</v>
      </c>
      <c r="P21" s="74">
        <f>'15'!AD27</f>
        <v>0</v>
      </c>
      <c r="Q21" s="74">
        <f>'16'!AD25</f>
        <v>0.625</v>
      </c>
      <c r="R21" s="74">
        <f>'17'!AD24</f>
        <v>0.95833333333333337</v>
      </c>
      <c r="S21" s="74"/>
      <c r="T21" s="74"/>
      <c r="U21" s="74"/>
      <c r="V21" s="74"/>
      <c r="W21" s="74"/>
      <c r="X21" s="74">
        <f>'23'!AD25</f>
        <v>1</v>
      </c>
      <c r="Y21" s="74">
        <f>'24'!AD24</f>
        <v>1</v>
      </c>
      <c r="Z21" s="74"/>
      <c r="AA21" s="74"/>
      <c r="AB21" s="74">
        <f>'27'!AD24</f>
        <v>0</v>
      </c>
      <c r="AC21" s="74">
        <f>'28'!AD25</f>
        <v>0</v>
      </c>
      <c r="AD21" s="74">
        <f>'29'!AD25</f>
        <v>0</v>
      </c>
      <c r="AE21" s="74">
        <f>'30'!AD25</f>
        <v>0</v>
      </c>
      <c r="AF21" s="75"/>
      <c r="AG21" s="76">
        <f t="shared" si="0"/>
        <v>0.18611111111111114</v>
      </c>
    </row>
    <row r="22" spans="1:33" ht="21.75" customHeight="1">
      <c r="A22" s="95" t="s">
        <v>135</v>
      </c>
      <c r="B22" s="93">
        <f>'01'!AD29</f>
        <v>1</v>
      </c>
      <c r="C22" s="93">
        <f>'02'!AD28</f>
        <v>1</v>
      </c>
      <c r="D22" s="74">
        <f>'03'!AD28</f>
        <v>0</v>
      </c>
      <c r="E22" s="74">
        <f>'04'!AD26</f>
        <v>0</v>
      </c>
      <c r="F22" s="74"/>
      <c r="G22" s="74">
        <f>'06'!AD25</f>
        <v>0</v>
      </c>
      <c r="H22" s="74">
        <f>'07'!AD29</f>
        <v>0</v>
      </c>
      <c r="I22" s="74">
        <f>'08'!AD27</f>
        <v>0</v>
      </c>
      <c r="J22" s="74">
        <f>'09'!AD28</f>
        <v>0</v>
      </c>
      <c r="K22" s="74">
        <f>'10'!AD27</f>
        <v>0</v>
      </c>
      <c r="L22" s="74"/>
      <c r="M22" s="74"/>
      <c r="N22" s="74">
        <f>'13'!AD25</f>
        <v>0</v>
      </c>
      <c r="O22" s="74">
        <f>'14'!AD30</f>
        <v>0</v>
      </c>
      <c r="P22" s="74">
        <f>'15'!AD28</f>
        <v>0</v>
      </c>
      <c r="Q22" s="74">
        <f>'16'!AD26</f>
        <v>0.58333333333333337</v>
      </c>
      <c r="R22" s="74">
        <f>'17'!AD25</f>
        <v>1</v>
      </c>
      <c r="S22" s="74"/>
      <c r="T22" s="74"/>
      <c r="U22" s="74"/>
      <c r="V22" s="74"/>
      <c r="W22" s="74"/>
      <c r="X22" s="74">
        <f>'23'!AD26</f>
        <v>1</v>
      </c>
      <c r="Y22" s="74">
        <f>'24'!AD25</f>
        <v>1</v>
      </c>
      <c r="Z22" s="74"/>
      <c r="AA22" s="74"/>
      <c r="AB22" s="74">
        <f>'27'!AD25</f>
        <v>0</v>
      </c>
      <c r="AC22" s="74">
        <f>'28'!AD26</f>
        <v>0</v>
      </c>
      <c r="AD22" s="74">
        <f>'29'!AD26</f>
        <v>0</v>
      </c>
      <c r="AE22" s="74">
        <f>'30'!AD26</f>
        <v>0</v>
      </c>
      <c r="AF22" s="75"/>
      <c r="AG22" s="76">
        <f t="shared" si="0"/>
        <v>0.18611111111111114</v>
      </c>
    </row>
    <row r="23" spans="1:33" ht="21.75" customHeight="1">
      <c r="A23" s="95" t="s">
        <v>136</v>
      </c>
      <c r="B23" s="93">
        <f>'01'!AD30</f>
        <v>0</v>
      </c>
      <c r="C23" s="93">
        <f>'02'!AD29</f>
        <v>0</v>
      </c>
      <c r="D23" s="74">
        <f>'03'!AD29</f>
        <v>0</v>
      </c>
      <c r="E23" s="74">
        <f>'04'!AD27</f>
        <v>0</v>
      </c>
      <c r="F23" s="74"/>
      <c r="G23" s="74">
        <f>'06'!AD26</f>
        <v>0</v>
      </c>
      <c r="H23" s="74">
        <f>'07'!AD30</f>
        <v>0</v>
      </c>
      <c r="I23" s="74">
        <f>'08'!AD28</f>
        <v>0</v>
      </c>
      <c r="J23" s="74">
        <f>'09'!AD29</f>
        <v>0</v>
      </c>
      <c r="K23" s="74">
        <f>'10'!AD28</f>
        <v>0</v>
      </c>
      <c r="L23" s="74"/>
      <c r="M23" s="74"/>
      <c r="N23" s="74">
        <f>'13'!AD26</f>
        <v>0</v>
      </c>
      <c r="O23" s="74">
        <f>'14'!AD31</f>
        <v>0</v>
      </c>
      <c r="P23" s="74">
        <f>'15'!AD29</f>
        <v>0</v>
      </c>
      <c r="Q23" s="74">
        <f>'16'!AD27</f>
        <v>0</v>
      </c>
      <c r="R23" s="74">
        <f>'17'!AD26</f>
        <v>0</v>
      </c>
      <c r="S23" s="74"/>
      <c r="T23" s="74"/>
      <c r="U23" s="74"/>
      <c r="V23" s="74"/>
      <c r="W23" s="74"/>
      <c r="X23" s="74">
        <f>'23'!AD27</f>
        <v>0</v>
      </c>
      <c r="Y23" s="74">
        <f>'24'!AD26</f>
        <v>0</v>
      </c>
      <c r="Z23" s="74"/>
      <c r="AA23" s="74"/>
      <c r="AB23" s="74">
        <f>'27'!AD26</f>
        <v>0</v>
      </c>
      <c r="AC23" s="74">
        <f>'28'!AD27</f>
        <v>0</v>
      </c>
      <c r="AD23" s="74">
        <f>'29'!AD27</f>
        <v>0</v>
      </c>
      <c r="AE23" s="74">
        <f>'30'!AD27</f>
        <v>0</v>
      </c>
      <c r="AF23" s="75"/>
      <c r="AG23" s="76">
        <f t="shared" si="0"/>
        <v>0</v>
      </c>
    </row>
    <row r="24" spans="1:33" ht="21.75" customHeight="1" thickBot="1">
      <c r="A24" s="96" t="s">
        <v>137</v>
      </c>
      <c r="B24" s="94">
        <f>'01'!AD31</f>
        <v>0.875</v>
      </c>
      <c r="C24" s="94">
        <f>'02'!AD30</f>
        <v>1</v>
      </c>
      <c r="D24" s="77">
        <f>'03'!AD30</f>
        <v>0.45833333333333331</v>
      </c>
      <c r="E24" s="77">
        <f>'04'!AD28</f>
        <v>0</v>
      </c>
      <c r="F24" s="77"/>
      <c r="G24" s="77">
        <f>'06'!AD27</f>
        <v>0</v>
      </c>
      <c r="H24" s="77">
        <f>'07'!AD31</f>
        <v>0</v>
      </c>
      <c r="I24" s="77">
        <f>'08'!AD29</f>
        <v>0</v>
      </c>
      <c r="J24" s="77">
        <f>'09'!AD30</f>
        <v>0.58333333333333337</v>
      </c>
      <c r="K24" s="77">
        <f>'10'!AD29</f>
        <v>1</v>
      </c>
      <c r="L24" s="77"/>
      <c r="M24" s="77"/>
      <c r="N24" s="77">
        <f>'13'!AD27</f>
        <v>1</v>
      </c>
      <c r="O24" s="77">
        <f>'14'!AD32</f>
        <v>1</v>
      </c>
      <c r="P24" s="77">
        <f>'15'!AD30</f>
        <v>1</v>
      </c>
      <c r="Q24" s="77">
        <f>'16'!AD28</f>
        <v>0.625</v>
      </c>
      <c r="R24" s="77">
        <f>'17'!AD27</f>
        <v>0</v>
      </c>
      <c r="S24" s="77"/>
      <c r="T24" s="77"/>
      <c r="U24" s="77"/>
      <c r="V24" s="77"/>
      <c r="W24" s="77"/>
      <c r="X24" s="77">
        <f>'23'!AD28</f>
        <v>0</v>
      </c>
      <c r="Y24" s="77">
        <f>'24'!AD27</f>
        <v>0</v>
      </c>
      <c r="Z24" s="77"/>
      <c r="AA24" s="77"/>
      <c r="AB24" s="77">
        <f>'27'!AD27</f>
        <v>0.79166666666666663</v>
      </c>
      <c r="AC24" s="77">
        <f>'28'!AD28</f>
        <v>1</v>
      </c>
      <c r="AD24" s="77">
        <f>'29'!AD28</f>
        <v>1</v>
      </c>
      <c r="AE24" s="77">
        <f>'30'!AD28</f>
        <v>1</v>
      </c>
      <c r="AF24" s="78"/>
      <c r="AG24" s="79">
        <f t="shared" si="0"/>
        <v>0.37777777777777782</v>
      </c>
    </row>
    <row r="25" spans="1:33" s="80" customFormat="1" ht="21.75" customHeight="1">
      <c r="A25" s="84" t="s">
        <v>104</v>
      </c>
      <c r="B25" s="88">
        <f>'01'!AD32</f>
        <v>0.59455128205128216</v>
      </c>
      <c r="C25" s="88">
        <f>'02'!AD31</f>
        <v>0.64666666666666672</v>
      </c>
      <c r="D25" s="89">
        <f>'03'!AD31</f>
        <v>0.53166666666666662</v>
      </c>
      <c r="E25" s="89">
        <f>'04'!AD29</f>
        <v>0.46376811594202894</v>
      </c>
      <c r="F25" s="89"/>
      <c r="G25" s="89">
        <f>'06'!AD28</f>
        <v>0.47159090909090912</v>
      </c>
      <c r="H25" s="89">
        <f>'07'!AD32</f>
        <v>0.40705128205128205</v>
      </c>
      <c r="I25" s="89">
        <f>'08'!AD30</f>
        <v>0.3737847222222222</v>
      </c>
      <c r="J25" s="89">
        <f>'09'!AD31</f>
        <v>0.56310012437810952</v>
      </c>
      <c r="K25" s="89">
        <f>'10'!AD30</f>
        <v>0.55862000713761029</v>
      </c>
      <c r="L25" s="89"/>
      <c r="M25" s="89"/>
      <c r="N25" s="89">
        <f>'13'!AD28</f>
        <v>0.60416666666666652</v>
      </c>
      <c r="O25" s="89">
        <f>'14'!AD33</f>
        <v>0.42129629629629628</v>
      </c>
      <c r="P25" s="89">
        <f>'15'!AD31</f>
        <v>0.50666666666666671</v>
      </c>
      <c r="Q25" s="89">
        <f>'16'!AD29</f>
        <v>0.58333333333333337</v>
      </c>
      <c r="R25" s="89">
        <f>'17'!AD28</f>
        <v>0.6382575757575758</v>
      </c>
      <c r="S25" s="89"/>
      <c r="T25" s="89"/>
      <c r="U25" s="89"/>
      <c r="V25" s="89"/>
      <c r="W25" s="89"/>
      <c r="X25" s="89">
        <f>'23'!AD29</f>
        <v>0.58876811594202916</v>
      </c>
      <c r="Y25" s="89">
        <f>'24'!AD28</f>
        <v>0.67424242424242431</v>
      </c>
      <c r="Z25" s="89"/>
      <c r="AA25" s="89"/>
      <c r="AB25" s="89">
        <f>'27'!AD28</f>
        <v>0.40909090909090901</v>
      </c>
      <c r="AC25" s="89">
        <f>'28'!AD29</f>
        <v>0.47463768115942034</v>
      </c>
      <c r="AD25" s="89">
        <f>'29'!AD29</f>
        <v>0.43840579710144922</v>
      </c>
      <c r="AE25" s="89">
        <f>'30'!AD29</f>
        <v>0.61413043478260865</v>
      </c>
      <c r="AF25" s="90"/>
      <c r="AG25" s="91">
        <f t="shared" si="0"/>
        <v>0.35212652257487181</v>
      </c>
    </row>
    <row r="26" spans="1:33" ht="21.75" customHeight="1" thickBot="1">
      <c r="A26" s="69" t="s">
        <v>108</v>
      </c>
      <c r="B26" s="70">
        <v>0.62</v>
      </c>
      <c r="C26" s="71">
        <v>0.62</v>
      </c>
      <c r="D26" s="71">
        <v>0.62</v>
      </c>
      <c r="E26" s="71">
        <v>0.62</v>
      </c>
      <c r="F26" s="71">
        <v>0.62</v>
      </c>
      <c r="G26" s="71">
        <v>0.62</v>
      </c>
      <c r="H26" s="71">
        <v>0.62</v>
      </c>
      <c r="I26" s="71">
        <v>0.62</v>
      </c>
      <c r="J26" s="71">
        <v>0.62</v>
      </c>
      <c r="K26" s="71">
        <v>0.62</v>
      </c>
      <c r="L26" s="71">
        <v>0.62</v>
      </c>
      <c r="M26" s="71">
        <v>0.62</v>
      </c>
      <c r="N26" s="71">
        <v>0.62</v>
      </c>
      <c r="O26" s="71">
        <v>0.62</v>
      </c>
      <c r="P26" s="71">
        <v>0.62</v>
      </c>
      <c r="Q26" s="71">
        <v>0.62</v>
      </c>
      <c r="R26" s="71">
        <v>0.62</v>
      </c>
      <c r="S26" s="71">
        <v>0.62</v>
      </c>
      <c r="T26" s="71">
        <v>0.62</v>
      </c>
      <c r="U26" s="71">
        <v>0.62</v>
      </c>
      <c r="V26" s="71">
        <v>0.62</v>
      </c>
      <c r="W26" s="71">
        <v>0.62</v>
      </c>
      <c r="X26" s="71">
        <v>0.62</v>
      </c>
      <c r="Y26" s="71">
        <v>0.62</v>
      </c>
      <c r="Z26" s="71">
        <v>0.62</v>
      </c>
      <c r="AA26" s="71">
        <v>0.62</v>
      </c>
      <c r="AB26" s="71">
        <v>0.62</v>
      </c>
      <c r="AC26" s="71">
        <v>0.62</v>
      </c>
      <c r="AD26" s="71">
        <v>0.62</v>
      </c>
      <c r="AE26" s="71">
        <v>0.62</v>
      </c>
      <c r="AF26" s="72">
        <v>0.62</v>
      </c>
      <c r="AG26" s="73">
        <v>0.62</v>
      </c>
    </row>
  </sheetData>
  <mergeCells count="1">
    <mergeCell ref="A1:H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537E9-2A5C-4D57-B7F9-BC8012FDF42D}">
  <sheetPr codeName="Sheet4">
    <pageSetUpPr fitToPage="1"/>
  </sheetPr>
  <dimension ref="A1:AF96"/>
  <sheetViews>
    <sheetView view="pageBreakPreview" zoomScale="70" zoomScaleNormal="72" zoomScaleSheetLayoutView="70" workbookViewId="0">
      <selection activeCell="A93" sqref="A93:B93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1" bestFit="1" customWidth="1"/>
    <col min="33" max="33" width="17.625" style="50" customWidth="1"/>
    <col min="34" max="16384" width="9" style="50"/>
  </cols>
  <sheetData>
    <row r="1" spans="1:32" ht="44.25" customHeight="1">
      <c r="A1" s="461" t="s">
        <v>283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61"/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62"/>
      <c r="B3" s="462"/>
      <c r="C3" s="462"/>
      <c r="D3" s="462"/>
      <c r="E3" s="462"/>
      <c r="F3" s="462"/>
      <c r="G3" s="462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63" t="s">
        <v>0</v>
      </c>
      <c r="B4" s="465" t="s">
        <v>1</v>
      </c>
      <c r="C4" s="465" t="s">
        <v>2</v>
      </c>
      <c r="D4" s="468" t="s">
        <v>3</v>
      </c>
      <c r="E4" s="470" t="s">
        <v>4</v>
      </c>
      <c r="F4" s="468" t="s">
        <v>5</v>
      </c>
      <c r="G4" s="465" t="s">
        <v>6</v>
      </c>
      <c r="H4" s="471" t="s">
        <v>7</v>
      </c>
      <c r="I4" s="451" t="s">
        <v>8</v>
      </c>
      <c r="J4" s="452"/>
      <c r="K4" s="452"/>
      <c r="L4" s="452"/>
      <c r="M4" s="452"/>
      <c r="N4" s="452"/>
      <c r="O4" s="453"/>
      <c r="P4" s="454" t="s">
        <v>9</v>
      </c>
      <c r="Q4" s="455"/>
      <c r="R4" s="456" t="s">
        <v>10</v>
      </c>
      <c r="S4" s="457"/>
      <c r="T4" s="457"/>
      <c r="U4" s="457"/>
      <c r="V4" s="458"/>
      <c r="W4" s="457" t="s">
        <v>11</v>
      </c>
      <c r="X4" s="457"/>
      <c r="Y4" s="457"/>
      <c r="Z4" s="457"/>
      <c r="AA4" s="458"/>
      <c r="AB4" s="459" t="s">
        <v>12</v>
      </c>
      <c r="AC4" s="433" t="s">
        <v>13</v>
      </c>
      <c r="AD4" s="433" t="s">
        <v>14</v>
      </c>
      <c r="AE4" s="54"/>
    </row>
    <row r="5" spans="1:32" ht="51" customHeight="1" thickBot="1">
      <c r="A5" s="464"/>
      <c r="B5" s="466"/>
      <c r="C5" s="467"/>
      <c r="D5" s="469"/>
      <c r="E5" s="469"/>
      <c r="F5" s="469"/>
      <c r="G5" s="466"/>
      <c r="H5" s="472"/>
      <c r="I5" s="55" t="s">
        <v>15</v>
      </c>
      <c r="J5" s="56" t="s">
        <v>16</v>
      </c>
      <c r="K5" s="156" t="s">
        <v>17</v>
      </c>
      <c r="L5" s="156" t="s">
        <v>18</v>
      </c>
      <c r="M5" s="156" t="s">
        <v>19</v>
      </c>
      <c r="N5" s="156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60"/>
      <c r="AC5" s="434"/>
      <c r="AD5" s="434"/>
      <c r="AE5" s="54"/>
    </row>
    <row r="6" spans="1:32" ht="27" customHeight="1">
      <c r="A6" s="106">
        <v>1</v>
      </c>
      <c r="B6" s="11" t="s">
        <v>57</v>
      </c>
      <c r="C6" s="34" t="s">
        <v>112</v>
      </c>
      <c r="D6" s="52" t="s">
        <v>208</v>
      </c>
      <c r="E6" s="53" t="s">
        <v>232</v>
      </c>
      <c r="F6" s="30" t="s">
        <v>139</v>
      </c>
      <c r="G6" s="12">
        <v>1</v>
      </c>
      <c r="H6" s="13">
        <v>24</v>
      </c>
      <c r="I6" s="31">
        <v>8000</v>
      </c>
      <c r="J6" s="14">
        <v>3519</v>
      </c>
      <c r="K6" s="15">
        <f>L6+5516</f>
        <v>9035</v>
      </c>
      <c r="L6" s="15">
        <f>597+2922</f>
        <v>3519</v>
      </c>
      <c r="M6" s="15">
        <f t="shared" ref="M6:M30" si="0">L6-N6</f>
        <v>3519</v>
      </c>
      <c r="N6" s="15">
        <v>0</v>
      </c>
      <c r="O6" s="58">
        <f t="shared" ref="O6:O31" si="1">IF(L6=0,"0",N6/L6)</f>
        <v>0</v>
      </c>
      <c r="P6" s="39">
        <f t="shared" ref="P6:P30" si="2">IF(L6=0,"0",(24-Q6))</f>
        <v>15</v>
      </c>
      <c r="Q6" s="40">
        <f t="shared" ref="Q6:Q30" si="3">SUM(R6:AA6)</f>
        <v>9</v>
      </c>
      <c r="R6" s="7"/>
      <c r="S6" s="6"/>
      <c r="T6" s="16"/>
      <c r="U6" s="16"/>
      <c r="V6" s="17"/>
      <c r="W6" s="5">
        <v>9</v>
      </c>
      <c r="X6" s="16"/>
      <c r="Y6" s="16"/>
      <c r="Z6" s="16"/>
      <c r="AA6" s="18"/>
      <c r="AB6" s="8">
        <f t="shared" ref="AB6:AB30" si="4">IF(J6=0,"0",(L6/J6))</f>
        <v>1</v>
      </c>
      <c r="AC6" s="9">
        <f t="shared" ref="AC6:AC30" si="5">IF(P6=0,"0",(P6/24))</f>
        <v>0.625</v>
      </c>
      <c r="AD6" s="10">
        <f>AC6*AB6*(1-O6)</f>
        <v>0.625</v>
      </c>
      <c r="AE6" s="36">
        <f t="shared" ref="AE6:AE30" si="6">$AD$31</f>
        <v>0.53166666666666662</v>
      </c>
      <c r="AF6" s="81">
        <f t="shared" ref="AF6:AF30" si="7">A6</f>
        <v>1</v>
      </c>
    </row>
    <row r="7" spans="1:32" ht="27" customHeight="1">
      <c r="A7" s="106">
        <v>2</v>
      </c>
      <c r="B7" s="11" t="s">
        <v>57</v>
      </c>
      <c r="C7" s="34" t="s">
        <v>112</v>
      </c>
      <c r="D7" s="52" t="s">
        <v>140</v>
      </c>
      <c r="E7" s="53" t="s">
        <v>149</v>
      </c>
      <c r="F7" s="30" t="s">
        <v>139</v>
      </c>
      <c r="G7" s="12">
        <v>1</v>
      </c>
      <c r="H7" s="13">
        <v>24</v>
      </c>
      <c r="I7" s="31">
        <v>190000</v>
      </c>
      <c r="J7" s="14">
        <v>7112</v>
      </c>
      <c r="K7" s="15">
        <f>L7+8898+11520+11558+11486+11566+10872+10958+11534+11518+11230</f>
        <v>118252</v>
      </c>
      <c r="L7" s="15">
        <f>2880*2+676*2</f>
        <v>7112</v>
      </c>
      <c r="M7" s="15">
        <f t="shared" si="0"/>
        <v>7112</v>
      </c>
      <c r="N7" s="15">
        <v>0</v>
      </c>
      <c r="O7" s="58">
        <f t="shared" si="1"/>
        <v>0</v>
      </c>
      <c r="P7" s="39">
        <f t="shared" si="2"/>
        <v>19</v>
      </c>
      <c r="Q7" s="40">
        <f t="shared" si="3"/>
        <v>5</v>
      </c>
      <c r="R7" s="7"/>
      <c r="S7" s="6">
        <v>5</v>
      </c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0.79166666666666663</v>
      </c>
      <c r="AD7" s="10">
        <f t="shared" ref="AD7:AD30" si="8">AC7*AB7*(1-O7)</f>
        <v>0.79166666666666663</v>
      </c>
      <c r="AE7" s="36">
        <f t="shared" si="6"/>
        <v>0.53166666666666662</v>
      </c>
      <c r="AF7" s="81">
        <f t="shared" si="7"/>
        <v>2</v>
      </c>
    </row>
    <row r="8" spans="1:32" ht="27" customHeight="1">
      <c r="A8" s="92">
        <v>3</v>
      </c>
      <c r="B8" s="11" t="s">
        <v>57</v>
      </c>
      <c r="C8" s="34" t="s">
        <v>116</v>
      </c>
      <c r="D8" s="52" t="s">
        <v>129</v>
      </c>
      <c r="E8" s="53" t="s">
        <v>178</v>
      </c>
      <c r="F8" s="30" t="s">
        <v>124</v>
      </c>
      <c r="G8" s="12">
        <v>2</v>
      </c>
      <c r="H8" s="13">
        <v>22</v>
      </c>
      <c r="I8" s="31">
        <v>90000</v>
      </c>
      <c r="J8" s="5">
        <v>2367</v>
      </c>
      <c r="K8" s="15">
        <f>L8+8120+11780+9608</f>
        <v>31875</v>
      </c>
      <c r="L8" s="15">
        <f>2367</f>
        <v>2367</v>
      </c>
      <c r="M8" s="15">
        <f t="shared" si="0"/>
        <v>2367</v>
      </c>
      <c r="N8" s="15">
        <v>0</v>
      </c>
      <c r="O8" s="58">
        <f t="shared" si="1"/>
        <v>0</v>
      </c>
      <c r="P8" s="39">
        <f t="shared" si="2"/>
        <v>12</v>
      </c>
      <c r="Q8" s="40">
        <f t="shared" si="3"/>
        <v>12</v>
      </c>
      <c r="R8" s="7"/>
      <c r="S8" s="6">
        <v>12</v>
      </c>
      <c r="T8" s="16"/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0.5</v>
      </c>
      <c r="AD8" s="10">
        <f t="shared" si="8"/>
        <v>0.5</v>
      </c>
      <c r="AE8" s="36">
        <f t="shared" si="6"/>
        <v>0.53166666666666662</v>
      </c>
      <c r="AF8" s="81">
        <f t="shared" si="7"/>
        <v>3</v>
      </c>
    </row>
    <row r="9" spans="1:32" ht="27" customHeight="1">
      <c r="A9" s="92">
        <v>4</v>
      </c>
      <c r="B9" s="11" t="s">
        <v>57</v>
      </c>
      <c r="C9" s="34" t="s">
        <v>161</v>
      </c>
      <c r="D9" s="52"/>
      <c r="E9" s="53" t="s">
        <v>166</v>
      </c>
      <c r="F9" s="30" t="s">
        <v>145</v>
      </c>
      <c r="G9" s="12">
        <v>2</v>
      </c>
      <c r="H9" s="13">
        <v>24</v>
      </c>
      <c r="I9" s="7">
        <v>10000</v>
      </c>
      <c r="J9" s="14">
        <v>12404</v>
      </c>
      <c r="K9" s="15">
        <f>L9+9554+12518</f>
        <v>34476</v>
      </c>
      <c r="L9" s="15">
        <f>3107*2+3095*2</f>
        <v>12404</v>
      </c>
      <c r="M9" s="15">
        <f t="shared" si="0"/>
        <v>12404</v>
      </c>
      <c r="N9" s="15">
        <v>0</v>
      </c>
      <c r="O9" s="58">
        <f t="shared" si="1"/>
        <v>0</v>
      </c>
      <c r="P9" s="39">
        <f t="shared" si="2"/>
        <v>24</v>
      </c>
      <c r="Q9" s="40">
        <f t="shared" si="3"/>
        <v>0</v>
      </c>
      <c r="R9" s="7"/>
      <c r="S9" s="6"/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1</v>
      </c>
      <c r="AD9" s="10">
        <f t="shared" si="8"/>
        <v>1</v>
      </c>
      <c r="AE9" s="36">
        <f t="shared" si="6"/>
        <v>0.53166666666666662</v>
      </c>
      <c r="AF9" s="81">
        <f t="shared" si="7"/>
        <v>4</v>
      </c>
    </row>
    <row r="10" spans="1:32" ht="27" customHeight="1">
      <c r="A10" s="92">
        <v>5</v>
      </c>
      <c r="B10" s="11" t="s">
        <v>57</v>
      </c>
      <c r="C10" s="11" t="s">
        <v>112</v>
      </c>
      <c r="D10" s="52" t="s">
        <v>121</v>
      </c>
      <c r="E10" s="53" t="s">
        <v>188</v>
      </c>
      <c r="F10" s="30" t="s">
        <v>124</v>
      </c>
      <c r="G10" s="33">
        <v>1</v>
      </c>
      <c r="H10" s="35">
        <v>24</v>
      </c>
      <c r="I10" s="7">
        <v>115000</v>
      </c>
      <c r="J10" s="14">
        <v>5744</v>
      </c>
      <c r="K10" s="15">
        <f>L10+5338+5669</f>
        <v>16751</v>
      </c>
      <c r="L10" s="15">
        <f>2970+2774</f>
        <v>5744</v>
      </c>
      <c r="M10" s="15">
        <f t="shared" si="0"/>
        <v>5744</v>
      </c>
      <c r="N10" s="15">
        <v>0</v>
      </c>
      <c r="O10" s="58">
        <f t="shared" si="1"/>
        <v>0</v>
      </c>
      <c r="P10" s="39">
        <f t="shared" si="2"/>
        <v>24</v>
      </c>
      <c r="Q10" s="40">
        <f t="shared" si="3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1</v>
      </c>
      <c r="AD10" s="10">
        <f t="shared" si="8"/>
        <v>1</v>
      </c>
      <c r="AE10" s="36">
        <f t="shared" si="6"/>
        <v>0.53166666666666662</v>
      </c>
      <c r="AF10" s="81">
        <f t="shared" si="7"/>
        <v>5</v>
      </c>
    </row>
    <row r="11" spans="1:32" ht="27" customHeight="1">
      <c r="A11" s="92">
        <v>6</v>
      </c>
      <c r="B11" s="11" t="s">
        <v>57</v>
      </c>
      <c r="C11" s="11" t="s">
        <v>127</v>
      </c>
      <c r="D11" s="52" t="s">
        <v>115</v>
      </c>
      <c r="E11" s="53" t="s">
        <v>259</v>
      </c>
      <c r="F11" s="30" t="s">
        <v>138</v>
      </c>
      <c r="G11" s="33">
        <v>1</v>
      </c>
      <c r="H11" s="35">
        <v>24</v>
      </c>
      <c r="I11" s="7">
        <v>1000</v>
      </c>
      <c r="J11" s="14">
        <v>1971</v>
      </c>
      <c r="K11" s="15">
        <f>L11</f>
        <v>1971</v>
      </c>
      <c r="L11" s="15">
        <v>1971</v>
      </c>
      <c r="M11" s="15">
        <f t="shared" si="0"/>
        <v>1971</v>
      </c>
      <c r="N11" s="15">
        <v>0</v>
      </c>
      <c r="O11" s="58">
        <f t="shared" si="1"/>
        <v>0</v>
      </c>
      <c r="P11" s="39">
        <f t="shared" si="2"/>
        <v>10</v>
      </c>
      <c r="Q11" s="40">
        <f t="shared" si="3"/>
        <v>14</v>
      </c>
      <c r="R11" s="7"/>
      <c r="S11" s="6"/>
      <c r="T11" s="16"/>
      <c r="U11" s="16"/>
      <c r="V11" s="17"/>
      <c r="W11" s="5">
        <v>14</v>
      </c>
      <c r="X11" s="16"/>
      <c r="Y11" s="16"/>
      <c r="Z11" s="16"/>
      <c r="AA11" s="18"/>
      <c r="AB11" s="8">
        <f t="shared" si="4"/>
        <v>1</v>
      </c>
      <c r="AC11" s="9">
        <f t="shared" si="5"/>
        <v>0.41666666666666669</v>
      </c>
      <c r="AD11" s="10">
        <f t="shared" si="8"/>
        <v>0.41666666666666669</v>
      </c>
      <c r="AE11" s="36">
        <f t="shared" si="6"/>
        <v>0.53166666666666662</v>
      </c>
      <c r="AF11" s="81">
        <f t="shared" si="7"/>
        <v>6</v>
      </c>
    </row>
    <row r="12" spans="1:32" ht="27" customHeight="1">
      <c r="A12" s="92">
        <v>6</v>
      </c>
      <c r="B12" s="11" t="s">
        <v>57</v>
      </c>
      <c r="C12" s="11" t="s">
        <v>112</v>
      </c>
      <c r="D12" s="52" t="s">
        <v>284</v>
      </c>
      <c r="E12" s="53" t="s">
        <v>285</v>
      </c>
      <c r="F12" s="30" t="s">
        <v>286</v>
      </c>
      <c r="G12" s="33">
        <v>1</v>
      </c>
      <c r="H12" s="35">
        <v>24</v>
      </c>
      <c r="I12" s="7">
        <v>300</v>
      </c>
      <c r="J12" s="14">
        <v>370</v>
      </c>
      <c r="K12" s="15">
        <f>L12</f>
        <v>370</v>
      </c>
      <c r="L12" s="15">
        <v>370</v>
      </c>
      <c r="M12" s="15">
        <f t="shared" ref="M12" si="9">L12-N12</f>
        <v>370</v>
      </c>
      <c r="N12" s="15">
        <v>0</v>
      </c>
      <c r="O12" s="58">
        <f t="shared" ref="O12" si="10">IF(L12=0,"0",N12/L12)</f>
        <v>0</v>
      </c>
      <c r="P12" s="39">
        <f t="shared" ref="P12" si="11">IF(L12=0,"0",(24-Q12))</f>
        <v>3</v>
      </c>
      <c r="Q12" s="40">
        <f t="shared" ref="Q12" si="12">SUM(R12:AA12)</f>
        <v>21</v>
      </c>
      <c r="R12" s="7"/>
      <c r="S12" s="6"/>
      <c r="T12" s="16"/>
      <c r="U12" s="16"/>
      <c r="V12" s="17"/>
      <c r="W12" s="5">
        <v>21</v>
      </c>
      <c r="X12" s="16"/>
      <c r="Y12" s="16"/>
      <c r="Z12" s="16"/>
      <c r="AA12" s="18"/>
      <c r="AB12" s="8">
        <f t="shared" ref="AB12" si="13">IF(J12=0,"0",(L12/J12))</f>
        <v>1</v>
      </c>
      <c r="AC12" s="9">
        <f t="shared" ref="AC12" si="14">IF(P12=0,"0",(P12/24))</f>
        <v>0.125</v>
      </c>
      <c r="AD12" s="10">
        <f t="shared" ref="AD12" si="15">AC12*AB12*(1-O12)</f>
        <v>0.125</v>
      </c>
      <c r="AE12" s="36">
        <f t="shared" si="6"/>
        <v>0.53166666666666662</v>
      </c>
      <c r="AF12" s="81">
        <f t="shared" ref="AF12" si="16">A12</f>
        <v>6</v>
      </c>
    </row>
    <row r="13" spans="1:32" ht="27" customHeight="1">
      <c r="A13" s="92">
        <v>6</v>
      </c>
      <c r="B13" s="11" t="s">
        <v>57</v>
      </c>
      <c r="C13" s="11" t="s">
        <v>112</v>
      </c>
      <c r="D13" s="52" t="s">
        <v>287</v>
      </c>
      <c r="E13" s="53" t="s">
        <v>288</v>
      </c>
      <c r="F13" s="30" t="s">
        <v>128</v>
      </c>
      <c r="G13" s="33">
        <v>1</v>
      </c>
      <c r="H13" s="35">
        <v>24</v>
      </c>
      <c r="I13" s="7">
        <v>300</v>
      </c>
      <c r="J13" s="14">
        <v>409</v>
      </c>
      <c r="K13" s="15">
        <f>L13</f>
        <v>409</v>
      </c>
      <c r="L13" s="15">
        <v>409</v>
      </c>
      <c r="M13" s="15">
        <f t="shared" si="0"/>
        <v>409</v>
      </c>
      <c r="N13" s="15">
        <v>0</v>
      </c>
      <c r="O13" s="58">
        <f t="shared" si="1"/>
        <v>0</v>
      </c>
      <c r="P13" s="39">
        <f t="shared" si="2"/>
        <v>3</v>
      </c>
      <c r="Q13" s="40">
        <f t="shared" si="3"/>
        <v>21</v>
      </c>
      <c r="R13" s="7"/>
      <c r="S13" s="6"/>
      <c r="T13" s="16"/>
      <c r="U13" s="16"/>
      <c r="V13" s="17"/>
      <c r="W13" s="5">
        <v>21</v>
      </c>
      <c r="X13" s="16"/>
      <c r="Y13" s="16"/>
      <c r="Z13" s="16"/>
      <c r="AA13" s="18"/>
      <c r="AB13" s="8">
        <f t="shared" si="4"/>
        <v>1</v>
      </c>
      <c r="AC13" s="9">
        <f t="shared" si="5"/>
        <v>0.125</v>
      </c>
      <c r="AD13" s="10">
        <f t="shared" si="8"/>
        <v>0.125</v>
      </c>
      <c r="AE13" s="36">
        <f t="shared" si="6"/>
        <v>0.53166666666666662</v>
      </c>
      <c r="AF13" s="81">
        <f t="shared" si="7"/>
        <v>6</v>
      </c>
    </row>
    <row r="14" spans="1:32" ht="27" customHeight="1">
      <c r="A14" s="92">
        <v>7</v>
      </c>
      <c r="B14" s="11" t="s">
        <v>57</v>
      </c>
      <c r="C14" s="34" t="s">
        <v>116</v>
      </c>
      <c r="D14" s="52" t="s">
        <v>115</v>
      </c>
      <c r="E14" s="53" t="s">
        <v>214</v>
      </c>
      <c r="F14" s="30" t="s">
        <v>235</v>
      </c>
      <c r="G14" s="12">
        <v>1</v>
      </c>
      <c r="H14" s="13">
        <v>22</v>
      </c>
      <c r="I14" s="31">
        <v>60000</v>
      </c>
      <c r="J14" s="5">
        <v>9738</v>
      </c>
      <c r="K14" s="15">
        <f>L14+7218</f>
        <v>16956</v>
      </c>
      <c r="L14" s="15">
        <f>2427*2+2442*2</f>
        <v>9738</v>
      </c>
      <c r="M14" s="15">
        <f t="shared" si="0"/>
        <v>9738</v>
      </c>
      <c r="N14" s="15">
        <v>0</v>
      </c>
      <c r="O14" s="58">
        <f t="shared" si="1"/>
        <v>0</v>
      </c>
      <c r="P14" s="39">
        <f t="shared" si="2"/>
        <v>24</v>
      </c>
      <c r="Q14" s="40">
        <f t="shared" si="3"/>
        <v>0</v>
      </c>
      <c r="R14" s="7"/>
      <c r="S14" s="6"/>
      <c r="T14" s="16"/>
      <c r="U14" s="16"/>
      <c r="V14" s="17"/>
      <c r="W14" s="5"/>
      <c r="X14" s="16"/>
      <c r="Y14" s="16"/>
      <c r="Z14" s="16"/>
      <c r="AA14" s="18"/>
      <c r="AB14" s="8">
        <f t="shared" si="4"/>
        <v>1</v>
      </c>
      <c r="AC14" s="9">
        <f t="shared" si="5"/>
        <v>1</v>
      </c>
      <c r="AD14" s="10">
        <f t="shared" si="8"/>
        <v>1</v>
      </c>
      <c r="AE14" s="36">
        <f t="shared" si="6"/>
        <v>0.53166666666666662</v>
      </c>
      <c r="AF14" s="81">
        <f t="shared" si="7"/>
        <v>7</v>
      </c>
    </row>
    <row r="15" spans="1:32" ht="27" customHeight="1">
      <c r="A15" s="92">
        <v>8</v>
      </c>
      <c r="B15" s="11" t="s">
        <v>57</v>
      </c>
      <c r="C15" s="11" t="s">
        <v>127</v>
      </c>
      <c r="D15" s="52" t="s">
        <v>209</v>
      </c>
      <c r="E15" s="53" t="s">
        <v>196</v>
      </c>
      <c r="F15" s="30" t="s">
        <v>123</v>
      </c>
      <c r="G15" s="33">
        <v>1</v>
      </c>
      <c r="H15" s="35">
        <v>22</v>
      </c>
      <c r="I15" s="7">
        <v>2700</v>
      </c>
      <c r="J15" s="14">
        <v>4027</v>
      </c>
      <c r="K15" s="15">
        <f>L15</f>
        <v>4027</v>
      </c>
      <c r="L15" s="15">
        <f>1950+2077</f>
        <v>4027</v>
      </c>
      <c r="M15" s="15">
        <f t="shared" si="0"/>
        <v>4027</v>
      </c>
      <c r="N15" s="15">
        <v>0</v>
      </c>
      <c r="O15" s="58">
        <f t="shared" si="1"/>
        <v>0</v>
      </c>
      <c r="P15" s="39">
        <f t="shared" si="2"/>
        <v>23</v>
      </c>
      <c r="Q15" s="40">
        <f t="shared" si="3"/>
        <v>1</v>
      </c>
      <c r="R15" s="7"/>
      <c r="S15" s="6"/>
      <c r="T15" s="16">
        <v>1</v>
      </c>
      <c r="U15" s="16"/>
      <c r="V15" s="17"/>
      <c r="W15" s="5"/>
      <c r="X15" s="16"/>
      <c r="Y15" s="16"/>
      <c r="Z15" s="16"/>
      <c r="AA15" s="18"/>
      <c r="AB15" s="8">
        <f t="shared" si="4"/>
        <v>1</v>
      </c>
      <c r="AC15" s="9">
        <f t="shared" si="5"/>
        <v>0.95833333333333337</v>
      </c>
      <c r="AD15" s="10">
        <f t="shared" si="8"/>
        <v>0.95833333333333337</v>
      </c>
      <c r="AE15" s="36">
        <f t="shared" si="6"/>
        <v>0.53166666666666662</v>
      </c>
      <c r="AF15" s="81">
        <f t="shared" si="7"/>
        <v>8</v>
      </c>
    </row>
    <row r="16" spans="1:32" ht="27" customHeight="1">
      <c r="A16" s="99">
        <v>9</v>
      </c>
      <c r="B16" s="11" t="s">
        <v>57</v>
      </c>
      <c r="C16" s="34" t="s">
        <v>112</v>
      </c>
      <c r="D16" s="52" t="s">
        <v>115</v>
      </c>
      <c r="E16" s="53" t="s">
        <v>165</v>
      </c>
      <c r="F16" s="30" t="s">
        <v>167</v>
      </c>
      <c r="G16" s="33">
        <v>1</v>
      </c>
      <c r="H16" s="35">
        <v>50</v>
      </c>
      <c r="I16" s="7">
        <v>300</v>
      </c>
      <c r="J16" s="5">
        <v>391</v>
      </c>
      <c r="K16" s="15">
        <f>L16+300</f>
        <v>300</v>
      </c>
      <c r="L16" s="15"/>
      <c r="M16" s="15">
        <f t="shared" si="0"/>
        <v>0</v>
      </c>
      <c r="N16" s="15">
        <v>0</v>
      </c>
      <c r="O16" s="58" t="str">
        <f t="shared" si="1"/>
        <v>0</v>
      </c>
      <c r="P16" s="39" t="str">
        <f t="shared" si="2"/>
        <v>0</v>
      </c>
      <c r="Q16" s="40">
        <f t="shared" si="3"/>
        <v>24</v>
      </c>
      <c r="R16" s="7"/>
      <c r="S16" s="6">
        <v>24</v>
      </c>
      <c r="T16" s="16"/>
      <c r="U16" s="16"/>
      <c r="V16" s="17"/>
      <c r="W16" s="5"/>
      <c r="X16" s="16"/>
      <c r="Y16" s="16"/>
      <c r="Z16" s="16"/>
      <c r="AA16" s="18"/>
      <c r="AB16" s="8">
        <f t="shared" si="4"/>
        <v>0</v>
      </c>
      <c r="AC16" s="9">
        <f t="shared" si="5"/>
        <v>0</v>
      </c>
      <c r="AD16" s="10">
        <f t="shared" si="8"/>
        <v>0</v>
      </c>
      <c r="AE16" s="36">
        <f t="shared" si="6"/>
        <v>0.53166666666666662</v>
      </c>
      <c r="AF16" s="81">
        <f t="shared" si="7"/>
        <v>9</v>
      </c>
    </row>
    <row r="17" spans="1:32" ht="27" customHeight="1">
      <c r="A17" s="106">
        <v>10</v>
      </c>
      <c r="B17" s="11" t="s">
        <v>57</v>
      </c>
      <c r="C17" s="34" t="s">
        <v>127</v>
      </c>
      <c r="D17" s="52" t="s">
        <v>144</v>
      </c>
      <c r="E17" s="53" t="s">
        <v>237</v>
      </c>
      <c r="F17" s="30" t="s">
        <v>142</v>
      </c>
      <c r="G17" s="12">
        <v>1</v>
      </c>
      <c r="H17" s="13">
        <v>24</v>
      </c>
      <c r="I17" s="31">
        <v>1000</v>
      </c>
      <c r="J17" s="14">
        <v>1490</v>
      </c>
      <c r="K17" s="15">
        <f>L17+1490</f>
        <v>1490</v>
      </c>
      <c r="L17" s="15"/>
      <c r="M17" s="15">
        <f t="shared" si="0"/>
        <v>0</v>
      </c>
      <c r="N17" s="15">
        <v>0</v>
      </c>
      <c r="O17" s="58" t="str">
        <f t="shared" si="1"/>
        <v>0</v>
      </c>
      <c r="P17" s="39" t="str">
        <f t="shared" si="2"/>
        <v>0</v>
      </c>
      <c r="Q17" s="40">
        <f t="shared" si="3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4"/>
        <v>0</v>
      </c>
      <c r="AC17" s="9">
        <f t="shared" si="5"/>
        <v>0</v>
      </c>
      <c r="AD17" s="10">
        <f t="shared" si="8"/>
        <v>0</v>
      </c>
      <c r="AE17" s="36">
        <f t="shared" si="6"/>
        <v>0.53166666666666662</v>
      </c>
      <c r="AF17" s="81">
        <f t="shared" si="7"/>
        <v>10</v>
      </c>
    </row>
    <row r="18" spans="1:32" ht="27" customHeight="1">
      <c r="A18" s="106">
        <v>11</v>
      </c>
      <c r="B18" s="11" t="s">
        <v>57</v>
      </c>
      <c r="C18" s="34" t="s">
        <v>161</v>
      </c>
      <c r="D18" s="52"/>
      <c r="E18" s="53" t="s">
        <v>168</v>
      </c>
      <c r="F18" s="30" t="s">
        <v>145</v>
      </c>
      <c r="G18" s="12">
        <v>2</v>
      </c>
      <c r="H18" s="13">
        <v>24</v>
      </c>
      <c r="I18" s="7">
        <v>73000</v>
      </c>
      <c r="J18" s="14">
        <v>9134</v>
      </c>
      <c r="K18" s="15">
        <f>L18+10730+9070+9850+12188+10512+3676+10788+8416</f>
        <v>84364</v>
      </c>
      <c r="L18" s="15">
        <f>3048*2+1519*2</f>
        <v>9134</v>
      </c>
      <c r="M18" s="15">
        <f t="shared" si="0"/>
        <v>9134</v>
      </c>
      <c r="N18" s="15">
        <v>0</v>
      </c>
      <c r="O18" s="58">
        <f t="shared" si="1"/>
        <v>0</v>
      </c>
      <c r="P18" s="39">
        <f t="shared" si="2"/>
        <v>20</v>
      </c>
      <c r="Q18" s="40">
        <f t="shared" si="3"/>
        <v>4</v>
      </c>
      <c r="R18" s="7"/>
      <c r="S18" s="6">
        <v>4</v>
      </c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0.83333333333333337</v>
      </c>
      <c r="AD18" s="10">
        <f t="shared" si="8"/>
        <v>0.83333333333333337</v>
      </c>
      <c r="AE18" s="36">
        <f t="shared" si="6"/>
        <v>0.53166666666666662</v>
      </c>
      <c r="AF18" s="81">
        <f t="shared" si="7"/>
        <v>11</v>
      </c>
    </row>
    <row r="19" spans="1:32" ht="27" customHeight="1">
      <c r="A19" s="106">
        <v>12</v>
      </c>
      <c r="B19" s="11" t="s">
        <v>57</v>
      </c>
      <c r="C19" s="34" t="s">
        <v>127</v>
      </c>
      <c r="D19" s="52" t="s">
        <v>144</v>
      </c>
      <c r="E19" s="53" t="s">
        <v>289</v>
      </c>
      <c r="F19" s="30" t="s">
        <v>155</v>
      </c>
      <c r="G19" s="12">
        <v>1</v>
      </c>
      <c r="H19" s="13">
        <v>24</v>
      </c>
      <c r="I19" s="7">
        <v>1000</v>
      </c>
      <c r="J19" s="14">
        <v>1123</v>
      </c>
      <c r="K19" s="15">
        <f>L19</f>
        <v>1123</v>
      </c>
      <c r="L19" s="15">
        <v>1123</v>
      </c>
      <c r="M19" s="15">
        <f t="shared" si="0"/>
        <v>1123</v>
      </c>
      <c r="N19" s="15">
        <v>0</v>
      </c>
      <c r="O19" s="58">
        <f t="shared" si="1"/>
        <v>0</v>
      </c>
      <c r="P19" s="39">
        <f t="shared" si="2"/>
        <v>7</v>
      </c>
      <c r="Q19" s="40">
        <f t="shared" si="3"/>
        <v>17</v>
      </c>
      <c r="R19" s="7"/>
      <c r="S19" s="6"/>
      <c r="T19" s="16"/>
      <c r="U19" s="16"/>
      <c r="V19" s="17"/>
      <c r="W19" s="5">
        <v>17</v>
      </c>
      <c r="X19" s="16"/>
      <c r="Y19" s="16"/>
      <c r="Z19" s="16"/>
      <c r="AA19" s="18"/>
      <c r="AB19" s="8">
        <f t="shared" si="4"/>
        <v>1</v>
      </c>
      <c r="AC19" s="9">
        <f t="shared" si="5"/>
        <v>0.29166666666666669</v>
      </c>
      <c r="AD19" s="10">
        <f t="shared" si="8"/>
        <v>0.29166666666666669</v>
      </c>
      <c r="AE19" s="36">
        <f t="shared" si="6"/>
        <v>0.53166666666666662</v>
      </c>
      <c r="AF19" s="81">
        <f t="shared" si="7"/>
        <v>12</v>
      </c>
    </row>
    <row r="20" spans="1:32" ht="27" customHeight="1">
      <c r="A20" s="106">
        <v>12</v>
      </c>
      <c r="B20" s="11" t="s">
        <v>57</v>
      </c>
      <c r="C20" s="34" t="s">
        <v>127</v>
      </c>
      <c r="D20" s="52" t="s">
        <v>290</v>
      </c>
      <c r="E20" s="53" t="s">
        <v>291</v>
      </c>
      <c r="F20" s="30" t="s">
        <v>155</v>
      </c>
      <c r="G20" s="12">
        <v>2</v>
      </c>
      <c r="H20" s="13">
        <v>24</v>
      </c>
      <c r="I20" s="7">
        <v>2000</v>
      </c>
      <c r="J20" s="14">
        <v>4364</v>
      </c>
      <c r="K20" s="15">
        <f>L20</f>
        <v>4364</v>
      </c>
      <c r="L20" s="15">
        <f>2182*2</f>
        <v>4364</v>
      </c>
      <c r="M20" s="15">
        <f t="shared" ref="M20" si="17">L20-N20</f>
        <v>4364</v>
      </c>
      <c r="N20" s="15">
        <v>0</v>
      </c>
      <c r="O20" s="58">
        <f t="shared" ref="O20" si="18">IF(L20=0,"0",N20/L20)</f>
        <v>0</v>
      </c>
      <c r="P20" s="39">
        <f t="shared" ref="P20" si="19">IF(L20=0,"0",(24-Q20))</f>
        <v>12</v>
      </c>
      <c r="Q20" s="40">
        <f t="shared" ref="Q20" si="20">SUM(R20:AA20)</f>
        <v>12</v>
      </c>
      <c r="R20" s="7"/>
      <c r="S20" s="6"/>
      <c r="T20" s="16">
        <v>12</v>
      </c>
      <c r="U20" s="16"/>
      <c r="V20" s="17"/>
      <c r="W20" s="5"/>
      <c r="X20" s="16"/>
      <c r="Y20" s="16"/>
      <c r="Z20" s="16"/>
      <c r="AA20" s="18"/>
      <c r="AB20" s="8">
        <f t="shared" ref="AB20" si="21">IF(J20=0,"0",(L20/J20))</f>
        <v>1</v>
      </c>
      <c r="AC20" s="9">
        <f t="shared" ref="AC20" si="22">IF(P20=0,"0",(P20/24))</f>
        <v>0.5</v>
      </c>
      <c r="AD20" s="10">
        <f t="shared" ref="AD20" si="23">AC20*AB20*(1-O20)</f>
        <v>0.5</v>
      </c>
      <c r="AE20" s="36">
        <f t="shared" si="6"/>
        <v>0.53166666666666662</v>
      </c>
      <c r="AF20" s="81">
        <f t="shared" ref="AF20" si="24">A20</f>
        <v>12</v>
      </c>
    </row>
    <row r="21" spans="1:32" ht="27" customHeight="1">
      <c r="A21" s="92">
        <v>13</v>
      </c>
      <c r="B21" s="11" t="s">
        <v>57</v>
      </c>
      <c r="C21" s="34" t="s">
        <v>116</v>
      </c>
      <c r="D21" s="52" t="s">
        <v>115</v>
      </c>
      <c r="E21" s="53" t="s">
        <v>198</v>
      </c>
      <c r="F21" s="30" t="s">
        <v>138</v>
      </c>
      <c r="G21" s="12">
        <v>2</v>
      </c>
      <c r="H21" s="13">
        <v>22</v>
      </c>
      <c r="I21" s="31">
        <v>90000</v>
      </c>
      <c r="J21" s="5">
        <v>12128</v>
      </c>
      <c r="K21" s="15">
        <f>L21+9112+12392</f>
        <v>33632</v>
      </c>
      <c r="L21" s="15">
        <f>3031*2+3033*2</f>
        <v>12128</v>
      </c>
      <c r="M21" s="15">
        <f t="shared" si="0"/>
        <v>12128</v>
      </c>
      <c r="N21" s="15">
        <v>0</v>
      </c>
      <c r="O21" s="58">
        <f t="shared" si="1"/>
        <v>0</v>
      </c>
      <c r="P21" s="39">
        <f t="shared" si="2"/>
        <v>24</v>
      </c>
      <c r="Q21" s="40">
        <f t="shared" si="3"/>
        <v>0</v>
      </c>
      <c r="R21" s="7"/>
      <c r="S21" s="6"/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1</v>
      </c>
      <c r="AD21" s="10">
        <f t="shared" si="8"/>
        <v>1</v>
      </c>
      <c r="AE21" s="36">
        <f t="shared" si="6"/>
        <v>0.53166666666666662</v>
      </c>
      <c r="AF21" s="81">
        <f t="shared" si="7"/>
        <v>13</v>
      </c>
    </row>
    <row r="22" spans="1:32" ht="27" customHeight="1">
      <c r="A22" s="92">
        <v>14</v>
      </c>
      <c r="B22" s="11" t="s">
        <v>57</v>
      </c>
      <c r="C22" s="11" t="s">
        <v>112</v>
      </c>
      <c r="D22" s="52" t="s">
        <v>115</v>
      </c>
      <c r="E22" s="53" t="s">
        <v>261</v>
      </c>
      <c r="F22" s="30" t="s">
        <v>124</v>
      </c>
      <c r="G22" s="33">
        <v>2</v>
      </c>
      <c r="H22" s="35">
        <v>24</v>
      </c>
      <c r="I22" s="7">
        <v>1000</v>
      </c>
      <c r="J22" s="14">
        <v>1060</v>
      </c>
      <c r="K22" s="15">
        <f>L22</f>
        <v>1060</v>
      </c>
      <c r="L22" s="15">
        <f>356+704</f>
        <v>1060</v>
      </c>
      <c r="M22" s="15">
        <f t="shared" si="0"/>
        <v>1060</v>
      </c>
      <c r="N22" s="15">
        <v>0</v>
      </c>
      <c r="O22" s="58">
        <f t="shared" si="1"/>
        <v>0</v>
      </c>
      <c r="P22" s="39">
        <f t="shared" si="2"/>
        <v>19</v>
      </c>
      <c r="Q22" s="40">
        <f t="shared" si="3"/>
        <v>5</v>
      </c>
      <c r="R22" s="7"/>
      <c r="S22" s="6">
        <v>5</v>
      </c>
      <c r="T22" s="16"/>
      <c r="U22" s="16"/>
      <c r="V22" s="17"/>
      <c r="W22" s="5"/>
      <c r="X22" s="16"/>
      <c r="Y22" s="16"/>
      <c r="Z22" s="16"/>
      <c r="AA22" s="18"/>
      <c r="AB22" s="8">
        <f t="shared" si="4"/>
        <v>1</v>
      </c>
      <c r="AC22" s="9">
        <f t="shared" si="5"/>
        <v>0.79166666666666663</v>
      </c>
      <c r="AD22" s="10">
        <f t="shared" si="8"/>
        <v>0.79166666666666663</v>
      </c>
      <c r="AE22" s="36">
        <f t="shared" si="6"/>
        <v>0.53166666666666662</v>
      </c>
      <c r="AF22" s="81">
        <f t="shared" si="7"/>
        <v>14</v>
      </c>
    </row>
    <row r="23" spans="1:32" ht="27" customHeight="1">
      <c r="A23" s="106">
        <v>15</v>
      </c>
      <c r="B23" s="11" t="s">
        <v>57</v>
      </c>
      <c r="C23" s="11" t="s">
        <v>112</v>
      </c>
      <c r="D23" s="52" t="s">
        <v>115</v>
      </c>
      <c r="E23" s="53" t="s">
        <v>148</v>
      </c>
      <c r="F23" s="30" t="s">
        <v>138</v>
      </c>
      <c r="G23" s="33">
        <v>2</v>
      </c>
      <c r="H23" s="35">
        <v>24</v>
      </c>
      <c r="I23" s="7">
        <v>190000</v>
      </c>
      <c r="J23" s="14">
        <v>10896</v>
      </c>
      <c r="K23" s="15">
        <f>L23+2429+7472+8688+7444+11036+10988+11010</f>
        <v>69963</v>
      </c>
      <c r="L23" s="15">
        <f>2727*2+2721*2</f>
        <v>10896</v>
      </c>
      <c r="M23" s="15">
        <f t="shared" si="0"/>
        <v>10896</v>
      </c>
      <c r="N23" s="15">
        <v>0</v>
      </c>
      <c r="O23" s="58">
        <f t="shared" si="1"/>
        <v>0</v>
      </c>
      <c r="P23" s="39">
        <f t="shared" si="2"/>
        <v>24</v>
      </c>
      <c r="Q23" s="40">
        <f t="shared" si="3"/>
        <v>0</v>
      </c>
      <c r="R23" s="7"/>
      <c r="S23" s="6"/>
      <c r="T23" s="16"/>
      <c r="U23" s="16"/>
      <c r="V23" s="17"/>
      <c r="W23" s="5"/>
      <c r="X23" s="16"/>
      <c r="Y23" s="16"/>
      <c r="Z23" s="16"/>
      <c r="AA23" s="18"/>
      <c r="AB23" s="8">
        <f t="shared" si="4"/>
        <v>1</v>
      </c>
      <c r="AC23" s="9">
        <f t="shared" si="5"/>
        <v>1</v>
      </c>
      <c r="AD23" s="10">
        <f t="shared" si="8"/>
        <v>1</v>
      </c>
      <c r="AE23" s="36">
        <f t="shared" si="6"/>
        <v>0.53166666666666662</v>
      </c>
      <c r="AF23" s="81">
        <f t="shared" si="7"/>
        <v>15</v>
      </c>
    </row>
    <row r="24" spans="1:32" ht="26.25" customHeight="1">
      <c r="A24" s="92">
        <v>16</v>
      </c>
      <c r="B24" s="11" t="s">
        <v>57</v>
      </c>
      <c r="C24" s="11" t="s">
        <v>113</v>
      </c>
      <c r="D24" s="52"/>
      <c r="E24" s="53" t="s">
        <v>160</v>
      </c>
      <c r="F24" s="12" t="s">
        <v>114</v>
      </c>
      <c r="G24" s="12">
        <v>4</v>
      </c>
      <c r="H24" s="35">
        <v>20</v>
      </c>
      <c r="I24" s="7">
        <v>2000000</v>
      </c>
      <c r="J24" s="14">
        <v>54476</v>
      </c>
      <c r="K24" s="15">
        <f>L24+29876+62940</f>
        <v>147292</v>
      </c>
      <c r="L24" s="15">
        <f>5628*4+7991*4</f>
        <v>54476</v>
      </c>
      <c r="M24" s="15">
        <f t="shared" si="0"/>
        <v>54476</v>
      </c>
      <c r="N24" s="15">
        <v>0</v>
      </c>
      <c r="O24" s="58">
        <f t="shared" si="1"/>
        <v>0</v>
      </c>
      <c r="P24" s="39">
        <f t="shared" si="2"/>
        <v>21</v>
      </c>
      <c r="Q24" s="40">
        <f t="shared" si="3"/>
        <v>3</v>
      </c>
      <c r="R24" s="7"/>
      <c r="S24" s="6">
        <v>3</v>
      </c>
      <c r="T24" s="16"/>
      <c r="U24" s="16"/>
      <c r="V24" s="17"/>
      <c r="W24" s="5"/>
      <c r="X24" s="16"/>
      <c r="Y24" s="16"/>
      <c r="Z24" s="16"/>
      <c r="AA24" s="18"/>
      <c r="AB24" s="8">
        <f t="shared" si="4"/>
        <v>1</v>
      </c>
      <c r="AC24" s="9">
        <f t="shared" si="5"/>
        <v>0.875</v>
      </c>
      <c r="AD24" s="10">
        <f t="shared" si="8"/>
        <v>0.875</v>
      </c>
      <c r="AE24" s="36">
        <f t="shared" si="6"/>
        <v>0.53166666666666662</v>
      </c>
      <c r="AF24" s="81">
        <f t="shared" si="7"/>
        <v>16</v>
      </c>
    </row>
    <row r="25" spans="1:32" ht="21.75" customHeight="1">
      <c r="A25" s="92">
        <v>31</v>
      </c>
      <c r="B25" s="11" t="s">
        <v>57</v>
      </c>
      <c r="C25" s="11" t="s">
        <v>191</v>
      </c>
      <c r="D25" s="52"/>
      <c r="E25" s="53" t="s">
        <v>192</v>
      </c>
      <c r="F25" s="12" t="s">
        <v>193</v>
      </c>
      <c r="G25" s="12">
        <v>30</v>
      </c>
      <c r="H25" s="35">
        <v>20</v>
      </c>
      <c r="I25" s="7">
        <v>2000000</v>
      </c>
      <c r="J25" s="14">
        <v>465060</v>
      </c>
      <c r="K25" s="15">
        <f>L25+353460+498300</f>
        <v>1316820</v>
      </c>
      <c r="L25" s="15">
        <f>8170*30+7332*30</f>
        <v>465060</v>
      </c>
      <c r="M25" s="15">
        <f t="shared" si="0"/>
        <v>465060</v>
      </c>
      <c r="N25" s="15">
        <v>0</v>
      </c>
      <c r="O25" s="58">
        <f t="shared" si="1"/>
        <v>0</v>
      </c>
      <c r="P25" s="39">
        <f t="shared" si="2"/>
        <v>24</v>
      </c>
      <c r="Q25" s="40">
        <f t="shared" si="3"/>
        <v>0</v>
      </c>
      <c r="R25" s="7"/>
      <c r="S25" s="6"/>
      <c r="T25" s="16"/>
      <c r="U25" s="16"/>
      <c r="V25" s="17"/>
      <c r="W25" s="5"/>
      <c r="X25" s="16"/>
      <c r="Y25" s="16"/>
      <c r="Z25" s="16"/>
      <c r="AA25" s="18"/>
      <c r="AB25" s="8">
        <f t="shared" si="4"/>
        <v>1</v>
      </c>
      <c r="AC25" s="9">
        <f t="shared" si="5"/>
        <v>1</v>
      </c>
      <c r="AD25" s="10">
        <f t="shared" si="8"/>
        <v>1</v>
      </c>
      <c r="AE25" s="36">
        <f t="shared" si="6"/>
        <v>0.53166666666666662</v>
      </c>
      <c r="AF25" s="81">
        <f t="shared" si="7"/>
        <v>31</v>
      </c>
    </row>
    <row r="26" spans="1:32" ht="21.75" customHeight="1">
      <c r="A26" s="92">
        <v>32</v>
      </c>
      <c r="B26" s="11" t="s">
        <v>57</v>
      </c>
      <c r="C26" s="11"/>
      <c r="D26" s="52"/>
      <c r="E26" s="53"/>
      <c r="F26" s="12"/>
      <c r="G26" s="12"/>
      <c r="H26" s="35">
        <v>20</v>
      </c>
      <c r="I26" s="7"/>
      <c r="J26" s="14">
        <v>0</v>
      </c>
      <c r="K26" s="15">
        <f t="shared" ref="K26" si="25">L26</f>
        <v>0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24</v>
      </c>
      <c r="R26" s="7"/>
      <c r="S26" s="6"/>
      <c r="T26" s="16"/>
      <c r="U26" s="16"/>
      <c r="V26" s="17"/>
      <c r="W26" s="5">
        <v>24</v>
      </c>
      <c r="X26" s="16"/>
      <c r="Y26" s="16"/>
      <c r="Z26" s="16"/>
      <c r="AA26" s="18"/>
      <c r="AB26" s="8" t="str">
        <f t="shared" si="4"/>
        <v>0</v>
      </c>
      <c r="AC26" s="9">
        <f t="shared" si="5"/>
        <v>0</v>
      </c>
      <c r="AD26" s="10">
        <f t="shared" si="8"/>
        <v>0</v>
      </c>
      <c r="AE26" s="36">
        <f t="shared" si="6"/>
        <v>0.53166666666666662</v>
      </c>
      <c r="AF26" s="81">
        <f t="shared" si="7"/>
        <v>32</v>
      </c>
    </row>
    <row r="27" spans="1:32" ht="21.75" customHeight="1">
      <c r="A27" s="92">
        <v>33</v>
      </c>
      <c r="B27" s="11" t="s">
        <v>57</v>
      </c>
      <c r="C27" s="11" t="s">
        <v>116</v>
      </c>
      <c r="D27" s="52" t="s">
        <v>147</v>
      </c>
      <c r="E27" s="53" t="s">
        <v>183</v>
      </c>
      <c r="F27" s="12" t="s">
        <v>124</v>
      </c>
      <c r="G27" s="12">
        <v>4</v>
      </c>
      <c r="H27" s="35">
        <v>20</v>
      </c>
      <c r="I27" s="7">
        <v>36000</v>
      </c>
      <c r="J27" s="14">
        <v>31996</v>
      </c>
      <c r="K27" s="15">
        <f>L27+20368+29324+31996</f>
        <v>81688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24</v>
      </c>
      <c r="R27" s="7"/>
      <c r="S27" s="6"/>
      <c r="T27" s="16"/>
      <c r="U27" s="16"/>
      <c r="V27" s="114"/>
      <c r="W27" s="5">
        <v>24</v>
      </c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8"/>
        <v>0</v>
      </c>
      <c r="AE27" s="36">
        <f t="shared" si="6"/>
        <v>0.53166666666666662</v>
      </c>
      <c r="AF27" s="81">
        <f t="shared" si="7"/>
        <v>33</v>
      </c>
    </row>
    <row r="28" spans="1:32" ht="21.75" customHeight="1">
      <c r="A28" s="92">
        <v>34</v>
      </c>
      <c r="B28" s="11" t="s">
        <v>57</v>
      </c>
      <c r="C28" s="11" t="s">
        <v>116</v>
      </c>
      <c r="D28" s="52" t="s">
        <v>129</v>
      </c>
      <c r="E28" s="53" t="s">
        <v>172</v>
      </c>
      <c r="F28" s="12" t="s">
        <v>125</v>
      </c>
      <c r="G28" s="12">
        <v>4</v>
      </c>
      <c r="H28" s="35">
        <v>20</v>
      </c>
      <c r="I28" s="7">
        <v>36000</v>
      </c>
      <c r="J28" s="14">
        <v>28802</v>
      </c>
      <c r="K28" s="15">
        <f>L28+13760+25860+25496+28600+28802</f>
        <v>122518</v>
      </c>
      <c r="L28" s="15"/>
      <c r="M28" s="15">
        <f t="shared" si="0"/>
        <v>0</v>
      </c>
      <c r="N28" s="15">
        <v>0</v>
      </c>
      <c r="O28" s="58" t="str">
        <f t="shared" si="1"/>
        <v>0</v>
      </c>
      <c r="P28" s="39" t="str">
        <f t="shared" si="2"/>
        <v>0</v>
      </c>
      <c r="Q28" s="40">
        <f t="shared" si="3"/>
        <v>24</v>
      </c>
      <c r="R28" s="7"/>
      <c r="S28" s="6"/>
      <c r="T28" s="16"/>
      <c r="U28" s="16"/>
      <c r="V28" s="114"/>
      <c r="W28" s="5">
        <v>24</v>
      </c>
      <c r="X28" s="16"/>
      <c r="Y28" s="16"/>
      <c r="Z28" s="16"/>
      <c r="AA28" s="18"/>
      <c r="AB28" s="8">
        <f t="shared" si="4"/>
        <v>0</v>
      </c>
      <c r="AC28" s="9">
        <f t="shared" si="5"/>
        <v>0</v>
      </c>
      <c r="AD28" s="10">
        <f t="shared" si="8"/>
        <v>0</v>
      </c>
      <c r="AE28" s="36">
        <f t="shared" si="6"/>
        <v>0.53166666666666662</v>
      </c>
      <c r="AF28" s="81">
        <f t="shared" si="7"/>
        <v>34</v>
      </c>
    </row>
    <row r="29" spans="1:32" ht="21.75" customHeight="1">
      <c r="A29" s="92">
        <v>35</v>
      </c>
      <c r="B29" s="11" t="s">
        <v>57</v>
      </c>
      <c r="C29" s="11" t="s">
        <v>116</v>
      </c>
      <c r="D29" s="52" t="s">
        <v>121</v>
      </c>
      <c r="E29" s="53" t="s">
        <v>126</v>
      </c>
      <c r="F29" s="12" t="s">
        <v>125</v>
      </c>
      <c r="G29" s="12">
        <v>4</v>
      </c>
      <c r="H29" s="35">
        <v>20</v>
      </c>
      <c r="I29" s="7">
        <v>36000</v>
      </c>
      <c r="J29" s="14">
        <v>26944</v>
      </c>
      <c r="K29" s="15">
        <f>L29+24592+26944+21716</f>
        <v>73252</v>
      </c>
      <c r="L29" s="15"/>
      <c r="M29" s="15">
        <f t="shared" si="0"/>
        <v>0</v>
      </c>
      <c r="N29" s="15">
        <v>0</v>
      </c>
      <c r="O29" s="58" t="str">
        <f t="shared" si="1"/>
        <v>0</v>
      </c>
      <c r="P29" s="39" t="str">
        <f t="shared" si="2"/>
        <v>0</v>
      </c>
      <c r="Q29" s="40">
        <f t="shared" si="3"/>
        <v>24</v>
      </c>
      <c r="R29" s="7"/>
      <c r="S29" s="6"/>
      <c r="T29" s="16"/>
      <c r="U29" s="16"/>
      <c r="V29" s="114"/>
      <c r="W29" s="5">
        <v>24</v>
      </c>
      <c r="X29" s="16"/>
      <c r="Y29" s="16"/>
      <c r="Z29" s="16"/>
      <c r="AA29" s="18"/>
      <c r="AB29" s="8">
        <f t="shared" si="4"/>
        <v>0</v>
      </c>
      <c r="AC29" s="9">
        <f t="shared" si="5"/>
        <v>0</v>
      </c>
      <c r="AD29" s="10">
        <f t="shared" si="8"/>
        <v>0</v>
      </c>
      <c r="AE29" s="36">
        <f t="shared" si="6"/>
        <v>0.53166666666666662</v>
      </c>
      <c r="AF29" s="81">
        <f t="shared" si="7"/>
        <v>35</v>
      </c>
    </row>
    <row r="30" spans="1:32" ht="21.75" customHeight="1" thickBot="1">
      <c r="A30" s="92">
        <v>36</v>
      </c>
      <c r="B30" s="11" t="s">
        <v>57</v>
      </c>
      <c r="C30" s="11" t="s">
        <v>116</v>
      </c>
      <c r="D30" s="52" t="s">
        <v>115</v>
      </c>
      <c r="E30" s="53" t="s">
        <v>174</v>
      </c>
      <c r="F30" s="12" t="s">
        <v>138</v>
      </c>
      <c r="G30" s="12">
        <v>3</v>
      </c>
      <c r="H30" s="35">
        <v>20</v>
      </c>
      <c r="I30" s="7">
        <v>36000</v>
      </c>
      <c r="J30" s="14">
        <v>9948</v>
      </c>
      <c r="K30" s="15">
        <f>L30+20295+19566+19965</f>
        <v>69774</v>
      </c>
      <c r="L30" s="15">
        <f>3316*3</f>
        <v>9948</v>
      </c>
      <c r="M30" s="15">
        <f t="shared" si="0"/>
        <v>9948</v>
      </c>
      <c r="N30" s="15">
        <v>0</v>
      </c>
      <c r="O30" s="58">
        <f t="shared" si="1"/>
        <v>0</v>
      </c>
      <c r="P30" s="39">
        <f t="shared" si="2"/>
        <v>11</v>
      </c>
      <c r="Q30" s="40">
        <f t="shared" si="3"/>
        <v>13</v>
      </c>
      <c r="R30" s="7"/>
      <c r="S30" s="6"/>
      <c r="T30" s="16"/>
      <c r="U30" s="16"/>
      <c r="V30" s="114"/>
      <c r="W30" s="5">
        <v>13</v>
      </c>
      <c r="X30" s="16"/>
      <c r="Y30" s="16"/>
      <c r="Z30" s="16"/>
      <c r="AA30" s="18"/>
      <c r="AB30" s="8">
        <f t="shared" si="4"/>
        <v>1</v>
      </c>
      <c r="AC30" s="9">
        <f t="shared" si="5"/>
        <v>0.45833333333333331</v>
      </c>
      <c r="AD30" s="10">
        <f t="shared" si="8"/>
        <v>0.45833333333333331</v>
      </c>
      <c r="AE30" s="36">
        <f t="shared" si="6"/>
        <v>0.53166666666666662</v>
      </c>
      <c r="AF30" s="81">
        <f t="shared" si="7"/>
        <v>36</v>
      </c>
    </row>
    <row r="31" spans="1:32" ht="19.5" thickBot="1">
      <c r="A31" s="435" t="s">
        <v>34</v>
      </c>
      <c r="B31" s="436"/>
      <c r="C31" s="436"/>
      <c r="D31" s="436"/>
      <c r="E31" s="436"/>
      <c r="F31" s="436"/>
      <c r="G31" s="436"/>
      <c r="H31" s="437"/>
      <c r="I31" s="22">
        <f t="shared" ref="I31:N31" si="26">SUM(I6:I30)</f>
        <v>4979600</v>
      </c>
      <c r="J31" s="19">
        <f t="shared" si="26"/>
        <v>705473</v>
      </c>
      <c r="K31" s="20">
        <f t="shared" si="26"/>
        <v>2241762</v>
      </c>
      <c r="L31" s="21">
        <f t="shared" si="26"/>
        <v>615850</v>
      </c>
      <c r="M31" s="20">
        <f t="shared" si="26"/>
        <v>615850</v>
      </c>
      <c r="N31" s="21">
        <f t="shared" si="26"/>
        <v>0</v>
      </c>
      <c r="O31" s="41">
        <f t="shared" si="1"/>
        <v>0</v>
      </c>
      <c r="P31" s="42">
        <f t="shared" ref="P31:AA31" si="27">SUM(P6:P30)</f>
        <v>319</v>
      </c>
      <c r="Q31" s="43">
        <f t="shared" si="27"/>
        <v>281</v>
      </c>
      <c r="R31" s="23">
        <f t="shared" si="27"/>
        <v>0</v>
      </c>
      <c r="S31" s="24">
        <f t="shared" si="27"/>
        <v>53</v>
      </c>
      <c r="T31" s="24">
        <f t="shared" si="27"/>
        <v>13</v>
      </c>
      <c r="U31" s="24">
        <f t="shared" si="27"/>
        <v>0</v>
      </c>
      <c r="V31" s="25">
        <f t="shared" si="27"/>
        <v>0</v>
      </c>
      <c r="W31" s="26">
        <f t="shared" si="27"/>
        <v>215</v>
      </c>
      <c r="X31" s="27">
        <f t="shared" si="27"/>
        <v>0</v>
      </c>
      <c r="Y31" s="27">
        <f t="shared" si="27"/>
        <v>0</v>
      </c>
      <c r="Z31" s="27">
        <f t="shared" si="27"/>
        <v>0</v>
      </c>
      <c r="AA31" s="27">
        <f t="shared" si="27"/>
        <v>0</v>
      </c>
      <c r="AB31" s="28">
        <f>AVERAGE(AB6:AB30)</f>
        <v>0.79166666666666663</v>
      </c>
      <c r="AC31" s="4">
        <f>AVERAGE(AC6:AC30)</f>
        <v>0.53166666666666662</v>
      </c>
      <c r="AD31" s="4">
        <f>AVERAGE(AD6:AD30)</f>
        <v>0.53166666666666662</v>
      </c>
      <c r="AE31" s="29"/>
    </row>
    <row r="32" spans="1:32">
      <c r="T32" s="50" t="s">
        <v>130</v>
      </c>
    </row>
    <row r="33" spans="1:32" ht="18.75">
      <c r="A33" s="2"/>
      <c r="B33" s="2" t="s">
        <v>35</v>
      </c>
      <c r="C33" s="2"/>
      <c r="D33" s="2"/>
      <c r="E33" s="2"/>
      <c r="F33" s="2"/>
      <c r="G33" s="2"/>
      <c r="H33" s="3"/>
      <c r="I33" s="3"/>
      <c r="J33" s="2"/>
      <c r="K33" s="2"/>
      <c r="L33" s="2"/>
      <c r="M33" s="2"/>
      <c r="N33" s="2" t="s">
        <v>36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1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 t="s">
        <v>131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</row>
    <row r="41" spans="1:32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</row>
    <row r="42" spans="1:3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82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14.2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F45" s="50"/>
    </row>
    <row r="46" spans="1:32" ht="14.2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27">
      <c r="A48" s="59"/>
      <c r="B48" s="59"/>
      <c r="C48" s="59"/>
      <c r="D48" s="59"/>
      <c r="E48" s="59"/>
      <c r="F48" s="37"/>
      <c r="G48" s="37"/>
      <c r="H48" s="38"/>
      <c r="I48" s="38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F48" s="50"/>
    </row>
    <row r="49" spans="1:32" ht="29.25" customHeight="1">
      <c r="A49" s="60"/>
      <c r="B49" s="60"/>
      <c r="C49" s="61"/>
      <c r="D49" s="61"/>
      <c r="E49" s="61"/>
      <c r="F49" s="60"/>
      <c r="G49" s="60"/>
      <c r="H49" s="60"/>
      <c r="I49" s="60"/>
      <c r="J49" s="60"/>
      <c r="K49" s="60"/>
      <c r="L49" s="60"/>
      <c r="M49" s="61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29.25" customHeight="1">
      <c r="A54" s="60"/>
      <c r="B54" s="60"/>
      <c r="C54" s="62"/>
      <c r="D54" s="61"/>
      <c r="E54" s="61"/>
      <c r="F54" s="60"/>
      <c r="G54" s="60"/>
      <c r="H54" s="60"/>
      <c r="I54" s="60"/>
      <c r="J54" s="60"/>
      <c r="K54" s="60"/>
      <c r="L54" s="60"/>
      <c r="M54" s="62"/>
      <c r="N54" s="60"/>
      <c r="O54" s="60"/>
      <c r="P54" s="63"/>
      <c r="Q54" s="63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0"/>
      <c r="AC54" s="60"/>
      <c r="AD54" s="60"/>
      <c r="AF54" s="50"/>
    </row>
    <row r="55" spans="1:32" ht="29.25" customHeight="1">
      <c r="A55" s="60"/>
      <c r="B55" s="60"/>
      <c r="C55" s="62"/>
      <c r="D55" s="61"/>
      <c r="E55" s="61"/>
      <c r="F55" s="60"/>
      <c r="G55" s="60"/>
      <c r="H55" s="60"/>
      <c r="I55" s="60"/>
      <c r="J55" s="60"/>
      <c r="K55" s="60"/>
      <c r="L55" s="60"/>
      <c r="M55" s="62"/>
      <c r="N55" s="60"/>
      <c r="O55" s="60"/>
      <c r="P55" s="63"/>
      <c r="Q55" s="63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0"/>
      <c r="AC55" s="60"/>
      <c r="AD55" s="60"/>
      <c r="AF55" s="50"/>
    </row>
    <row r="56" spans="1:32" ht="29.25" customHeight="1">
      <c r="A56" s="60"/>
      <c r="B56" s="60"/>
      <c r="C56" s="62"/>
      <c r="D56" s="61"/>
      <c r="E56" s="61"/>
      <c r="F56" s="60"/>
      <c r="G56" s="60"/>
      <c r="H56" s="60"/>
      <c r="I56" s="60"/>
      <c r="J56" s="60"/>
      <c r="K56" s="60"/>
      <c r="L56" s="60"/>
      <c r="M56" s="62"/>
      <c r="N56" s="60"/>
      <c r="O56" s="60"/>
      <c r="P56" s="63"/>
      <c r="Q56" s="63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0"/>
      <c r="AC56" s="60"/>
      <c r="AD56" s="60"/>
      <c r="AF56" s="50"/>
    </row>
    <row r="57" spans="1:32" ht="14.25" customHeigh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F57" s="50"/>
    </row>
    <row r="58" spans="1:32" ht="36" thickBot="1">
      <c r="A58" s="438" t="s">
        <v>45</v>
      </c>
      <c r="B58" s="438"/>
      <c r="C58" s="438"/>
      <c r="D58" s="438"/>
      <c r="E58" s="438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F58" s="50"/>
    </row>
    <row r="59" spans="1:32" ht="26.25" thickBot="1">
      <c r="A59" s="439" t="s">
        <v>292</v>
      </c>
      <c r="B59" s="440"/>
      <c r="C59" s="440"/>
      <c r="D59" s="440"/>
      <c r="E59" s="440"/>
      <c r="F59" s="440"/>
      <c r="G59" s="440"/>
      <c r="H59" s="440"/>
      <c r="I59" s="440"/>
      <c r="J59" s="440"/>
      <c r="K59" s="440"/>
      <c r="L59" s="440"/>
      <c r="M59" s="441"/>
      <c r="N59" s="442" t="s">
        <v>293</v>
      </c>
      <c r="O59" s="443"/>
      <c r="P59" s="443"/>
      <c r="Q59" s="443"/>
      <c r="R59" s="443"/>
      <c r="S59" s="443"/>
      <c r="T59" s="443"/>
      <c r="U59" s="443"/>
      <c r="V59" s="443"/>
      <c r="W59" s="443"/>
      <c r="X59" s="443"/>
      <c r="Y59" s="443"/>
      <c r="Z59" s="443"/>
      <c r="AA59" s="443"/>
      <c r="AB59" s="443"/>
      <c r="AC59" s="443"/>
      <c r="AD59" s="444"/>
    </row>
    <row r="60" spans="1:32" ht="27" customHeight="1">
      <c r="A60" s="445" t="s">
        <v>2</v>
      </c>
      <c r="B60" s="446"/>
      <c r="C60" s="155" t="s">
        <v>46</v>
      </c>
      <c r="D60" s="155" t="s">
        <v>47</v>
      </c>
      <c r="E60" s="155" t="s">
        <v>107</v>
      </c>
      <c r="F60" s="447" t="s">
        <v>106</v>
      </c>
      <c r="G60" s="448"/>
      <c r="H60" s="448"/>
      <c r="I60" s="448"/>
      <c r="J60" s="448"/>
      <c r="K60" s="448"/>
      <c r="L60" s="448"/>
      <c r="M60" s="449"/>
      <c r="N60" s="67" t="s">
        <v>110</v>
      </c>
      <c r="O60" s="155" t="s">
        <v>46</v>
      </c>
      <c r="P60" s="447" t="s">
        <v>47</v>
      </c>
      <c r="Q60" s="450"/>
      <c r="R60" s="447" t="s">
        <v>38</v>
      </c>
      <c r="S60" s="448"/>
      <c r="T60" s="448"/>
      <c r="U60" s="450"/>
      <c r="V60" s="447" t="s">
        <v>48</v>
      </c>
      <c r="W60" s="448"/>
      <c r="X60" s="448"/>
      <c r="Y60" s="448"/>
      <c r="Z60" s="448"/>
      <c r="AA60" s="448"/>
      <c r="AB60" s="448"/>
      <c r="AC60" s="448"/>
      <c r="AD60" s="449"/>
    </row>
    <row r="61" spans="1:32" ht="27" customHeight="1">
      <c r="A61" s="429" t="s">
        <v>112</v>
      </c>
      <c r="B61" s="420"/>
      <c r="C61" s="151" t="s">
        <v>265</v>
      </c>
      <c r="D61" s="151" t="s">
        <v>140</v>
      </c>
      <c r="E61" s="151" t="s">
        <v>149</v>
      </c>
      <c r="F61" s="417" t="s">
        <v>294</v>
      </c>
      <c r="G61" s="418"/>
      <c r="H61" s="418"/>
      <c r="I61" s="418"/>
      <c r="J61" s="418"/>
      <c r="K61" s="418"/>
      <c r="L61" s="418"/>
      <c r="M61" s="419"/>
      <c r="N61" s="154" t="s">
        <v>161</v>
      </c>
      <c r="O61" s="148" t="s">
        <v>151</v>
      </c>
      <c r="P61" s="430"/>
      <c r="Q61" s="431"/>
      <c r="R61" s="430" t="s">
        <v>299</v>
      </c>
      <c r="S61" s="432"/>
      <c r="T61" s="432"/>
      <c r="U61" s="431"/>
      <c r="V61" s="417" t="s">
        <v>122</v>
      </c>
      <c r="W61" s="418"/>
      <c r="X61" s="418"/>
      <c r="Y61" s="418"/>
      <c r="Z61" s="418"/>
      <c r="AA61" s="418"/>
      <c r="AB61" s="418"/>
      <c r="AC61" s="418"/>
      <c r="AD61" s="419"/>
    </row>
    <row r="62" spans="1:32" ht="27" customHeight="1">
      <c r="A62" s="429" t="s">
        <v>116</v>
      </c>
      <c r="B62" s="420"/>
      <c r="C62" s="151" t="s">
        <v>240</v>
      </c>
      <c r="D62" s="151" t="s">
        <v>129</v>
      </c>
      <c r="E62" s="151" t="s">
        <v>241</v>
      </c>
      <c r="F62" s="417" t="s">
        <v>295</v>
      </c>
      <c r="G62" s="418"/>
      <c r="H62" s="418"/>
      <c r="I62" s="418"/>
      <c r="J62" s="418"/>
      <c r="K62" s="418"/>
      <c r="L62" s="418"/>
      <c r="M62" s="419"/>
      <c r="N62" s="158" t="s">
        <v>127</v>
      </c>
      <c r="O62" s="157" t="s">
        <v>152</v>
      </c>
      <c r="P62" s="430"/>
      <c r="Q62" s="431"/>
      <c r="R62" s="430" t="s">
        <v>300</v>
      </c>
      <c r="S62" s="432"/>
      <c r="T62" s="432"/>
      <c r="U62" s="431"/>
      <c r="V62" s="417" t="s">
        <v>153</v>
      </c>
      <c r="W62" s="418"/>
      <c r="X62" s="418"/>
      <c r="Y62" s="418"/>
      <c r="Z62" s="418"/>
      <c r="AA62" s="418"/>
      <c r="AB62" s="418"/>
      <c r="AC62" s="418"/>
      <c r="AD62" s="419"/>
    </row>
    <row r="63" spans="1:32" ht="27" customHeight="1">
      <c r="A63" s="429" t="s">
        <v>112</v>
      </c>
      <c r="B63" s="420"/>
      <c r="C63" s="151" t="s">
        <v>245</v>
      </c>
      <c r="D63" s="151" t="s">
        <v>246</v>
      </c>
      <c r="E63" s="151" t="s">
        <v>243</v>
      </c>
      <c r="F63" s="417" t="s">
        <v>244</v>
      </c>
      <c r="G63" s="418"/>
      <c r="H63" s="418"/>
      <c r="I63" s="418"/>
      <c r="J63" s="418"/>
      <c r="K63" s="418"/>
      <c r="L63" s="418"/>
      <c r="M63" s="419"/>
      <c r="N63" s="154"/>
      <c r="O63" s="148"/>
      <c r="P63" s="430"/>
      <c r="Q63" s="431"/>
      <c r="R63" s="430"/>
      <c r="S63" s="432"/>
      <c r="T63" s="432"/>
      <c r="U63" s="431"/>
      <c r="V63" s="417"/>
      <c r="W63" s="418"/>
      <c r="X63" s="418"/>
      <c r="Y63" s="418"/>
      <c r="Z63" s="418"/>
      <c r="AA63" s="418"/>
      <c r="AB63" s="418"/>
      <c r="AC63" s="418"/>
      <c r="AD63" s="419"/>
    </row>
    <row r="64" spans="1:32" ht="27" customHeight="1">
      <c r="A64" s="429" t="s">
        <v>127</v>
      </c>
      <c r="B64" s="420"/>
      <c r="C64" s="151" t="s">
        <v>247</v>
      </c>
      <c r="D64" s="151" t="s">
        <v>115</v>
      </c>
      <c r="E64" s="151" t="s">
        <v>259</v>
      </c>
      <c r="F64" s="417" t="s">
        <v>122</v>
      </c>
      <c r="G64" s="418"/>
      <c r="H64" s="418"/>
      <c r="I64" s="418"/>
      <c r="J64" s="418"/>
      <c r="K64" s="418"/>
      <c r="L64" s="418"/>
      <c r="M64" s="419"/>
      <c r="N64" s="154"/>
      <c r="O64" s="148"/>
      <c r="P64" s="430"/>
      <c r="Q64" s="431"/>
      <c r="R64" s="430"/>
      <c r="S64" s="432"/>
      <c r="T64" s="432"/>
      <c r="U64" s="431"/>
      <c r="V64" s="417"/>
      <c r="W64" s="418"/>
      <c r="X64" s="418"/>
      <c r="Y64" s="418"/>
      <c r="Z64" s="418"/>
      <c r="AA64" s="418"/>
      <c r="AB64" s="418"/>
      <c r="AC64" s="418"/>
      <c r="AD64" s="419"/>
    </row>
    <row r="65" spans="1:32" ht="27" customHeight="1">
      <c r="A65" s="429" t="s">
        <v>127</v>
      </c>
      <c r="B65" s="420"/>
      <c r="C65" s="151" t="s">
        <v>152</v>
      </c>
      <c r="D65" s="151"/>
      <c r="E65" s="151" t="s">
        <v>262</v>
      </c>
      <c r="F65" s="417" t="s">
        <v>122</v>
      </c>
      <c r="G65" s="418"/>
      <c r="H65" s="418"/>
      <c r="I65" s="418"/>
      <c r="J65" s="418"/>
      <c r="K65" s="418"/>
      <c r="L65" s="418"/>
      <c r="M65" s="419"/>
      <c r="N65" s="154"/>
      <c r="O65" s="148"/>
      <c r="P65" s="430"/>
      <c r="Q65" s="431"/>
      <c r="R65" s="430"/>
      <c r="S65" s="432"/>
      <c r="T65" s="432"/>
      <c r="U65" s="431"/>
      <c r="V65" s="417"/>
      <c r="W65" s="418"/>
      <c r="X65" s="418"/>
      <c r="Y65" s="418"/>
      <c r="Z65" s="418"/>
      <c r="AA65" s="418"/>
      <c r="AB65" s="418"/>
      <c r="AC65" s="418"/>
      <c r="AD65" s="419"/>
    </row>
    <row r="66" spans="1:32" ht="27" customHeight="1">
      <c r="A66" s="429" t="s">
        <v>112</v>
      </c>
      <c r="B66" s="420"/>
      <c r="C66" s="151" t="s">
        <v>151</v>
      </c>
      <c r="D66" s="151" t="s">
        <v>296</v>
      </c>
      <c r="E66" s="151" t="s">
        <v>285</v>
      </c>
      <c r="F66" s="417" t="s">
        <v>122</v>
      </c>
      <c r="G66" s="418"/>
      <c r="H66" s="418"/>
      <c r="I66" s="418"/>
      <c r="J66" s="418"/>
      <c r="K66" s="418"/>
      <c r="L66" s="418"/>
      <c r="M66" s="419"/>
      <c r="N66" s="154"/>
      <c r="O66" s="148"/>
      <c r="P66" s="430"/>
      <c r="Q66" s="431"/>
      <c r="R66" s="430"/>
      <c r="S66" s="432"/>
      <c r="T66" s="432"/>
      <c r="U66" s="431"/>
      <c r="V66" s="417"/>
      <c r="W66" s="418"/>
      <c r="X66" s="418"/>
      <c r="Y66" s="418"/>
      <c r="Z66" s="418"/>
      <c r="AA66" s="418"/>
      <c r="AB66" s="418"/>
      <c r="AC66" s="418"/>
      <c r="AD66" s="419"/>
    </row>
    <row r="67" spans="1:32" ht="27" customHeight="1">
      <c r="A67" s="429" t="s">
        <v>112</v>
      </c>
      <c r="B67" s="420"/>
      <c r="C67" s="151" t="s">
        <v>151</v>
      </c>
      <c r="D67" s="151" t="s">
        <v>297</v>
      </c>
      <c r="E67" s="151" t="s">
        <v>288</v>
      </c>
      <c r="F67" s="417" t="s">
        <v>122</v>
      </c>
      <c r="G67" s="418"/>
      <c r="H67" s="418"/>
      <c r="I67" s="418"/>
      <c r="J67" s="418"/>
      <c r="K67" s="418"/>
      <c r="L67" s="418"/>
      <c r="M67" s="419"/>
      <c r="N67" s="154"/>
      <c r="O67" s="148"/>
      <c r="P67" s="430"/>
      <c r="Q67" s="431"/>
      <c r="R67" s="430"/>
      <c r="S67" s="432"/>
      <c r="T67" s="432"/>
      <c r="U67" s="431"/>
      <c r="V67" s="417"/>
      <c r="W67" s="418"/>
      <c r="X67" s="418"/>
      <c r="Y67" s="418"/>
      <c r="Z67" s="418"/>
      <c r="AA67" s="418"/>
      <c r="AB67" s="418"/>
      <c r="AC67" s="418"/>
      <c r="AD67" s="419"/>
    </row>
    <row r="68" spans="1:32" ht="27" customHeight="1">
      <c r="A68" s="415" t="s">
        <v>112</v>
      </c>
      <c r="B68" s="416"/>
      <c r="C68" s="150" t="s">
        <v>253</v>
      </c>
      <c r="D68" s="150" t="s">
        <v>254</v>
      </c>
      <c r="E68" s="151" t="s">
        <v>261</v>
      </c>
      <c r="F68" s="417" t="s">
        <v>298</v>
      </c>
      <c r="G68" s="418"/>
      <c r="H68" s="418"/>
      <c r="I68" s="418"/>
      <c r="J68" s="418"/>
      <c r="K68" s="418"/>
      <c r="L68" s="418"/>
      <c r="M68" s="419"/>
      <c r="N68" s="154"/>
      <c r="O68" s="148"/>
      <c r="P68" s="430"/>
      <c r="Q68" s="431"/>
      <c r="R68" s="430"/>
      <c r="S68" s="432"/>
      <c r="T68" s="432"/>
      <c r="U68" s="431"/>
      <c r="V68" s="417"/>
      <c r="W68" s="418"/>
      <c r="X68" s="418"/>
      <c r="Y68" s="418"/>
      <c r="Z68" s="418"/>
      <c r="AA68" s="418"/>
      <c r="AB68" s="418"/>
      <c r="AC68" s="418"/>
      <c r="AD68" s="419"/>
    </row>
    <row r="69" spans="1:32" ht="27" customHeight="1">
      <c r="A69" s="415"/>
      <c r="B69" s="416"/>
      <c r="C69" s="150"/>
      <c r="D69" s="150"/>
      <c r="E69" s="151"/>
      <c r="F69" s="417"/>
      <c r="G69" s="418"/>
      <c r="H69" s="418"/>
      <c r="I69" s="418"/>
      <c r="J69" s="418"/>
      <c r="K69" s="418"/>
      <c r="L69" s="418"/>
      <c r="M69" s="419"/>
      <c r="N69" s="154"/>
      <c r="O69" s="148"/>
      <c r="P69" s="420"/>
      <c r="Q69" s="420"/>
      <c r="R69" s="420"/>
      <c r="S69" s="420"/>
      <c r="T69" s="420"/>
      <c r="U69" s="420"/>
      <c r="V69" s="417"/>
      <c r="W69" s="418"/>
      <c r="X69" s="418"/>
      <c r="Y69" s="418"/>
      <c r="Z69" s="418"/>
      <c r="AA69" s="418"/>
      <c r="AB69" s="418"/>
      <c r="AC69" s="418"/>
      <c r="AD69" s="419"/>
      <c r="AF69" s="81">
        <f>8*3000</f>
        <v>24000</v>
      </c>
    </row>
    <row r="70" spans="1:32" ht="27" customHeight="1" thickBot="1">
      <c r="A70" s="421"/>
      <c r="B70" s="422"/>
      <c r="C70" s="152"/>
      <c r="D70" s="153"/>
      <c r="E70" s="152"/>
      <c r="F70" s="423"/>
      <c r="G70" s="424"/>
      <c r="H70" s="424"/>
      <c r="I70" s="424"/>
      <c r="J70" s="424"/>
      <c r="K70" s="424"/>
      <c r="L70" s="424"/>
      <c r="M70" s="425"/>
      <c r="N70" s="105"/>
      <c r="O70" s="97"/>
      <c r="P70" s="426"/>
      <c r="Q70" s="426"/>
      <c r="R70" s="426"/>
      <c r="S70" s="426"/>
      <c r="T70" s="426"/>
      <c r="U70" s="426"/>
      <c r="V70" s="427"/>
      <c r="W70" s="427"/>
      <c r="X70" s="427"/>
      <c r="Y70" s="427"/>
      <c r="Z70" s="427"/>
      <c r="AA70" s="427"/>
      <c r="AB70" s="427"/>
      <c r="AC70" s="427"/>
      <c r="AD70" s="428"/>
      <c r="AF70" s="81">
        <f>16*3000</f>
        <v>48000</v>
      </c>
    </row>
    <row r="71" spans="1:32" ht="27.75" thickBot="1">
      <c r="A71" s="413" t="s">
        <v>301</v>
      </c>
      <c r="B71" s="413"/>
      <c r="C71" s="413"/>
      <c r="D71" s="413"/>
      <c r="E71" s="413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81">
        <v>24000</v>
      </c>
    </row>
    <row r="72" spans="1:32" ht="29.25" customHeight="1" thickBot="1">
      <c r="A72" s="414" t="s">
        <v>111</v>
      </c>
      <c r="B72" s="411"/>
      <c r="C72" s="149" t="s">
        <v>2</v>
      </c>
      <c r="D72" s="149" t="s">
        <v>37</v>
      </c>
      <c r="E72" s="149" t="s">
        <v>3</v>
      </c>
      <c r="F72" s="411" t="s">
        <v>109</v>
      </c>
      <c r="G72" s="411"/>
      <c r="H72" s="411"/>
      <c r="I72" s="411"/>
      <c r="J72" s="411"/>
      <c r="K72" s="411" t="s">
        <v>39</v>
      </c>
      <c r="L72" s="411"/>
      <c r="M72" s="149" t="s">
        <v>40</v>
      </c>
      <c r="N72" s="411" t="s">
        <v>41</v>
      </c>
      <c r="O72" s="411"/>
      <c r="P72" s="408" t="s">
        <v>42</v>
      </c>
      <c r="Q72" s="410"/>
      <c r="R72" s="408" t="s">
        <v>43</v>
      </c>
      <c r="S72" s="409"/>
      <c r="T72" s="409"/>
      <c r="U72" s="409"/>
      <c r="V72" s="409"/>
      <c r="W72" s="409"/>
      <c r="X72" s="409"/>
      <c r="Y72" s="409"/>
      <c r="Z72" s="409"/>
      <c r="AA72" s="410"/>
      <c r="AB72" s="411" t="s">
        <v>44</v>
      </c>
      <c r="AC72" s="411"/>
      <c r="AD72" s="412"/>
      <c r="AF72" s="81">
        <f>SUM(AF69:AF71)</f>
        <v>96000</v>
      </c>
    </row>
    <row r="73" spans="1:32" ht="25.5" customHeight="1">
      <c r="A73" s="399">
        <v>1</v>
      </c>
      <c r="B73" s="400"/>
      <c r="C73" s="98"/>
      <c r="D73" s="144"/>
      <c r="E73" s="147"/>
      <c r="F73" s="401"/>
      <c r="G73" s="391"/>
      <c r="H73" s="391"/>
      <c r="I73" s="391"/>
      <c r="J73" s="391"/>
      <c r="K73" s="391"/>
      <c r="L73" s="391"/>
      <c r="M73" s="51"/>
      <c r="N73" s="402"/>
      <c r="O73" s="402"/>
      <c r="P73" s="403"/>
      <c r="Q73" s="403"/>
      <c r="R73" s="404"/>
      <c r="S73" s="404"/>
      <c r="T73" s="404"/>
      <c r="U73" s="404"/>
      <c r="V73" s="404"/>
      <c r="W73" s="404"/>
      <c r="X73" s="404"/>
      <c r="Y73" s="404"/>
      <c r="Z73" s="404"/>
      <c r="AA73" s="404"/>
      <c r="AB73" s="391"/>
      <c r="AC73" s="391"/>
      <c r="AD73" s="392"/>
      <c r="AF73" s="50"/>
    </row>
    <row r="74" spans="1:32" ht="25.5" customHeight="1">
      <c r="A74" s="399">
        <v>2</v>
      </c>
      <c r="B74" s="400"/>
      <c r="C74" s="98"/>
      <c r="D74" s="144"/>
      <c r="E74" s="147"/>
      <c r="F74" s="401"/>
      <c r="G74" s="391"/>
      <c r="H74" s="391"/>
      <c r="I74" s="391"/>
      <c r="J74" s="391"/>
      <c r="K74" s="391"/>
      <c r="L74" s="391"/>
      <c r="M74" s="51"/>
      <c r="N74" s="402"/>
      <c r="O74" s="402"/>
      <c r="P74" s="403"/>
      <c r="Q74" s="403"/>
      <c r="R74" s="404"/>
      <c r="S74" s="404"/>
      <c r="T74" s="404"/>
      <c r="U74" s="404"/>
      <c r="V74" s="404"/>
      <c r="W74" s="404"/>
      <c r="X74" s="404"/>
      <c r="Y74" s="404"/>
      <c r="Z74" s="404"/>
      <c r="AA74" s="404"/>
      <c r="AB74" s="391"/>
      <c r="AC74" s="391"/>
      <c r="AD74" s="392"/>
      <c r="AF74" s="50"/>
    </row>
    <row r="75" spans="1:32" ht="25.5" customHeight="1">
      <c r="A75" s="399">
        <v>3</v>
      </c>
      <c r="B75" s="400"/>
      <c r="C75" s="98"/>
      <c r="D75" s="144"/>
      <c r="E75" s="147"/>
      <c r="F75" s="401"/>
      <c r="G75" s="391"/>
      <c r="H75" s="391"/>
      <c r="I75" s="391"/>
      <c r="J75" s="391"/>
      <c r="K75" s="391"/>
      <c r="L75" s="391"/>
      <c r="M75" s="51"/>
      <c r="N75" s="402"/>
      <c r="O75" s="402"/>
      <c r="P75" s="403"/>
      <c r="Q75" s="403"/>
      <c r="R75" s="404"/>
      <c r="S75" s="404"/>
      <c r="T75" s="404"/>
      <c r="U75" s="404"/>
      <c r="V75" s="404"/>
      <c r="W75" s="404"/>
      <c r="X75" s="404"/>
      <c r="Y75" s="404"/>
      <c r="Z75" s="404"/>
      <c r="AA75" s="404"/>
      <c r="AB75" s="391"/>
      <c r="AC75" s="391"/>
      <c r="AD75" s="392"/>
      <c r="AF75" s="50"/>
    </row>
    <row r="76" spans="1:32" ht="25.5" customHeight="1">
      <c r="A76" s="399">
        <v>4</v>
      </c>
      <c r="B76" s="400"/>
      <c r="C76" s="98"/>
      <c r="D76" s="144"/>
      <c r="E76" s="147"/>
      <c r="F76" s="405"/>
      <c r="G76" s="406"/>
      <c r="H76" s="406"/>
      <c r="I76" s="406"/>
      <c r="J76" s="407"/>
      <c r="K76" s="391"/>
      <c r="L76" s="391"/>
      <c r="M76" s="51"/>
      <c r="N76" s="402"/>
      <c r="O76" s="402"/>
      <c r="P76" s="403"/>
      <c r="Q76" s="403"/>
      <c r="R76" s="404"/>
      <c r="S76" s="404"/>
      <c r="T76" s="404"/>
      <c r="U76" s="404"/>
      <c r="V76" s="404"/>
      <c r="W76" s="404"/>
      <c r="X76" s="404"/>
      <c r="Y76" s="404"/>
      <c r="Z76" s="404"/>
      <c r="AA76" s="404"/>
      <c r="AB76" s="391"/>
      <c r="AC76" s="391"/>
      <c r="AD76" s="392"/>
      <c r="AF76" s="50"/>
    </row>
    <row r="77" spans="1:32" ht="25.5" customHeight="1">
      <c r="A77" s="399">
        <v>5</v>
      </c>
      <c r="B77" s="400"/>
      <c r="C77" s="98"/>
      <c r="D77" s="144"/>
      <c r="E77" s="147"/>
      <c r="F77" s="405"/>
      <c r="G77" s="406"/>
      <c r="H77" s="406"/>
      <c r="I77" s="406"/>
      <c r="J77" s="407"/>
      <c r="K77" s="391"/>
      <c r="L77" s="391"/>
      <c r="M77" s="51"/>
      <c r="N77" s="402"/>
      <c r="O77" s="402"/>
      <c r="P77" s="403"/>
      <c r="Q77" s="403"/>
      <c r="R77" s="404"/>
      <c r="S77" s="404"/>
      <c r="T77" s="404"/>
      <c r="U77" s="404"/>
      <c r="V77" s="404"/>
      <c r="W77" s="404"/>
      <c r="X77" s="404"/>
      <c r="Y77" s="404"/>
      <c r="Z77" s="404"/>
      <c r="AA77" s="404"/>
      <c r="AB77" s="391"/>
      <c r="AC77" s="391"/>
      <c r="AD77" s="392"/>
      <c r="AF77" s="50"/>
    </row>
    <row r="78" spans="1:32" ht="25.5" customHeight="1">
      <c r="A78" s="399">
        <v>6</v>
      </c>
      <c r="B78" s="400"/>
      <c r="C78" s="98"/>
      <c r="D78" s="144"/>
      <c r="E78" s="147"/>
      <c r="F78" s="405"/>
      <c r="G78" s="406"/>
      <c r="H78" s="406"/>
      <c r="I78" s="406"/>
      <c r="J78" s="407"/>
      <c r="K78" s="391"/>
      <c r="L78" s="391"/>
      <c r="M78" s="51"/>
      <c r="N78" s="402"/>
      <c r="O78" s="402"/>
      <c r="P78" s="403"/>
      <c r="Q78" s="403"/>
      <c r="R78" s="404"/>
      <c r="S78" s="404"/>
      <c r="T78" s="404"/>
      <c r="U78" s="404"/>
      <c r="V78" s="404"/>
      <c r="W78" s="404"/>
      <c r="X78" s="404"/>
      <c r="Y78" s="404"/>
      <c r="Z78" s="404"/>
      <c r="AA78" s="404"/>
      <c r="AB78" s="391"/>
      <c r="AC78" s="391"/>
      <c r="AD78" s="392"/>
      <c r="AF78" s="50"/>
    </row>
    <row r="79" spans="1:32" ht="25.5" customHeight="1">
      <c r="A79" s="399">
        <v>7</v>
      </c>
      <c r="B79" s="400"/>
      <c r="C79" s="98"/>
      <c r="D79" s="144"/>
      <c r="E79" s="147"/>
      <c r="F79" s="405"/>
      <c r="G79" s="406"/>
      <c r="H79" s="406"/>
      <c r="I79" s="406"/>
      <c r="J79" s="407"/>
      <c r="K79" s="391"/>
      <c r="L79" s="391"/>
      <c r="M79" s="51"/>
      <c r="N79" s="402"/>
      <c r="O79" s="402"/>
      <c r="P79" s="403"/>
      <c r="Q79" s="403"/>
      <c r="R79" s="404"/>
      <c r="S79" s="404"/>
      <c r="T79" s="404"/>
      <c r="U79" s="404"/>
      <c r="V79" s="404"/>
      <c r="W79" s="404"/>
      <c r="X79" s="404"/>
      <c r="Y79" s="404"/>
      <c r="Z79" s="404"/>
      <c r="AA79" s="404"/>
      <c r="AB79" s="391"/>
      <c r="AC79" s="391"/>
      <c r="AD79" s="392"/>
      <c r="AF79" s="50"/>
    </row>
    <row r="80" spans="1:32" ht="25.5" customHeight="1">
      <c r="A80" s="399">
        <v>8</v>
      </c>
      <c r="B80" s="400"/>
      <c r="C80" s="98"/>
      <c r="D80" s="144"/>
      <c r="E80" s="147"/>
      <c r="F80" s="401"/>
      <c r="G80" s="391"/>
      <c r="H80" s="391"/>
      <c r="I80" s="391"/>
      <c r="J80" s="391"/>
      <c r="K80" s="391"/>
      <c r="L80" s="391"/>
      <c r="M80" s="51"/>
      <c r="N80" s="402"/>
      <c r="O80" s="402"/>
      <c r="P80" s="403"/>
      <c r="Q80" s="403"/>
      <c r="R80" s="404"/>
      <c r="S80" s="404"/>
      <c r="T80" s="404"/>
      <c r="U80" s="404"/>
      <c r="V80" s="404"/>
      <c r="W80" s="404"/>
      <c r="X80" s="404"/>
      <c r="Y80" s="404"/>
      <c r="Z80" s="404"/>
      <c r="AA80" s="404"/>
      <c r="AB80" s="391"/>
      <c r="AC80" s="391"/>
      <c r="AD80" s="392"/>
      <c r="AF80" s="50"/>
    </row>
    <row r="81" spans="1:32" ht="25.5" customHeight="1">
      <c r="A81" s="399">
        <v>9</v>
      </c>
      <c r="B81" s="400"/>
      <c r="C81" s="98"/>
      <c r="D81" s="144"/>
      <c r="E81" s="147"/>
      <c r="F81" s="401"/>
      <c r="G81" s="391"/>
      <c r="H81" s="391"/>
      <c r="I81" s="391"/>
      <c r="J81" s="391"/>
      <c r="K81" s="391"/>
      <c r="L81" s="391"/>
      <c r="M81" s="51"/>
      <c r="N81" s="402"/>
      <c r="O81" s="402"/>
      <c r="P81" s="403"/>
      <c r="Q81" s="403"/>
      <c r="R81" s="404"/>
      <c r="S81" s="404"/>
      <c r="T81" s="404"/>
      <c r="U81" s="404"/>
      <c r="V81" s="404"/>
      <c r="W81" s="404"/>
      <c r="X81" s="404"/>
      <c r="Y81" s="404"/>
      <c r="Z81" s="404"/>
      <c r="AA81" s="404"/>
      <c r="AB81" s="391"/>
      <c r="AC81" s="391"/>
      <c r="AD81" s="392"/>
      <c r="AF81" s="50"/>
    </row>
    <row r="82" spans="1:32" ht="25.5" customHeight="1">
      <c r="A82" s="399">
        <v>10</v>
      </c>
      <c r="B82" s="400"/>
      <c r="C82" s="98"/>
      <c r="D82" s="144"/>
      <c r="E82" s="147"/>
      <c r="F82" s="401"/>
      <c r="G82" s="391"/>
      <c r="H82" s="391"/>
      <c r="I82" s="391"/>
      <c r="J82" s="391"/>
      <c r="K82" s="391"/>
      <c r="L82" s="391"/>
      <c r="M82" s="51"/>
      <c r="N82" s="402"/>
      <c r="O82" s="402"/>
      <c r="P82" s="403"/>
      <c r="Q82" s="403"/>
      <c r="R82" s="404"/>
      <c r="S82" s="404"/>
      <c r="T82" s="404"/>
      <c r="U82" s="404"/>
      <c r="V82" s="404"/>
      <c r="W82" s="404"/>
      <c r="X82" s="404"/>
      <c r="Y82" s="404"/>
      <c r="Z82" s="404"/>
      <c r="AA82" s="404"/>
      <c r="AB82" s="391"/>
      <c r="AC82" s="391"/>
      <c r="AD82" s="392"/>
      <c r="AF82" s="50"/>
    </row>
    <row r="83" spans="1:32" ht="26.25" customHeight="1" thickBot="1">
      <c r="A83" s="371" t="s">
        <v>302</v>
      </c>
      <c r="B83" s="371"/>
      <c r="C83" s="371"/>
      <c r="D83" s="371"/>
      <c r="E83" s="371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23.25" thickBot="1">
      <c r="A84" s="393" t="s">
        <v>111</v>
      </c>
      <c r="B84" s="394"/>
      <c r="C84" s="146" t="s">
        <v>2</v>
      </c>
      <c r="D84" s="146" t="s">
        <v>37</v>
      </c>
      <c r="E84" s="146" t="s">
        <v>120</v>
      </c>
      <c r="F84" s="373" t="s">
        <v>38</v>
      </c>
      <c r="G84" s="373"/>
      <c r="H84" s="373"/>
      <c r="I84" s="373"/>
      <c r="J84" s="373"/>
      <c r="K84" s="395" t="s">
        <v>58</v>
      </c>
      <c r="L84" s="396"/>
      <c r="M84" s="396"/>
      <c r="N84" s="396"/>
      <c r="O84" s="396"/>
      <c r="P84" s="396"/>
      <c r="Q84" s="396"/>
      <c r="R84" s="396"/>
      <c r="S84" s="397"/>
      <c r="T84" s="373" t="s">
        <v>49</v>
      </c>
      <c r="U84" s="373"/>
      <c r="V84" s="395" t="s">
        <v>50</v>
      </c>
      <c r="W84" s="397"/>
      <c r="X84" s="396" t="s">
        <v>51</v>
      </c>
      <c r="Y84" s="396"/>
      <c r="Z84" s="396"/>
      <c r="AA84" s="396"/>
      <c r="AB84" s="396"/>
      <c r="AC84" s="396"/>
      <c r="AD84" s="398"/>
      <c r="AF84" s="50"/>
    </row>
    <row r="85" spans="1:32" ht="33.75" customHeight="1">
      <c r="A85" s="365">
        <v>1</v>
      </c>
      <c r="B85" s="366"/>
      <c r="C85" s="145"/>
      <c r="D85" s="145"/>
      <c r="E85" s="65"/>
      <c r="F85" s="380"/>
      <c r="G85" s="381"/>
      <c r="H85" s="381"/>
      <c r="I85" s="381"/>
      <c r="J85" s="382"/>
      <c r="K85" s="383"/>
      <c r="L85" s="384"/>
      <c r="M85" s="384"/>
      <c r="N85" s="384"/>
      <c r="O85" s="384"/>
      <c r="P85" s="384"/>
      <c r="Q85" s="384"/>
      <c r="R85" s="384"/>
      <c r="S85" s="385"/>
      <c r="T85" s="386"/>
      <c r="U85" s="387"/>
      <c r="V85" s="388"/>
      <c r="W85" s="388"/>
      <c r="X85" s="389"/>
      <c r="Y85" s="389"/>
      <c r="Z85" s="389"/>
      <c r="AA85" s="389"/>
      <c r="AB85" s="389"/>
      <c r="AC85" s="389"/>
      <c r="AD85" s="390"/>
      <c r="AF85" s="50"/>
    </row>
    <row r="86" spans="1:32" ht="30" customHeight="1">
      <c r="A86" s="358">
        <f>A85+1</f>
        <v>2</v>
      </c>
      <c r="B86" s="359"/>
      <c r="C86" s="144"/>
      <c r="D86" s="144"/>
      <c r="E86" s="32"/>
      <c r="F86" s="359"/>
      <c r="G86" s="359"/>
      <c r="H86" s="359"/>
      <c r="I86" s="359"/>
      <c r="J86" s="359"/>
      <c r="K86" s="374"/>
      <c r="L86" s="375"/>
      <c r="M86" s="375"/>
      <c r="N86" s="375"/>
      <c r="O86" s="375"/>
      <c r="P86" s="375"/>
      <c r="Q86" s="375"/>
      <c r="R86" s="375"/>
      <c r="S86" s="376"/>
      <c r="T86" s="377"/>
      <c r="U86" s="377"/>
      <c r="V86" s="377"/>
      <c r="W86" s="377"/>
      <c r="X86" s="378"/>
      <c r="Y86" s="378"/>
      <c r="Z86" s="378"/>
      <c r="AA86" s="378"/>
      <c r="AB86" s="378"/>
      <c r="AC86" s="378"/>
      <c r="AD86" s="379"/>
      <c r="AF86" s="50"/>
    </row>
    <row r="87" spans="1:32" ht="30" customHeight="1">
      <c r="A87" s="358">
        <f t="shared" ref="A87:A91" si="28">A86+1</f>
        <v>3</v>
      </c>
      <c r="B87" s="359"/>
      <c r="C87" s="144"/>
      <c r="D87" s="144"/>
      <c r="E87" s="32"/>
      <c r="F87" s="359"/>
      <c r="G87" s="359"/>
      <c r="H87" s="359"/>
      <c r="I87" s="359"/>
      <c r="J87" s="359"/>
      <c r="K87" s="374"/>
      <c r="L87" s="375"/>
      <c r="M87" s="375"/>
      <c r="N87" s="375"/>
      <c r="O87" s="375"/>
      <c r="P87" s="375"/>
      <c r="Q87" s="375"/>
      <c r="R87" s="375"/>
      <c r="S87" s="376"/>
      <c r="T87" s="377"/>
      <c r="U87" s="377"/>
      <c r="V87" s="377"/>
      <c r="W87" s="377"/>
      <c r="X87" s="378"/>
      <c r="Y87" s="378"/>
      <c r="Z87" s="378"/>
      <c r="AA87" s="378"/>
      <c r="AB87" s="378"/>
      <c r="AC87" s="378"/>
      <c r="AD87" s="379"/>
      <c r="AF87" s="50"/>
    </row>
    <row r="88" spans="1:32" ht="30" customHeight="1">
      <c r="A88" s="358">
        <f t="shared" si="28"/>
        <v>4</v>
      </c>
      <c r="B88" s="359"/>
      <c r="C88" s="144"/>
      <c r="D88" s="144"/>
      <c r="E88" s="32"/>
      <c r="F88" s="359"/>
      <c r="G88" s="359"/>
      <c r="H88" s="359"/>
      <c r="I88" s="359"/>
      <c r="J88" s="359"/>
      <c r="K88" s="374"/>
      <c r="L88" s="375"/>
      <c r="M88" s="375"/>
      <c r="N88" s="375"/>
      <c r="O88" s="375"/>
      <c r="P88" s="375"/>
      <c r="Q88" s="375"/>
      <c r="R88" s="375"/>
      <c r="S88" s="376"/>
      <c r="T88" s="377"/>
      <c r="U88" s="377"/>
      <c r="V88" s="377"/>
      <c r="W88" s="377"/>
      <c r="X88" s="378"/>
      <c r="Y88" s="378"/>
      <c r="Z88" s="378"/>
      <c r="AA88" s="378"/>
      <c r="AB88" s="378"/>
      <c r="AC88" s="378"/>
      <c r="AD88" s="379"/>
      <c r="AF88" s="50"/>
    </row>
    <row r="89" spans="1:32" ht="30" customHeight="1">
      <c r="A89" s="358">
        <f t="shared" si="28"/>
        <v>5</v>
      </c>
      <c r="B89" s="359"/>
      <c r="C89" s="144"/>
      <c r="D89" s="144"/>
      <c r="E89" s="32"/>
      <c r="F89" s="359"/>
      <c r="G89" s="359"/>
      <c r="H89" s="359"/>
      <c r="I89" s="359"/>
      <c r="J89" s="359"/>
      <c r="K89" s="374"/>
      <c r="L89" s="375"/>
      <c r="M89" s="375"/>
      <c r="N89" s="375"/>
      <c r="O89" s="375"/>
      <c r="P89" s="375"/>
      <c r="Q89" s="375"/>
      <c r="R89" s="375"/>
      <c r="S89" s="376"/>
      <c r="T89" s="377"/>
      <c r="U89" s="377"/>
      <c r="V89" s="377"/>
      <c r="W89" s="377"/>
      <c r="X89" s="378"/>
      <c r="Y89" s="378"/>
      <c r="Z89" s="378"/>
      <c r="AA89" s="378"/>
      <c r="AB89" s="378"/>
      <c r="AC89" s="378"/>
      <c r="AD89" s="379"/>
      <c r="AF89" s="50"/>
    </row>
    <row r="90" spans="1:32" ht="30" customHeight="1">
      <c r="A90" s="358">
        <f t="shared" si="28"/>
        <v>6</v>
      </c>
      <c r="B90" s="359"/>
      <c r="C90" s="144"/>
      <c r="D90" s="144"/>
      <c r="E90" s="32"/>
      <c r="F90" s="359"/>
      <c r="G90" s="359"/>
      <c r="H90" s="359"/>
      <c r="I90" s="359"/>
      <c r="J90" s="359"/>
      <c r="K90" s="374"/>
      <c r="L90" s="375"/>
      <c r="M90" s="375"/>
      <c r="N90" s="375"/>
      <c r="O90" s="375"/>
      <c r="P90" s="375"/>
      <c r="Q90" s="375"/>
      <c r="R90" s="375"/>
      <c r="S90" s="376"/>
      <c r="T90" s="377"/>
      <c r="U90" s="377"/>
      <c r="V90" s="377"/>
      <c r="W90" s="377"/>
      <c r="X90" s="378"/>
      <c r="Y90" s="378"/>
      <c r="Z90" s="378"/>
      <c r="AA90" s="378"/>
      <c r="AB90" s="378"/>
      <c r="AC90" s="378"/>
      <c r="AD90" s="379"/>
      <c r="AF90" s="50"/>
    </row>
    <row r="91" spans="1:32" ht="30" customHeight="1">
      <c r="A91" s="358">
        <f t="shared" si="28"/>
        <v>7</v>
      </c>
      <c r="B91" s="359"/>
      <c r="C91" s="144"/>
      <c r="D91" s="144"/>
      <c r="E91" s="32"/>
      <c r="F91" s="359"/>
      <c r="G91" s="359"/>
      <c r="H91" s="359"/>
      <c r="I91" s="359"/>
      <c r="J91" s="359"/>
      <c r="K91" s="374"/>
      <c r="L91" s="375"/>
      <c r="M91" s="375"/>
      <c r="N91" s="375"/>
      <c r="O91" s="375"/>
      <c r="P91" s="375"/>
      <c r="Q91" s="375"/>
      <c r="R91" s="375"/>
      <c r="S91" s="376"/>
      <c r="T91" s="377"/>
      <c r="U91" s="377"/>
      <c r="V91" s="377"/>
      <c r="W91" s="377"/>
      <c r="X91" s="378"/>
      <c r="Y91" s="378"/>
      <c r="Z91" s="378"/>
      <c r="AA91" s="378"/>
      <c r="AB91" s="378"/>
      <c r="AC91" s="378"/>
      <c r="AD91" s="379"/>
      <c r="AF91" s="50"/>
    </row>
    <row r="92" spans="1:32" ht="36" thickBot="1">
      <c r="A92" s="371" t="s">
        <v>303</v>
      </c>
      <c r="B92" s="371"/>
      <c r="C92" s="371"/>
      <c r="D92" s="371"/>
      <c r="E92" s="371"/>
      <c r="F92" s="37"/>
      <c r="G92" s="37"/>
      <c r="H92" s="38"/>
      <c r="I92" s="38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F92" s="50"/>
    </row>
    <row r="93" spans="1:32" ht="30.75" customHeight="1" thickBot="1">
      <c r="A93" s="372" t="s">
        <v>111</v>
      </c>
      <c r="B93" s="373"/>
      <c r="C93" s="363" t="s">
        <v>52</v>
      </c>
      <c r="D93" s="363"/>
      <c r="E93" s="363" t="s">
        <v>53</v>
      </c>
      <c r="F93" s="363"/>
      <c r="G93" s="363"/>
      <c r="H93" s="363"/>
      <c r="I93" s="363"/>
      <c r="J93" s="363"/>
      <c r="K93" s="363" t="s">
        <v>54</v>
      </c>
      <c r="L93" s="363"/>
      <c r="M93" s="363"/>
      <c r="N93" s="363"/>
      <c r="O93" s="363"/>
      <c r="P93" s="363"/>
      <c r="Q93" s="363"/>
      <c r="R93" s="363"/>
      <c r="S93" s="363"/>
      <c r="T93" s="363" t="s">
        <v>55</v>
      </c>
      <c r="U93" s="363"/>
      <c r="V93" s="363" t="s">
        <v>56</v>
      </c>
      <c r="W93" s="363"/>
      <c r="X93" s="363"/>
      <c r="Y93" s="363" t="s">
        <v>51</v>
      </c>
      <c r="Z93" s="363"/>
      <c r="AA93" s="363"/>
      <c r="AB93" s="363"/>
      <c r="AC93" s="363"/>
      <c r="AD93" s="364"/>
      <c r="AF93" s="50"/>
    </row>
    <row r="94" spans="1:32" ht="30.75" customHeight="1">
      <c r="A94" s="365">
        <v>1</v>
      </c>
      <c r="B94" s="366"/>
      <c r="C94" s="367"/>
      <c r="D94" s="367"/>
      <c r="E94" s="367"/>
      <c r="F94" s="367"/>
      <c r="G94" s="367"/>
      <c r="H94" s="367"/>
      <c r="I94" s="367"/>
      <c r="J94" s="367"/>
      <c r="K94" s="367"/>
      <c r="L94" s="367"/>
      <c r="M94" s="367"/>
      <c r="N94" s="367"/>
      <c r="O94" s="367"/>
      <c r="P94" s="367"/>
      <c r="Q94" s="367"/>
      <c r="R94" s="367"/>
      <c r="S94" s="367"/>
      <c r="T94" s="367"/>
      <c r="U94" s="367"/>
      <c r="V94" s="368"/>
      <c r="W94" s="368"/>
      <c r="X94" s="368"/>
      <c r="Y94" s="369"/>
      <c r="Z94" s="369"/>
      <c r="AA94" s="369"/>
      <c r="AB94" s="369"/>
      <c r="AC94" s="369"/>
      <c r="AD94" s="370"/>
      <c r="AF94" s="50"/>
    </row>
    <row r="95" spans="1:32" ht="30.75" customHeight="1">
      <c r="A95" s="358">
        <v>2</v>
      </c>
      <c r="B95" s="359"/>
      <c r="C95" s="360"/>
      <c r="D95" s="360"/>
      <c r="E95" s="360"/>
      <c r="F95" s="360"/>
      <c r="G95" s="360"/>
      <c r="H95" s="360"/>
      <c r="I95" s="360"/>
      <c r="J95" s="360"/>
      <c r="K95" s="360"/>
      <c r="L95" s="360"/>
      <c r="M95" s="360"/>
      <c r="N95" s="360"/>
      <c r="O95" s="360"/>
      <c r="P95" s="360"/>
      <c r="Q95" s="360"/>
      <c r="R95" s="360"/>
      <c r="S95" s="360"/>
      <c r="T95" s="361"/>
      <c r="U95" s="361"/>
      <c r="V95" s="362"/>
      <c r="W95" s="362"/>
      <c r="X95" s="362"/>
      <c r="Y95" s="350"/>
      <c r="Z95" s="350"/>
      <c r="AA95" s="350"/>
      <c r="AB95" s="350"/>
      <c r="AC95" s="350"/>
      <c r="AD95" s="351"/>
      <c r="AF95" s="50"/>
    </row>
    <row r="96" spans="1:32" ht="30.75" customHeight="1" thickBot="1">
      <c r="A96" s="352">
        <v>3</v>
      </c>
      <c r="B96" s="353"/>
      <c r="C96" s="354"/>
      <c r="D96" s="354"/>
      <c r="E96" s="354"/>
      <c r="F96" s="354"/>
      <c r="G96" s="354"/>
      <c r="H96" s="354"/>
      <c r="I96" s="354"/>
      <c r="J96" s="354"/>
      <c r="K96" s="354"/>
      <c r="L96" s="354"/>
      <c r="M96" s="354"/>
      <c r="N96" s="354"/>
      <c r="O96" s="354"/>
      <c r="P96" s="354"/>
      <c r="Q96" s="354"/>
      <c r="R96" s="354"/>
      <c r="S96" s="354"/>
      <c r="T96" s="354"/>
      <c r="U96" s="354"/>
      <c r="V96" s="355"/>
      <c r="W96" s="355"/>
      <c r="X96" s="355"/>
      <c r="Y96" s="356"/>
      <c r="Z96" s="356"/>
      <c r="AA96" s="356"/>
      <c r="AB96" s="356"/>
      <c r="AC96" s="356"/>
      <c r="AD96" s="357"/>
      <c r="AF96" s="50"/>
    </row>
  </sheetData>
  <mergeCells count="232">
    <mergeCell ref="Y95:AD95"/>
    <mergeCell ref="A96:B96"/>
    <mergeCell ref="C96:D96"/>
    <mergeCell ref="E96:J96"/>
    <mergeCell ref="K96:S96"/>
    <mergeCell ref="T96:U96"/>
    <mergeCell ref="V96:X96"/>
    <mergeCell ref="Y96:AD96"/>
    <mergeCell ref="A95:B95"/>
    <mergeCell ref="C95:D95"/>
    <mergeCell ref="E95:J95"/>
    <mergeCell ref="K95:S95"/>
    <mergeCell ref="T95:U95"/>
    <mergeCell ref="V95:X95"/>
    <mergeCell ref="V93:X93"/>
    <mergeCell ref="Y93:AD93"/>
    <mergeCell ref="A94:B94"/>
    <mergeCell ref="C94:D94"/>
    <mergeCell ref="E94:J94"/>
    <mergeCell ref="K94:S94"/>
    <mergeCell ref="T94:U94"/>
    <mergeCell ref="V94:X94"/>
    <mergeCell ref="Y94:AD94"/>
    <mergeCell ref="A92:E92"/>
    <mergeCell ref="A93:B93"/>
    <mergeCell ref="C93:D93"/>
    <mergeCell ref="E93:J93"/>
    <mergeCell ref="K93:S93"/>
    <mergeCell ref="T93:U93"/>
    <mergeCell ref="A91:B91"/>
    <mergeCell ref="F91:J91"/>
    <mergeCell ref="K91:S91"/>
    <mergeCell ref="T91:U91"/>
    <mergeCell ref="V91:W91"/>
    <mergeCell ref="X91:AD91"/>
    <mergeCell ref="A90:B90"/>
    <mergeCell ref="F90:J90"/>
    <mergeCell ref="K90:S90"/>
    <mergeCell ref="T90:U90"/>
    <mergeCell ref="V90:W90"/>
    <mergeCell ref="X90:AD90"/>
    <mergeCell ref="A89:B89"/>
    <mergeCell ref="F89:J89"/>
    <mergeCell ref="K89:S89"/>
    <mergeCell ref="T89:U89"/>
    <mergeCell ref="V89:W89"/>
    <mergeCell ref="X89:AD89"/>
    <mergeCell ref="A88:B88"/>
    <mergeCell ref="F88:J88"/>
    <mergeCell ref="K88:S88"/>
    <mergeCell ref="T88:U88"/>
    <mergeCell ref="V88:W88"/>
    <mergeCell ref="X88:AD88"/>
    <mergeCell ref="A87:B87"/>
    <mergeCell ref="F87:J87"/>
    <mergeCell ref="K87:S87"/>
    <mergeCell ref="T87:U87"/>
    <mergeCell ref="V87:W87"/>
    <mergeCell ref="X87:AD87"/>
    <mergeCell ref="A86:B86"/>
    <mergeCell ref="F86:J86"/>
    <mergeCell ref="K86:S86"/>
    <mergeCell ref="T86:U86"/>
    <mergeCell ref="V86:W86"/>
    <mergeCell ref="X86:AD86"/>
    <mergeCell ref="A85:B85"/>
    <mergeCell ref="F85:J85"/>
    <mergeCell ref="K85:S85"/>
    <mergeCell ref="T85:U85"/>
    <mergeCell ref="V85:W85"/>
    <mergeCell ref="X85:AD85"/>
    <mergeCell ref="AB82:AD82"/>
    <mergeCell ref="A83:E83"/>
    <mergeCell ref="A84:B84"/>
    <mergeCell ref="F84:J84"/>
    <mergeCell ref="K84:S84"/>
    <mergeCell ref="T84:U84"/>
    <mergeCell ref="V84:W84"/>
    <mergeCell ref="X84:AD84"/>
    <mergeCell ref="A82:B82"/>
    <mergeCell ref="F82:J82"/>
    <mergeCell ref="K82:L82"/>
    <mergeCell ref="N82:O82"/>
    <mergeCell ref="P82:Q82"/>
    <mergeCell ref="R82:AA82"/>
    <mergeCell ref="AB80:AD80"/>
    <mergeCell ref="A81:B81"/>
    <mergeCell ref="F81:J81"/>
    <mergeCell ref="K81:L81"/>
    <mergeCell ref="N81:O81"/>
    <mergeCell ref="P81:Q81"/>
    <mergeCell ref="R81:AA81"/>
    <mergeCell ref="AB81:AD81"/>
    <mergeCell ref="A80:B80"/>
    <mergeCell ref="F80:J80"/>
    <mergeCell ref="K80:L80"/>
    <mergeCell ref="N80:O80"/>
    <mergeCell ref="P80:Q80"/>
    <mergeCell ref="R80:AA80"/>
    <mergeCell ref="AB78:AD78"/>
    <mergeCell ref="A79:B79"/>
    <mergeCell ref="F79:J79"/>
    <mergeCell ref="K79:L79"/>
    <mergeCell ref="N79:O79"/>
    <mergeCell ref="P79:Q79"/>
    <mergeCell ref="R79:AA79"/>
    <mergeCell ref="AB79:AD79"/>
    <mergeCell ref="A78:B78"/>
    <mergeCell ref="F78:J78"/>
    <mergeCell ref="K78:L78"/>
    <mergeCell ref="N78:O78"/>
    <mergeCell ref="P78:Q78"/>
    <mergeCell ref="R78:AA78"/>
    <mergeCell ref="AB76:AD76"/>
    <mergeCell ref="A77:B77"/>
    <mergeCell ref="F77:J77"/>
    <mergeCell ref="K77:L77"/>
    <mergeCell ref="N77:O77"/>
    <mergeCell ref="P77:Q77"/>
    <mergeCell ref="R77:AA77"/>
    <mergeCell ref="AB77:AD77"/>
    <mergeCell ref="A76:B76"/>
    <mergeCell ref="F76:J76"/>
    <mergeCell ref="K76:L76"/>
    <mergeCell ref="N76:O76"/>
    <mergeCell ref="P76:Q76"/>
    <mergeCell ref="R76:AA76"/>
    <mergeCell ref="AB74:AD74"/>
    <mergeCell ref="A75:B75"/>
    <mergeCell ref="F75:J75"/>
    <mergeCell ref="K75:L75"/>
    <mergeCell ref="N75:O75"/>
    <mergeCell ref="P75:Q75"/>
    <mergeCell ref="R75:AA75"/>
    <mergeCell ref="AB75:AD75"/>
    <mergeCell ref="A74:B74"/>
    <mergeCell ref="F74:J74"/>
    <mergeCell ref="K74:L74"/>
    <mergeCell ref="N74:O74"/>
    <mergeCell ref="P74:Q74"/>
    <mergeCell ref="R74:AA74"/>
    <mergeCell ref="R72:AA72"/>
    <mergeCell ref="AB72:AD72"/>
    <mergeCell ref="A73:B73"/>
    <mergeCell ref="F73:J73"/>
    <mergeCell ref="K73:L73"/>
    <mergeCell ref="N73:O73"/>
    <mergeCell ref="P73:Q73"/>
    <mergeCell ref="R73:AA73"/>
    <mergeCell ref="AB73:AD73"/>
    <mergeCell ref="A71:E71"/>
    <mergeCell ref="A72:B72"/>
    <mergeCell ref="F72:J72"/>
    <mergeCell ref="K72:L72"/>
    <mergeCell ref="N72:O72"/>
    <mergeCell ref="P72:Q72"/>
    <mergeCell ref="A69:B69"/>
    <mergeCell ref="F69:M69"/>
    <mergeCell ref="P69:Q69"/>
    <mergeCell ref="R69:U69"/>
    <mergeCell ref="V69:AD69"/>
    <mergeCell ref="A70:B70"/>
    <mergeCell ref="F70:M70"/>
    <mergeCell ref="P70:Q70"/>
    <mergeCell ref="R70:U70"/>
    <mergeCell ref="V70:AD70"/>
    <mergeCell ref="A67:B67"/>
    <mergeCell ref="F67:M67"/>
    <mergeCell ref="P67:Q67"/>
    <mergeCell ref="R67:U67"/>
    <mergeCell ref="V67:AD67"/>
    <mergeCell ref="A68:B68"/>
    <mergeCell ref="F68:M68"/>
    <mergeCell ref="P68:Q68"/>
    <mergeCell ref="R68:U68"/>
    <mergeCell ref="V68:AD68"/>
    <mergeCell ref="A65:B65"/>
    <mergeCell ref="F65:M65"/>
    <mergeCell ref="P65:Q65"/>
    <mergeCell ref="R65:U65"/>
    <mergeCell ref="V65:AD65"/>
    <mergeCell ref="A66:B66"/>
    <mergeCell ref="F66:M66"/>
    <mergeCell ref="P66:Q66"/>
    <mergeCell ref="R66:U66"/>
    <mergeCell ref="V66:AD66"/>
    <mergeCell ref="A63:B63"/>
    <mergeCell ref="F63:M63"/>
    <mergeCell ref="P63:Q63"/>
    <mergeCell ref="R63:U63"/>
    <mergeCell ref="V63:AD63"/>
    <mergeCell ref="A64:B64"/>
    <mergeCell ref="F64:M64"/>
    <mergeCell ref="P64:Q64"/>
    <mergeCell ref="R64:U64"/>
    <mergeCell ref="V64:AD64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D4:AD5"/>
    <mergeCell ref="A31:H31"/>
    <mergeCell ref="A58:E58"/>
    <mergeCell ref="A59:M59"/>
    <mergeCell ref="N59:AD59"/>
    <mergeCell ref="A60:B60"/>
    <mergeCell ref="F60:M60"/>
    <mergeCell ref="P60:Q60"/>
    <mergeCell ref="R60:U60"/>
    <mergeCell ref="V60:AD6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56" max="2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D2B87-CE2E-4E23-A002-C048F88B74A4}">
  <sheetPr codeName="Sheet5">
    <pageSetUpPr fitToPage="1"/>
  </sheetPr>
  <dimension ref="A1:AF94"/>
  <sheetViews>
    <sheetView view="pageBreakPreview" zoomScale="70" zoomScaleNormal="72" zoomScaleSheetLayoutView="70" workbookViewId="0">
      <selection activeCell="F86" sqref="F86:J86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1" bestFit="1" customWidth="1"/>
    <col min="33" max="33" width="17.625" style="50" customWidth="1"/>
    <col min="34" max="16384" width="9" style="50"/>
  </cols>
  <sheetData>
    <row r="1" spans="1:32" ht="44.25" customHeight="1">
      <c r="A1" s="461" t="s">
        <v>304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61"/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62"/>
      <c r="B3" s="462"/>
      <c r="C3" s="462"/>
      <c r="D3" s="462"/>
      <c r="E3" s="462"/>
      <c r="F3" s="462"/>
      <c r="G3" s="462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63" t="s">
        <v>0</v>
      </c>
      <c r="B4" s="465" t="s">
        <v>1</v>
      </c>
      <c r="C4" s="465" t="s">
        <v>2</v>
      </c>
      <c r="D4" s="468" t="s">
        <v>3</v>
      </c>
      <c r="E4" s="470" t="s">
        <v>4</v>
      </c>
      <c r="F4" s="468" t="s">
        <v>5</v>
      </c>
      <c r="G4" s="465" t="s">
        <v>6</v>
      </c>
      <c r="H4" s="471" t="s">
        <v>7</v>
      </c>
      <c r="I4" s="451" t="s">
        <v>8</v>
      </c>
      <c r="J4" s="452"/>
      <c r="K4" s="452"/>
      <c r="L4" s="452"/>
      <c r="M4" s="452"/>
      <c r="N4" s="452"/>
      <c r="O4" s="453"/>
      <c r="P4" s="454" t="s">
        <v>9</v>
      </c>
      <c r="Q4" s="455"/>
      <c r="R4" s="456" t="s">
        <v>10</v>
      </c>
      <c r="S4" s="457"/>
      <c r="T4" s="457"/>
      <c r="U4" s="457"/>
      <c r="V4" s="458"/>
      <c r="W4" s="457" t="s">
        <v>11</v>
      </c>
      <c r="X4" s="457"/>
      <c r="Y4" s="457"/>
      <c r="Z4" s="457"/>
      <c r="AA4" s="458"/>
      <c r="AB4" s="459" t="s">
        <v>12</v>
      </c>
      <c r="AC4" s="433" t="s">
        <v>13</v>
      </c>
      <c r="AD4" s="433" t="s">
        <v>14</v>
      </c>
      <c r="AE4" s="54"/>
    </row>
    <row r="5" spans="1:32" ht="51" customHeight="1" thickBot="1">
      <c r="A5" s="464"/>
      <c r="B5" s="466"/>
      <c r="C5" s="467"/>
      <c r="D5" s="469"/>
      <c r="E5" s="469"/>
      <c r="F5" s="469"/>
      <c r="G5" s="466"/>
      <c r="H5" s="472"/>
      <c r="I5" s="55" t="s">
        <v>15</v>
      </c>
      <c r="J5" s="56" t="s">
        <v>16</v>
      </c>
      <c r="K5" s="159" t="s">
        <v>17</v>
      </c>
      <c r="L5" s="159" t="s">
        <v>18</v>
      </c>
      <c r="M5" s="159" t="s">
        <v>19</v>
      </c>
      <c r="N5" s="159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60"/>
      <c r="AC5" s="434"/>
      <c r="AD5" s="434"/>
      <c r="AE5" s="54"/>
    </row>
    <row r="6" spans="1:32" ht="27" customHeight="1">
      <c r="A6" s="106">
        <v>1</v>
      </c>
      <c r="B6" s="11" t="s">
        <v>57</v>
      </c>
      <c r="C6" s="34" t="s">
        <v>112</v>
      </c>
      <c r="D6" s="52" t="s">
        <v>208</v>
      </c>
      <c r="E6" s="53" t="s">
        <v>206</v>
      </c>
      <c r="F6" s="30" t="s">
        <v>139</v>
      </c>
      <c r="G6" s="12">
        <v>1</v>
      </c>
      <c r="H6" s="13">
        <v>24</v>
      </c>
      <c r="I6" s="31">
        <v>8000</v>
      </c>
      <c r="J6" s="14">
        <v>3519</v>
      </c>
      <c r="K6" s="15">
        <f>L6+5516+3519</f>
        <v>9035</v>
      </c>
      <c r="L6" s="15"/>
      <c r="M6" s="15">
        <f t="shared" ref="M6:M28" si="0">L6-N6</f>
        <v>0</v>
      </c>
      <c r="N6" s="15">
        <v>0</v>
      </c>
      <c r="O6" s="58" t="str">
        <f t="shared" ref="O6:O29" si="1">IF(L6=0,"0",N6/L6)</f>
        <v>0</v>
      </c>
      <c r="P6" s="39" t="str">
        <f t="shared" ref="P6:P28" si="2">IF(L6=0,"0",(24-Q6))</f>
        <v>0</v>
      </c>
      <c r="Q6" s="40">
        <f t="shared" ref="Q6:Q28" si="3">SUM(R6:AA6)</f>
        <v>24</v>
      </c>
      <c r="R6" s="7"/>
      <c r="S6" s="6"/>
      <c r="T6" s="16"/>
      <c r="U6" s="16"/>
      <c r="V6" s="17"/>
      <c r="W6" s="5">
        <v>24</v>
      </c>
      <c r="X6" s="16"/>
      <c r="Y6" s="16"/>
      <c r="Z6" s="16"/>
      <c r="AA6" s="18"/>
      <c r="AB6" s="8">
        <f t="shared" ref="AB6:AB28" si="4">IF(J6=0,"0",(L6/J6))</f>
        <v>0</v>
      </c>
      <c r="AC6" s="9">
        <f t="shared" ref="AC6:AC28" si="5">IF(P6=0,"0",(P6/24))</f>
        <v>0</v>
      </c>
      <c r="AD6" s="10">
        <f>AC6*AB6*(1-O6)</f>
        <v>0</v>
      </c>
      <c r="AE6" s="36">
        <f t="shared" ref="AE6:AE28" si="6">$AD$29</f>
        <v>0.46376811594202894</v>
      </c>
      <c r="AF6" s="81">
        <f t="shared" ref="AF6:AF28" si="7">A6</f>
        <v>1</v>
      </c>
    </row>
    <row r="7" spans="1:32" ht="27" customHeight="1">
      <c r="A7" s="106">
        <v>2</v>
      </c>
      <c r="B7" s="11" t="s">
        <v>57</v>
      </c>
      <c r="C7" s="34" t="s">
        <v>112</v>
      </c>
      <c r="D7" s="52" t="s">
        <v>140</v>
      </c>
      <c r="E7" s="53" t="s">
        <v>149</v>
      </c>
      <c r="F7" s="30" t="s">
        <v>139</v>
      </c>
      <c r="G7" s="12">
        <v>1</v>
      </c>
      <c r="H7" s="13">
        <v>24</v>
      </c>
      <c r="I7" s="31">
        <v>190000</v>
      </c>
      <c r="J7" s="14">
        <v>9722</v>
      </c>
      <c r="K7" s="15">
        <f>L7+8898+11520+11558+11486+11566+10872+10958+11534+11518+11230+7112</f>
        <v>127974</v>
      </c>
      <c r="L7" s="15">
        <f>1970*2+2891*2</f>
        <v>9722</v>
      </c>
      <c r="M7" s="15">
        <f t="shared" si="0"/>
        <v>9722</v>
      </c>
      <c r="N7" s="15">
        <v>0</v>
      </c>
      <c r="O7" s="58">
        <f t="shared" si="1"/>
        <v>0</v>
      </c>
      <c r="P7" s="39">
        <f t="shared" si="2"/>
        <v>24</v>
      </c>
      <c r="Q7" s="40">
        <f t="shared" si="3"/>
        <v>0</v>
      </c>
      <c r="R7" s="7"/>
      <c r="S7" s="6"/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1</v>
      </c>
      <c r="AD7" s="10">
        <f t="shared" ref="AD7:AD28" si="8">AC7*AB7*(1-O7)</f>
        <v>1</v>
      </c>
      <c r="AE7" s="36">
        <f t="shared" si="6"/>
        <v>0.46376811594202894</v>
      </c>
      <c r="AF7" s="81">
        <f t="shared" si="7"/>
        <v>2</v>
      </c>
    </row>
    <row r="8" spans="1:32" ht="27" customHeight="1">
      <c r="A8" s="92">
        <v>3</v>
      </c>
      <c r="B8" s="11" t="s">
        <v>57</v>
      </c>
      <c r="C8" s="34" t="s">
        <v>116</v>
      </c>
      <c r="D8" s="52" t="s">
        <v>129</v>
      </c>
      <c r="E8" s="53" t="s">
        <v>178</v>
      </c>
      <c r="F8" s="30" t="s">
        <v>124</v>
      </c>
      <c r="G8" s="12">
        <v>1</v>
      </c>
      <c r="H8" s="13">
        <v>22</v>
      </c>
      <c r="I8" s="31">
        <v>90000</v>
      </c>
      <c r="J8" s="5">
        <v>4983</v>
      </c>
      <c r="K8" s="15">
        <f>L8+8120+11780+9608+2367</f>
        <v>36858</v>
      </c>
      <c r="L8" s="15">
        <f>2033+2950</f>
        <v>4983</v>
      </c>
      <c r="M8" s="15">
        <f t="shared" si="0"/>
        <v>4983</v>
      </c>
      <c r="N8" s="15">
        <v>0</v>
      </c>
      <c r="O8" s="58">
        <f t="shared" si="1"/>
        <v>0</v>
      </c>
      <c r="P8" s="39">
        <f t="shared" si="2"/>
        <v>24</v>
      </c>
      <c r="Q8" s="40">
        <f t="shared" si="3"/>
        <v>0</v>
      </c>
      <c r="R8" s="7"/>
      <c r="S8" s="6"/>
      <c r="T8" s="16"/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1</v>
      </c>
      <c r="AD8" s="10">
        <f t="shared" si="8"/>
        <v>1</v>
      </c>
      <c r="AE8" s="36">
        <f t="shared" si="6"/>
        <v>0.46376811594202894</v>
      </c>
      <c r="AF8" s="81">
        <f t="shared" si="7"/>
        <v>3</v>
      </c>
    </row>
    <row r="9" spans="1:32" ht="27" customHeight="1">
      <c r="A9" s="92">
        <v>4</v>
      </c>
      <c r="B9" s="11" t="s">
        <v>57</v>
      </c>
      <c r="C9" s="34" t="s">
        <v>161</v>
      </c>
      <c r="D9" s="52"/>
      <c r="E9" s="53" t="s">
        <v>166</v>
      </c>
      <c r="F9" s="30" t="s">
        <v>145</v>
      </c>
      <c r="G9" s="12">
        <v>2</v>
      </c>
      <c r="H9" s="13">
        <v>24</v>
      </c>
      <c r="I9" s="7">
        <v>10000</v>
      </c>
      <c r="J9" s="14">
        <v>10374</v>
      </c>
      <c r="K9" s="15">
        <f>L9+9554+12518+12404</f>
        <v>44850</v>
      </c>
      <c r="L9" s="15">
        <f>2047*2+3140*2</f>
        <v>10374</v>
      </c>
      <c r="M9" s="15">
        <f t="shared" si="0"/>
        <v>10374</v>
      </c>
      <c r="N9" s="15">
        <v>0</v>
      </c>
      <c r="O9" s="58">
        <f t="shared" si="1"/>
        <v>0</v>
      </c>
      <c r="P9" s="39">
        <f t="shared" si="2"/>
        <v>24</v>
      </c>
      <c r="Q9" s="40">
        <f t="shared" si="3"/>
        <v>0</v>
      </c>
      <c r="R9" s="7"/>
      <c r="S9" s="6"/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1</v>
      </c>
      <c r="AD9" s="10">
        <f t="shared" si="8"/>
        <v>1</v>
      </c>
      <c r="AE9" s="36">
        <f t="shared" si="6"/>
        <v>0.46376811594202894</v>
      </c>
      <c r="AF9" s="81">
        <f t="shared" si="7"/>
        <v>4</v>
      </c>
    </row>
    <row r="10" spans="1:32" ht="27" customHeight="1">
      <c r="A10" s="92">
        <v>5</v>
      </c>
      <c r="B10" s="11" t="s">
        <v>57</v>
      </c>
      <c r="C10" s="11" t="s">
        <v>112</v>
      </c>
      <c r="D10" s="52" t="s">
        <v>121</v>
      </c>
      <c r="E10" s="53" t="s">
        <v>188</v>
      </c>
      <c r="F10" s="30" t="s">
        <v>124</v>
      </c>
      <c r="G10" s="33">
        <v>1</v>
      </c>
      <c r="H10" s="35">
        <v>24</v>
      </c>
      <c r="I10" s="7">
        <v>115000</v>
      </c>
      <c r="J10" s="14">
        <v>4980</v>
      </c>
      <c r="K10" s="15">
        <f>L10+5338+5669+5744</f>
        <v>21731</v>
      </c>
      <c r="L10" s="15">
        <f>1994+2986</f>
        <v>4980</v>
      </c>
      <c r="M10" s="15">
        <f t="shared" si="0"/>
        <v>4980</v>
      </c>
      <c r="N10" s="15">
        <v>0</v>
      </c>
      <c r="O10" s="58">
        <f t="shared" si="1"/>
        <v>0</v>
      </c>
      <c r="P10" s="39">
        <f t="shared" si="2"/>
        <v>24</v>
      </c>
      <c r="Q10" s="40">
        <f t="shared" si="3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1</v>
      </c>
      <c r="AD10" s="10">
        <f t="shared" si="8"/>
        <v>1</v>
      </c>
      <c r="AE10" s="36">
        <f t="shared" si="6"/>
        <v>0.46376811594202894</v>
      </c>
      <c r="AF10" s="81">
        <f t="shared" si="7"/>
        <v>5</v>
      </c>
    </row>
    <row r="11" spans="1:32" ht="27" customHeight="1">
      <c r="A11" s="92">
        <v>6</v>
      </c>
      <c r="B11" s="11" t="s">
        <v>57</v>
      </c>
      <c r="C11" s="11" t="s">
        <v>161</v>
      </c>
      <c r="D11" s="52"/>
      <c r="E11" s="53" t="s">
        <v>299</v>
      </c>
      <c r="F11" s="30" t="s">
        <v>145</v>
      </c>
      <c r="G11" s="33">
        <v>1</v>
      </c>
      <c r="H11" s="35">
        <v>24</v>
      </c>
      <c r="I11" s="7">
        <v>1000</v>
      </c>
      <c r="J11" s="14">
        <v>3288</v>
      </c>
      <c r="K11" s="15">
        <f>L11</f>
        <v>3288</v>
      </c>
      <c r="L11" s="15">
        <f>2540+748</f>
        <v>3288</v>
      </c>
      <c r="M11" s="15">
        <f t="shared" si="0"/>
        <v>3288</v>
      </c>
      <c r="N11" s="15">
        <v>0</v>
      </c>
      <c r="O11" s="58">
        <f t="shared" si="1"/>
        <v>0</v>
      </c>
      <c r="P11" s="39">
        <f t="shared" si="2"/>
        <v>17</v>
      </c>
      <c r="Q11" s="40">
        <f t="shared" si="3"/>
        <v>7</v>
      </c>
      <c r="R11" s="7"/>
      <c r="S11" s="6"/>
      <c r="T11" s="16"/>
      <c r="U11" s="16"/>
      <c r="V11" s="17"/>
      <c r="W11" s="5">
        <v>7</v>
      </c>
      <c r="X11" s="16"/>
      <c r="Y11" s="16"/>
      <c r="Z11" s="16"/>
      <c r="AA11" s="18"/>
      <c r="AB11" s="8">
        <f t="shared" si="4"/>
        <v>1</v>
      </c>
      <c r="AC11" s="9">
        <f t="shared" si="5"/>
        <v>0.70833333333333337</v>
      </c>
      <c r="AD11" s="10">
        <f t="shared" si="8"/>
        <v>0.70833333333333337</v>
      </c>
      <c r="AE11" s="36">
        <f t="shared" si="6"/>
        <v>0.46376811594202894</v>
      </c>
      <c r="AF11" s="81">
        <f t="shared" si="7"/>
        <v>6</v>
      </c>
    </row>
    <row r="12" spans="1:32" ht="27" customHeight="1">
      <c r="A12" s="92">
        <v>7</v>
      </c>
      <c r="B12" s="11" t="s">
        <v>57</v>
      </c>
      <c r="C12" s="34" t="s">
        <v>116</v>
      </c>
      <c r="D12" s="52" t="s">
        <v>115</v>
      </c>
      <c r="E12" s="53" t="s">
        <v>214</v>
      </c>
      <c r="F12" s="30" t="s">
        <v>235</v>
      </c>
      <c r="G12" s="12">
        <v>1</v>
      </c>
      <c r="H12" s="13">
        <v>22</v>
      </c>
      <c r="I12" s="31">
        <v>60000</v>
      </c>
      <c r="J12" s="5">
        <v>8082</v>
      </c>
      <c r="K12" s="15">
        <f>L12+7218+9738</f>
        <v>25038</v>
      </c>
      <c r="L12" s="15">
        <f>2403*2+1638*2</f>
        <v>8082</v>
      </c>
      <c r="M12" s="15">
        <f t="shared" si="0"/>
        <v>8082</v>
      </c>
      <c r="N12" s="15">
        <v>0</v>
      </c>
      <c r="O12" s="58">
        <f t="shared" si="1"/>
        <v>0</v>
      </c>
      <c r="P12" s="39">
        <f t="shared" si="2"/>
        <v>24</v>
      </c>
      <c r="Q12" s="40">
        <f t="shared" si="3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1</v>
      </c>
      <c r="AD12" s="10">
        <f t="shared" si="8"/>
        <v>1</v>
      </c>
      <c r="AE12" s="36">
        <f t="shared" si="6"/>
        <v>0.46376811594202894</v>
      </c>
      <c r="AF12" s="81">
        <f t="shared" si="7"/>
        <v>7</v>
      </c>
    </row>
    <row r="13" spans="1:32" ht="27" customHeight="1">
      <c r="A13" s="92">
        <v>8</v>
      </c>
      <c r="B13" s="11" t="s">
        <v>57</v>
      </c>
      <c r="C13" s="11" t="s">
        <v>127</v>
      </c>
      <c r="D13" s="52" t="s">
        <v>158</v>
      </c>
      <c r="E13" s="53" t="s">
        <v>180</v>
      </c>
      <c r="F13" s="30" t="s">
        <v>123</v>
      </c>
      <c r="G13" s="33">
        <v>1</v>
      </c>
      <c r="H13" s="35">
        <v>22</v>
      </c>
      <c r="I13" s="7">
        <v>19000</v>
      </c>
      <c r="J13" s="14">
        <v>1554</v>
      </c>
      <c r="K13" s="15">
        <f>L13</f>
        <v>1554</v>
      </c>
      <c r="L13" s="15">
        <f>1554</f>
        <v>1554</v>
      </c>
      <c r="M13" s="15">
        <f t="shared" si="0"/>
        <v>1554</v>
      </c>
      <c r="N13" s="15">
        <v>0</v>
      </c>
      <c r="O13" s="58">
        <f t="shared" si="1"/>
        <v>0</v>
      </c>
      <c r="P13" s="39">
        <f t="shared" si="2"/>
        <v>8</v>
      </c>
      <c r="Q13" s="40">
        <f t="shared" si="3"/>
        <v>16</v>
      </c>
      <c r="R13" s="7"/>
      <c r="S13" s="6">
        <v>16</v>
      </c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0.33333333333333331</v>
      </c>
      <c r="AD13" s="10">
        <f t="shared" si="8"/>
        <v>0.33333333333333331</v>
      </c>
      <c r="AE13" s="36">
        <f t="shared" si="6"/>
        <v>0.46376811594202894</v>
      </c>
      <c r="AF13" s="81">
        <f t="shared" si="7"/>
        <v>8</v>
      </c>
    </row>
    <row r="14" spans="1:32" ht="27" customHeight="1">
      <c r="A14" s="92">
        <v>8</v>
      </c>
      <c r="B14" s="11" t="s">
        <v>57</v>
      </c>
      <c r="C14" s="11" t="s">
        <v>127</v>
      </c>
      <c r="D14" s="52" t="s">
        <v>209</v>
      </c>
      <c r="E14" s="53" t="s">
        <v>305</v>
      </c>
      <c r="F14" s="30" t="s">
        <v>123</v>
      </c>
      <c r="G14" s="33">
        <v>1</v>
      </c>
      <c r="H14" s="35">
        <v>22</v>
      </c>
      <c r="I14" s="7">
        <v>2000</v>
      </c>
      <c r="J14" s="14">
        <v>2113</v>
      </c>
      <c r="K14" s="15">
        <f>L14</f>
        <v>2113</v>
      </c>
      <c r="L14" s="15">
        <v>2113</v>
      </c>
      <c r="M14" s="15">
        <f t="shared" ref="M14" si="9">L14-N14</f>
        <v>2113</v>
      </c>
      <c r="N14" s="15">
        <v>0</v>
      </c>
      <c r="O14" s="58">
        <f t="shared" ref="O14" si="10">IF(L14=0,"0",N14/L14)</f>
        <v>0</v>
      </c>
      <c r="P14" s="39">
        <f t="shared" ref="P14" si="11">IF(L14=0,"0",(24-Q14))</f>
        <v>8</v>
      </c>
      <c r="Q14" s="40">
        <f t="shared" ref="Q14" si="12">SUM(R14:AA14)</f>
        <v>16</v>
      </c>
      <c r="R14" s="7"/>
      <c r="S14" s="6"/>
      <c r="T14" s="16">
        <v>14</v>
      </c>
      <c r="U14" s="16"/>
      <c r="V14" s="17"/>
      <c r="W14" s="5">
        <v>2</v>
      </c>
      <c r="X14" s="16"/>
      <c r="Y14" s="16"/>
      <c r="Z14" s="16"/>
      <c r="AA14" s="18"/>
      <c r="AB14" s="8">
        <f t="shared" ref="AB14" si="13">IF(J14=0,"0",(L14/J14))</f>
        <v>1</v>
      </c>
      <c r="AC14" s="9">
        <f t="shared" ref="AC14" si="14">IF(P14=0,"0",(P14/24))</f>
        <v>0.33333333333333331</v>
      </c>
      <c r="AD14" s="10">
        <f t="shared" ref="AD14" si="15">AC14*AB14*(1-O14)</f>
        <v>0.33333333333333331</v>
      </c>
      <c r="AE14" s="36">
        <f t="shared" si="6"/>
        <v>0.46376811594202894</v>
      </c>
      <c r="AF14" s="81">
        <f t="shared" ref="AF14" si="16">A14</f>
        <v>8</v>
      </c>
    </row>
    <row r="15" spans="1:32" ht="27" customHeight="1">
      <c r="A15" s="99">
        <v>9</v>
      </c>
      <c r="B15" s="11" t="s">
        <v>57</v>
      </c>
      <c r="C15" s="34" t="s">
        <v>112</v>
      </c>
      <c r="D15" s="52" t="s">
        <v>115</v>
      </c>
      <c r="E15" s="53" t="s">
        <v>165</v>
      </c>
      <c r="F15" s="30" t="s">
        <v>167</v>
      </c>
      <c r="G15" s="33">
        <v>1</v>
      </c>
      <c r="H15" s="35">
        <v>50</v>
      </c>
      <c r="I15" s="7">
        <v>300</v>
      </c>
      <c r="J15" s="5">
        <v>391</v>
      </c>
      <c r="K15" s="15">
        <f>L15+300</f>
        <v>300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>
        <v>24</v>
      </c>
      <c r="T15" s="16"/>
      <c r="U15" s="16"/>
      <c r="V15" s="17"/>
      <c r="W15" s="5"/>
      <c r="X15" s="16"/>
      <c r="Y15" s="16"/>
      <c r="Z15" s="16"/>
      <c r="AA15" s="18"/>
      <c r="AB15" s="8">
        <f t="shared" si="4"/>
        <v>0</v>
      </c>
      <c r="AC15" s="9">
        <f t="shared" si="5"/>
        <v>0</v>
      </c>
      <c r="AD15" s="10">
        <f t="shared" si="8"/>
        <v>0</v>
      </c>
      <c r="AE15" s="36">
        <f t="shared" si="6"/>
        <v>0.46376811594202894</v>
      </c>
      <c r="AF15" s="81">
        <f t="shared" si="7"/>
        <v>9</v>
      </c>
    </row>
    <row r="16" spans="1:32" ht="27" customHeight="1">
      <c r="A16" s="106">
        <v>10</v>
      </c>
      <c r="B16" s="11" t="s">
        <v>57</v>
      </c>
      <c r="C16" s="34" t="s">
        <v>127</v>
      </c>
      <c r="D16" s="52" t="s">
        <v>144</v>
      </c>
      <c r="E16" s="53" t="s">
        <v>177</v>
      </c>
      <c r="F16" s="30" t="s">
        <v>142</v>
      </c>
      <c r="G16" s="12">
        <v>1</v>
      </c>
      <c r="H16" s="13">
        <v>24</v>
      </c>
      <c r="I16" s="31">
        <v>1000</v>
      </c>
      <c r="J16" s="14">
        <v>1490</v>
      </c>
      <c r="K16" s="15">
        <f>L16+1490</f>
        <v>1490</v>
      </c>
      <c r="L16" s="15"/>
      <c r="M16" s="15">
        <f t="shared" si="0"/>
        <v>0</v>
      </c>
      <c r="N16" s="15">
        <v>0</v>
      </c>
      <c r="O16" s="58" t="str">
        <f t="shared" si="1"/>
        <v>0</v>
      </c>
      <c r="P16" s="39" t="str">
        <f t="shared" si="2"/>
        <v>0</v>
      </c>
      <c r="Q16" s="40">
        <f t="shared" si="3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4"/>
        <v>0</v>
      </c>
      <c r="AC16" s="9">
        <f t="shared" si="5"/>
        <v>0</v>
      </c>
      <c r="AD16" s="10">
        <f t="shared" si="8"/>
        <v>0</v>
      </c>
      <c r="AE16" s="36">
        <f t="shared" si="6"/>
        <v>0.46376811594202894</v>
      </c>
      <c r="AF16" s="81">
        <f t="shared" si="7"/>
        <v>10</v>
      </c>
    </row>
    <row r="17" spans="1:32" ht="27" customHeight="1">
      <c r="A17" s="106">
        <v>11</v>
      </c>
      <c r="B17" s="11" t="s">
        <v>57</v>
      </c>
      <c r="C17" s="34" t="s">
        <v>161</v>
      </c>
      <c r="D17" s="52"/>
      <c r="E17" s="53" t="s">
        <v>168</v>
      </c>
      <c r="F17" s="30" t="s">
        <v>145</v>
      </c>
      <c r="G17" s="12">
        <v>2</v>
      </c>
      <c r="H17" s="13">
        <v>24</v>
      </c>
      <c r="I17" s="7">
        <v>73000</v>
      </c>
      <c r="J17" s="14">
        <v>10312</v>
      </c>
      <c r="K17" s="15">
        <f>L17+10730+9070+9850+12188+10512+3676+10788+8416+9134</f>
        <v>94676</v>
      </c>
      <c r="L17" s="15">
        <f>2105*2+3051*2</f>
        <v>10312</v>
      </c>
      <c r="M17" s="15">
        <f t="shared" si="0"/>
        <v>10312</v>
      </c>
      <c r="N17" s="15">
        <v>0</v>
      </c>
      <c r="O17" s="58">
        <f t="shared" si="1"/>
        <v>0</v>
      </c>
      <c r="P17" s="39">
        <f t="shared" si="2"/>
        <v>24</v>
      </c>
      <c r="Q17" s="40">
        <f t="shared" si="3"/>
        <v>0</v>
      </c>
      <c r="R17" s="7"/>
      <c r="S17" s="6"/>
      <c r="T17" s="16"/>
      <c r="U17" s="16"/>
      <c r="V17" s="17"/>
      <c r="W17" s="5"/>
      <c r="X17" s="16"/>
      <c r="Y17" s="16"/>
      <c r="Z17" s="16"/>
      <c r="AA17" s="18"/>
      <c r="AB17" s="8">
        <f t="shared" si="4"/>
        <v>1</v>
      </c>
      <c r="AC17" s="9">
        <f t="shared" si="5"/>
        <v>1</v>
      </c>
      <c r="AD17" s="10">
        <f t="shared" si="8"/>
        <v>1</v>
      </c>
      <c r="AE17" s="36">
        <f t="shared" si="6"/>
        <v>0.46376811594202894</v>
      </c>
      <c r="AF17" s="81">
        <f t="shared" si="7"/>
        <v>11</v>
      </c>
    </row>
    <row r="18" spans="1:32" ht="27" customHeight="1">
      <c r="A18" s="106">
        <v>12</v>
      </c>
      <c r="B18" s="11" t="s">
        <v>57</v>
      </c>
      <c r="C18" s="34" t="s">
        <v>127</v>
      </c>
      <c r="D18" s="52" t="s">
        <v>129</v>
      </c>
      <c r="E18" s="53" t="s">
        <v>306</v>
      </c>
      <c r="F18" s="30" t="s">
        <v>155</v>
      </c>
      <c r="G18" s="12">
        <v>4</v>
      </c>
      <c r="H18" s="13">
        <v>24</v>
      </c>
      <c r="I18" s="7">
        <v>2000</v>
      </c>
      <c r="J18" s="14">
        <v>6408</v>
      </c>
      <c r="K18" s="15">
        <f>L18</f>
        <v>6408</v>
      </c>
      <c r="L18" s="15">
        <f>1072*4+530*4</f>
        <v>6408</v>
      </c>
      <c r="M18" s="15">
        <f t="shared" si="0"/>
        <v>6408</v>
      </c>
      <c r="N18" s="15">
        <v>0</v>
      </c>
      <c r="O18" s="58">
        <f t="shared" si="1"/>
        <v>0</v>
      </c>
      <c r="P18" s="39">
        <f t="shared" si="2"/>
        <v>7</v>
      </c>
      <c r="Q18" s="40">
        <f t="shared" si="3"/>
        <v>17</v>
      </c>
      <c r="R18" s="7"/>
      <c r="S18" s="6"/>
      <c r="T18" s="16"/>
      <c r="U18" s="16"/>
      <c r="V18" s="17"/>
      <c r="W18" s="5">
        <v>17</v>
      </c>
      <c r="X18" s="16"/>
      <c r="Y18" s="16"/>
      <c r="Z18" s="16"/>
      <c r="AA18" s="18"/>
      <c r="AB18" s="8">
        <f t="shared" si="4"/>
        <v>1</v>
      </c>
      <c r="AC18" s="9">
        <f t="shared" si="5"/>
        <v>0.29166666666666669</v>
      </c>
      <c r="AD18" s="10">
        <f t="shared" si="8"/>
        <v>0.29166666666666669</v>
      </c>
      <c r="AE18" s="36">
        <f t="shared" si="6"/>
        <v>0.46376811594202894</v>
      </c>
      <c r="AF18" s="81">
        <f t="shared" si="7"/>
        <v>12</v>
      </c>
    </row>
    <row r="19" spans="1:32" ht="27" customHeight="1">
      <c r="A19" s="92">
        <v>13</v>
      </c>
      <c r="B19" s="11" t="s">
        <v>57</v>
      </c>
      <c r="C19" s="34" t="s">
        <v>116</v>
      </c>
      <c r="D19" s="52" t="s">
        <v>115</v>
      </c>
      <c r="E19" s="53" t="s">
        <v>198</v>
      </c>
      <c r="F19" s="30" t="s">
        <v>138</v>
      </c>
      <c r="G19" s="12">
        <v>2</v>
      </c>
      <c r="H19" s="13">
        <v>22</v>
      </c>
      <c r="I19" s="31">
        <v>90000</v>
      </c>
      <c r="J19" s="5">
        <v>9906</v>
      </c>
      <c r="K19" s="15">
        <f>L19+9112+12392+12128</f>
        <v>43538</v>
      </c>
      <c r="L19" s="15">
        <f>2863*2+2090*2</f>
        <v>9906</v>
      </c>
      <c r="M19" s="15">
        <f t="shared" si="0"/>
        <v>9906</v>
      </c>
      <c r="N19" s="15">
        <v>0</v>
      </c>
      <c r="O19" s="58">
        <f t="shared" si="1"/>
        <v>0</v>
      </c>
      <c r="P19" s="39">
        <f t="shared" si="2"/>
        <v>24</v>
      </c>
      <c r="Q19" s="40">
        <f t="shared" si="3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1</v>
      </c>
      <c r="AD19" s="10">
        <f t="shared" si="8"/>
        <v>1</v>
      </c>
      <c r="AE19" s="36">
        <f t="shared" si="6"/>
        <v>0.46376811594202894</v>
      </c>
      <c r="AF19" s="81">
        <f t="shared" si="7"/>
        <v>13</v>
      </c>
    </row>
    <row r="20" spans="1:32" ht="27" customHeight="1">
      <c r="A20" s="92">
        <v>14</v>
      </c>
      <c r="B20" s="11" t="s">
        <v>57</v>
      </c>
      <c r="C20" s="11" t="s">
        <v>112</v>
      </c>
      <c r="D20" s="52" t="s">
        <v>115</v>
      </c>
      <c r="E20" s="53" t="s">
        <v>261</v>
      </c>
      <c r="F20" s="30" t="s">
        <v>124</v>
      </c>
      <c r="G20" s="33">
        <v>2</v>
      </c>
      <c r="H20" s="35">
        <v>24</v>
      </c>
      <c r="I20" s="7">
        <v>1000</v>
      </c>
      <c r="J20" s="14">
        <v>290</v>
      </c>
      <c r="K20" s="15">
        <f>L20+1060</f>
        <v>1350</v>
      </c>
      <c r="L20" s="15">
        <v>290</v>
      </c>
      <c r="M20" s="15">
        <f t="shared" si="0"/>
        <v>290</v>
      </c>
      <c r="N20" s="15">
        <v>0</v>
      </c>
      <c r="O20" s="58">
        <f t="shared" si="1"/>
        <v>0</v>
      </c>
      <c r="P20" s="39">
        <f t="shared" si="2"/>
        <v>4</v>
      </c>
      <c r="Q20" s="40">
        <f t="shared" si="3"/>
        <v>20</v>
      </c>
      <c r="R20" s="7"/>
      <c r="S20" s="6"/>
      <c r="T20" s="16"/>
      <c r="U20" s="16"/>
      <c r="V20" s="17"/>
      <c r="W20" s="5">
        <v>20</v>
      </c>
      <c r="X20" s="16"/>
      <c r="Y20" s="16"/>
      <c r="Z20" s="16"/>
      <c r="AA20" s="18"/>
      <c r="AB20" s="8">
        <f t="shared" si="4"/>
        <v>1</v>
      </c>
      <c r="AC20" s="9">
        <f t="shared" si="5"/>
        <v>0.16666666666666666</v>
      </c>
      <c r="AD20" s="10">
        <f t="shared" si="8"/>
        <v>0.16666666666666666</v>
      </c>
      <c r="AE20" s="36">
        <f t="shared" si="6"/>
        <v>0.46376811594202894</v>
      </c>
      <c r="AF20" s="81">
        <f t="shared" si="7"/>
        <v>14</v>
      </c>
    </row>
    <row r="21" spans="1:32" ht="27" customHeight="1">
      <c r="A21" s="106">
        <v>15</v>
      </c>
      <c r="B21" s="11" t="s">
        <v>57</v>
      </c>
      <c r="C21" s="11" t="s">
        <v>112</v>
      </c>
      <c r="D21" s="52" t="s">
        <v>115</v>
      </c>
      <c r="E21" s="53" t="s">
        <v>148</v>
      </c>
      <c r="F21" s="30" t="s">
        <v>138</v>
      </c>
      <c r="G21" s="33">
        <v>2</v>
      </c>
      <c r="H21" s="35">
        <v>24</v>
      </c>
      <c r="I21" s="7">
        <v>190000</v>
      </c>
      <c r="J21" s="14">
        <v>8170</v>
      </c>
      <c r="K21" s="15">
        <f>L21+2429+7472+8688+7444+11036+10988+11010+10896</f>
        <v>78133</v>
      </c>
      <c r="L21" s="15">
        <f>2755*2+1330*2</f>
        <v>8170</v>
      </c>
      <c r="M21" s="15">
        <f t="shared" si="0"/>
        <v>8170</v>
      </c>
      <c r="N21" s="15">
        <v>0</v>
      </c>
      <c r="O21" s="58">
        <f t="shared" si="1"/>
        <v>0</v>
      </c>
      <c r="P21" s="39">
        <f t="shared" si="2"/>
        <v>20</v>
      </c>
      <c r="Q21" s="40">
        <f t="shared" si="3"/>
        <v>4</v>
      </c>
      <c r="R21" s="7"/>
      <c r="S21" s="6">
        <v>4</v>
      </c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0.83333333333333337</v>
      </c>
      <c r="AD21" s="10">
        <f t="shared" si="8"/>
        <v>0.83333333333333337</v>
      </c>
      <c r="AE21" s="36">
        <f t="shared" si="6"/>
        <v>0.46376811594202894</v>
      </c>
      <c r="AF21" s="81">
        <f t="shared" si="7"/>
        <v>15</v>
      </c>
    </row>
    <row r="22" spans="1:32" ht="26.25" customHeight="1">
      <c r="A22" s="92">
        <v>16</v>
      </c>
      <c r="B22" s="11" t="s">
        <v>57</v>
      </c>
      <c r="C22" s="11" t="s">
        <v>113</v>
      </c>
      <c r="D22" s="52"/>
      <c r="E22" s="53" t="s">
        <v>160</v>
      </c>
      <c r="F22" s="12" t="s">
        <v>114</v>
      </c>
      <c r="G22" s="12">
        <v>4</v>
      </c>
      <c r="H22" s="35">
        <v>20</v>
      </c>
      <c r="I22" s="7">
        <v>2000000</v>
      </c>
      <c r="J22" s="14">
        <v>54396</v>
      </c>
      <c r="K22" s="15">
        <f>L22+29876+62940+54476</f>
        <v>201688</v>
      </c>
      <c r="L22" s="15">
        <f>7940*4+5659*4</f>
        <v>54396</v>
      </c>
      <c r="M22" s="15">
        <f t="shared" si="0"/>
        <v>54396</v>
      </c>
      <c r="N22" s="15">
        <v>0</v>
      </c>
      <c r="O22" s="58">
        <f t="shared" si="1"/>
        <v>0</v>
      </c>
      <c r="P22" s="39">
        <f t="shared" si="2"/>
        <v>24</v>
      </c>
      <c r="Q22" s="40">
        <f t="shared" si="3"/>
        <v>0</v>
      </c>
      <c r="R22" s="7"/>
      <c r="S22" s="6"/>
      <c r="T22" s="16"/>
      <c r="U22" s="16"/>
      <c r="V22" s="17"/>
      <c r="W22" s="5"/>
      <c r="X22" s="16"/>
      <c r="Y22" s="16"/>
      <c r="Z22" s="16"/>
      <c r="AA22" s="18"/>
      <c r="AB22" s="8">
        <f t="shared" si="4"/>
        <v>1</v>
      </c>
      <c r="AC22" s="9">
        <f t="shared" si="5"/>
        <v>1</v>
      </c>
      <c r="AD22" s="10">
        <f t="shared" si="8"/>
        <v>1</v>
      </c>
      <c r="AE22" s="36">
        <f t="shared" si="6"/>
        <v>0.46376811594202894</v>
      </c>
      <c r="AF22" s="81">
        <f t="shared" si="7"/>
        <v>16</v>
      </c>
    </row>
    <row r="23" spans="1:32" ht="21.75" customHeight="1">
      <c r="A23" s="92">
        <v>31</v>
      </c>
      <c r="B23" s="11" t="s">
        <v>57</v>
      </c>
      <c r="C23" s="11" t="s">
        <v>191</v>
      </c>
      <c r="D23" s="52"/>
      <c r="E23" s="53" t="s">
        <v>192</v>
      </c>
      <c r="F23" s="12" t="s">
        <v>193</v>
      </c>
      <c r="G23" s="12">
        <v>30</v>
      </c>
      <c r="H23" s="35">
        <v>20</v>
      </c>
      <c r="I23" s="7">
        <v>2000000</v>
      </c>
      <c r="J23" s="14">
        <v>465060</v>
      </c>
      <c r="K23" s="15">
        <f>L23+353460+498300+465060</f>
        <v>1316820</v>
      </c>
      <c r="L23" s="15"/>
      <c r="M23" s="15">
        <f t="shared" si="0"/>
        <v>0</v>
      </c>
      <c r="N23" s="15">
        <v>0</v>
      </c>
      <c r="O23" s="58" t="str">
        <f t="shared" si="1"/>
        <v>0</v>
      </c>
      <c r="P23" s="39" t="str">
        <f t="shared" si="2"/>
        <v>0</v>
      </c>
      <c r="Q23" s="40">
        <f t="shared" si="3"/>
        <v>0</v>
      </c>
      <c r="R23" s="7"/>
      <c r="S23" s="6"/>
      <c r="T23" s="16"/>
      <c r="U23" s="16"/>
      <c r="V23" s="17"/>
      <c r="W23" s="5"/>
      <c r="X23" s="16"/>
      <c r="Y23" s="16"/>
      <c r="Z23" s="16"/>
      <c r="AA23" s="18"/>
      <c r="AB23" s="8">
        <f t="shared" si="4"/>
        <v>0</v>
      </c>
      <c r="AC23" s="9">
        <f t="shared" si="5"/>
        <v>0</v>
      </c>
      <c r="AD23" s="10">
        <f t="shared" si="8"/>
        <v>0</v>
      </c>
      <c r="AE23" s="36">
        <f t="shared" si="6"/>
        <v>0.46376811594202894</v>
      </c>
      <c r="AF23" s="81">
        <f t="shared" si="7"/>
        <v>31</v>
      </c>
    </row>
    <row r="24" spans="1:32" ht="21.75" customHeight="1">
      <c r="A24" s="92">
        <v>32</v>
      </c>
      <c r="B24" s="11" t="s">
        <v>57</v>
      </c>
      <c r="C24" s="11"/>
      <c r="D24" s="52"/>
      <c r="E24" s="53"/>
      <c r="F24" s="12"/>
      <c r="G24" s="12"/>
      <c r="H24" s="35">
        <v>20</v>
      </c>
      <c r="I24" s="7"/>
      <c r="J24" s="14">
        <v>0</v>
      </c>
      <c r="K24" s="15">
        <f t="shared" ref="K24" si="17">L24</f>
        <v>0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7"/>
      <c r="W24" s="5">
        <v>24</v>
      </c>
      <c r="X24" s="16"/>
      <c r="Y24" s="16"/>
      <c r="Z24" s="16"/>
      <c r="AA24" s="18"/>
      <c r="AB24" s="8" t="str">
        <f t="shared" si="4"/>
        <v>0</v>
      </c>
      <c r="AC24" s="9">
        <f t="shared" si="5"/>
        <v>0</v>
      </c>
      <c r="AD24" s="10">
        <f t="shared" si="8"/>
        <v>0</v>
      </c>
      <c r="AE24" s="36">
        <f t="shared" si="6"/>
        <v>0.46376811594202894</v>
      </c>
      <c r="AF24" s="81">
        <f t="shared" si="7"/>
        <v>32</v>
      </c>
    </row>
    <row r="25" spans="1:32" ht="21.75" customHeight="1">
      <c r="A25" s="92">
        <v>33</v>
      </c>
      <c r="B25" s="11" t="s">
        <v>57</v>
      </c>
      <c r="C25" s="11" t="s">
        <v>116</v>
      </c>
      <c r="D25" s="52" t="s">
        <v>147</v>
      </c>
      <c r="E25" s="53" t="s">
        <v>183</v>
      </c>
      <c r="F25" s="12" t="s">
        <v>124</v>
      </c>
      <c r="G25" s="12">
        <v>4</v>
      </c>
      <c r="H25" s="35">
        <v>20</v>
      </c>
      <c r="I25" s="7">
        <v>36000</v>
      </c>
      <c r="J25" s="14">
        <v>31996</v>
      </c>
      <c r="K25" s="15">
        <f>L25+20368+29324+31996</f>
        <v>81688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14"/>
      <c r="W25" s="5">
        <v>24</v>
      </c>
      <c r="X25" s="16"/>
      <c r="Y25" s="16"/>
      <c r="Z25" s="16"/>
      <c r="AA25" s="18"/>
      <c r="AB25" s="8">
        <f t="shared" si="4"/>
        <v>0</v>
      </c>
      <c r="AC25" s="9">
        <f t="shared" si="5"/>
        <v>0</v>
      </c>
      <c r="AD25" s="10">
        <f t="shared" si="8"/>
        <v>0</v>
      </c>
      <c r="AE25" s="36">
        <f t="shared" si="6"/>
        <v>0.46376811594202894</v>
      </c>
      <c r="AF25" s="81">
        <f t="shared" si="7"/>
        <v>33</v>
      </c>
    </row>
    <row r="26" spans="1:32" ht="21.75" customHeight="1">
      <c r="A26" s="92">
        <v>34</v>
      </c>
      <c r="B26" s="11" t="s">
        <v>57</v>
      </c>
      <c r="C26" s="11" t="s">
        <v>116</v>
      </c>
      <c r="D26" s="52" t="s">
        <v>129</v>
      </c>
      <c r="E26" s="53" t="s">
        <v>172</v>
      </c>
      <c r="F26" s="12" t="s">
        <v>125</v>
      </c>
      <c r="G26" s="12">
        <v>4</v>
      </c>
      <c r="H26" s="35">
        <v>20</v>
      </c>
      <c r="I26" s="7">
        <v>36000</v>
      </c>
      <c r="J26" s="14">
        <v>28802</v>
      </c>
      <c r="K26" s="15">
        <f>L26+13760+25860+25496+28600+28802</f>
        <v>122518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24</v>
      </c>
      <c r="R26" s="7"/>
      <c r="S26" s="6"/>
      <c r="T26" s="16"/>
      <c r="U26" s="16"/>
      <c r="V26" s="114"/>
      <c r="W26" s="5">
        <v>24</v>
      </c>
      <c r="X26" s="16"/>
      <c r="Y26" s="16"/>
      <c r="Z26" s="16"/>
      <c r="AA26" s="18"/>
      <c r="AB26" s="8">
        <f t="shared" si="4"/>
        <v>0</v>
      </c>
      <c r="AC26" s="9">
        <f t="shared" si="5"/>
        <v>0</v>
      </c>
      <c r="AD26" s="10">
        <f t="shared" si="8"/>
        <v>0</v>
      </c>
      <c r="AE26" s="36">
        <f t="shared" si="6"/>
        <v>0.46376811594202894</v>
      </c>
      <c r="AF26" s="81">
        <f t="shared" si="7"/>
        <v>34</v>
      </c>
    </row>
    <row r="27" spans="1:32" ht="21.75" customHeight="1">
      <c r="A27" s="92">
        <v>35</v>
      </c>
      <c r="B27" s="11" t="s">
        <v>57</v>
      </c>
      <c r="C27" s="11" t="s">
        <v>116</v>
      </c>
      <c r="D27" s="52" t="s">
        <v>121</v>
      </c>
      <c r="E27" s="53" t="s">
        <v>126</v>
      </c>
      <c r="F27" s="12" t="s">
        <v>125</v>
      </c>
      <c r="G27" s="12">
        <v>4</v>
      </c>
      <c r="H27" s="35">
        <v>20</v>
      </c>
      <c r="I27" s="7">
        <v>36000</v>
      </c>
      <c r="J27" s="14">
        <v>26944</v>
      </c>
      <c r="K27" s="15">
        <f>L27+24592+26944+21716</f>
        <v>73252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24</v>
      </c>
      <c r="R27" s="7"/>
      <c r="S27" s="6"/>
      <c r="T27" s="16"/>
      <c r="U27" s="16"/>
      <c r="V27" s="114"/>
      <c r="W27" s="5">
        <v>24</v>
      </c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8"/>
        <v>0</v>
      </c>
      <c r="AE27" s="36">
        <f t="shared" si="6"/>
        <v>0.46376811594202894</v>
      </c>
      <c r="AF27" s="81">
        <f t="shared" si="7"/>
        <v>35</v>
      </c>
    </row>
    <row r="28" spans="1:32" ht="21.75" customHeight="1" thickBot="1">
      <c r="A28" s="92">
        <v>36</v>
      </c>
      <c r="B28" s="11" t="s">
        <v>57</v>
      </c>
      <c r="C28" s="11" t="s">
        <v>116</v>
      </c>
      <c r="D28" s="52" t="s">
        <v>115</v>
      </c>
      <c r="E28" s="53" t="s">
        <v>174</v>
      </c>
      <c r="F28" s="12" t="s">
        <v>138</v>
      </c>
      <c r="G28" s="12">
        <v>3</v>
      </c>
      <c r="H28" s="35">
        <v>20</v>
      </c>
      <c r="I28" s="7">
        <v>36000</v>
      </c>
      <c r="J28" s="14">
        <v>9948</v>
      </c>
      <c r="K28" s="15">
        <f>L28+20295+19566+19965+9948</f>
        <v>69774</v>
      </c>
      <c r="L28" s="15"/>
      <c r="M28" s="15">
        <f t="shared" si="0"/>
        <v>0</v>
      </c>
      <c r="N28" s="15">
        <v>0</v>
      </c>
      <c r="O28" s="58" t="str">
        <f t="shared" si="1"/>
        <v>0</v>
      </c>
      <c r="P28" s="39" t="str">
        <f t="shared" si="2"/>
        <v>0</v>
      </c>
      <c r="Q28" s="40">
        <f t="shared" si="3"/>
        <v>13</v>
      </c>
      <c r="R28" s="7"/>
      <c r="S28" s="6"/>
      <c r="T28" s="16"/>
      <c r="U28" s="16"/>
      <c r="V28" s="114"/>
      <c r="W28" s="5">
        <v>13</v>
      </c>
      <c r="X28" s="16"/>
      <c r="Y28" s="16"/>
      <c r="Z28" s="16"/>
      <c r="AA28" s="18"/>
      <c r="AB28" s="8">
        <f t="shared" si="4"/>
        <v>0</v>
      </c>
      <c r="AC28" s="9">
        <f t="shared" si="5"/>
        <v>0</v>
      </c>
      <c r="AD28" s="10">
        <f t="shared" si="8"/>
        <v>0</v>
      </c>
      <c r="AE28" s="36">
        <f t="shared" si="6"/>
        <v>0.46376811594202894</v>
      </c>
      <c r="AF28" s="81">
        <f t="shared" si="7"/>
        <v>36</v>
      </c>
    </row>
    <row r="29" spans="1:32" ht="19.5" thickBot="1">
      <c r="A29" s="435" t="s">
        <v>34</v>
      </c>
      <c r="B29" s="436"/>
      <c r="C29" s="436"/>
      <c r="D29" s="436"/>
      <c r="E29" s="436"/>
      <c r="F29" s="436"/>
      <c r="G29" s="436"/>
      <c r="H29" s="437"/>
      <c r="I29" s="22">
        <f t="shared" ref="I29:N29" si="18">SUM(I6:I28)</f>
        <v>4996300</v>
      </c>
      <c r="J29" s="19">
        <f t="shared" si="18"/>
        <v>702728</v>
      </c>
      <c r="K29" s="20">
        <f t="shared" si="18"/>
        <v>2364076</v>
      </c>
      <c r="L29" s="21">
        <f t="shared" si="18"/>
        <v>134578</v>
      </c>
      <c r="M29" s="20">
        <f t="shared" si="18"/>
        <v>134578</v>
      </c>
      <c r="N29" s="21">
        <f t="shared" si="18"/>
        <v>0</v>
      </c>
      <c r="O29" s="41">
        <f t="shared" si="1"/>
        <v>0</v>
      </c>
      <c r="P29" s="42">
        <f t="shared" ref="P29:AA29" si="19">SUM(P6:P28)</f>
        <v>256</v>
      </c>
      <c r="Q29" s="43">
        <f t="shared" si="19"/>
        <v>261</v>
      </c>
      <c r="R29" s="23">
        <f t="shared" si="19"/>
        <v>0</v>
      </c>
      <c r="S29" s="24">
        <f t="shared" si="19"/>
        <v>44</v>
      </c>
      <c r="T29" s="24">
        <f t="shared" si="19"/>
        <v>14</v>
      </c>
      <c r="U29" s="24">
        <f t="shared" si="19"/>
        <v>0</v>
      </c>
      <c r="V29" s="25">
        <f t="shared" si="19"/>
        <v>0</v>
      </c>
      <c r="W29" s="26">
        <f t="shared" si="19"/>
        <v>203</v>
      </c>
      <c r="X29" s="27">
        <f t="shared" si="19"/>
        <v>0</v>
      </c>
      <c r="Y29" s="27">
        <f t="shared" si="19"/>
        <v>0</v>
      </c>
      <c r="Z29" s="27">
        <f t="shared" si="19"/>
        <v>0</v>
      </c>
      <c r="AA29" s="27">
        <f t="shared" si="19"/>
        <v>0</v>
      </c>
      <c r="AB29" s="28">
        <f>AVERAGE(AB6:AB28)</f>
        <v>0.63636363636363635</v>
      </c>
      <c r="AC29" s="4">
        <f>AVERAGE(AC6:AC28)</f>
        <v>0.46376811594202894</v>
      </c>
      <c r="AD29" s="4">
        <f>AVERAGE(AD6:AD28)</f>
        <v>0.46376811594202894</v>
      </c>
      <c r="AE29" s="29"/>
    </row>
    <row r="30" spans="1:32">
      <c r="T30" s="50" t="s">
        <v>130</v>
      </c>
    </row>
    <row r="31" spans="1:32" ht="18.75">
      <c r="A31" s="2"/>
      <c r="B31" s="2" t="s">
        <v>35</v>
      </c>
      <c r="C31" s="2"/>
      <c r="D31" s="2"/>
      <c r="E31" s="2"/>
      <c r="F31" s="2"/>
      <c r="G31" s="2"/>
      <c r="H31" s="3"/>
      <c r="I31" s="3"/>
      <c r="J31" s="2"/>
      <c r="K31" s="2"/>
      <c r="L31" s="2"/>
      <c r="M31" s="2"/>
      <c r="N31" s="2" t="s">
        <v>36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1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 t="s">
        <v>131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F40" s="82"/>
    </row>
    <row r="41" spans="1:32" ht="14.2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F41" s="50"/>
    </row>
    <row r="42" spans="1:32" ht="14.2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50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14.2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F45" s="50"/>
    </row>
    <row r="46" spans="1:32" ht="27">
      <c r="A46" s="59"/>
      <c r="B46" s="59"/>
      <c r="C46" s="59"/>
      <c r="D46" s="59"/>
      <c r="E46" s="59"/>
      <c r="F46" s="37"/>
      <c r="G46" s="37"/>
      <c r="H46" s="38"/>
      <c r="I46" s="38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F46" s="50"/>
    </row>
    <row r="47" spans="1:32" ht="29.25" customHeight="1">
      <c r="A47" s="60"/>
      <c r="B47" s="60"/>
      <c r="C47" s="61"/>
      <c r="D47" s="61"/>
      <c r="E47" s="61"/>
      <c r="F47" s="60"/>
      <c r="G47" s="60"/>
      <c r="H47" s="60"/>
      <c r="I47" s="60"/>
      <c r="J47" s="60"/>
      <c r="K47" s="60"/>
      <c r="L47" s="60"/>
      <c r="M47" s="61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29.25" customHeight="1">
      <c r="A49" s="60"/>
      <c r="B49" s="60"/>
      <c r="C49" s="62"/>
      <c r="D49" s="61"/>
      <c r="E49" s="61"/>
      <c r="F49" s="60"/>
      <c r="G49" s="60"/>
      <c r="H49" s="60"/>
      <c r="I49" s="60"/>
      <c r="J49" s="60"/>
      <c r="K49" s="60"/>
      <c r="L49" s="60"/>
      <c r="M49" s="62"/>
      <c r="N49" s="60"/>
      <c r="O49" s="60"/>
      <c r="P49" s="63"/>
      <c r="Q49" s="63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29.25" customHeight="1">
      <c r="A54" s="60"/>
      <c r="B54" s="60"/>
      <c r="C54" s="62"/>
      <c r="D54" s="61"/>
      <c r="E54" s="61"/>
      <c r="F54" s="60"/>
      <c r="G54" s="60"/>
      <c r="H54" s="60"/>
      <c r="I54" s="60"/>
      <c r="J54" s="60"/>
      <c r="K54" s="60"/>
      <c r="L54" s="60"/>
      <c r="M54" s="62"/>
      <c r="N54" s="60"/>
      <c r="O54" s="60"/>
      <c r="P54" s="63"/>
      <c r="Q54" s="63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0"/>
      <c r="AC54" s="60"/>
      <c r="AD54" s="60"/>
      <c r="AF54" s="50"/>
    </row>
    <row r="55" spans="1:32" ht="14.25" customHeight="1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F55" s="50"/>
    </row>
    <row r="56" spans="1:32" ht="36" thickBot="1">
      <c r="A56" s="438" t="s">
        <v>45</v>
      </c>
      <c r="B56" s="438"/>
      <c r="C56" s="438"/>
      <c r="D56" s="438"/>
      <c r="E56" s="438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F56" s="50"/>
    </row>
    <row r="57" spans="1:32" ht="26.25" thickBot="1">
      <c r="A57" s="439" t="s">
        <v>307</v>
      </c>
      <c r="B57" s="440"/>
      <c r="C57" s="440"/>
      <c r="D57" s="440"/>
      <c r="E57" s="440"/>
      <c r="F57" s="440"/>
      <c r="G57" s="440"/>
      <c r="H57" s="440"/>
      <c r="I57" s="440"/>
      <c r="J57" s="440"/>
      <c r="K57" s="440"/>
      <c r="L57" s="440"/>
      <c r="M57" s="441"/>
      <c r="N57" s="442" t="s">
        <v>310</v>
      </c>
      <c r="O57" s="443"/>
      <c r="P57" s="443"/>
      <c r="Q57" s="443"/>
      <c r="R57" s="443"/>
      <c r="S57" s="443"/>
      <c r="T57" s="443"/>
      <c r="U57" s="443"/>
      <c r="V57" s="443"/>
      <c r="W57" s="443"/>
      <c r="X57" s="443"/>
      <c r="Y57" s="443"/>
      <c r="Z57" s="443"/>
      <c r="AA57" s="443"/>
      <c r="AB57" s="443"/>
      <c r="AC57" s="443"/>
      <c r="AD57" s="444"/>
    </row>
    <row r="58" spans="1:32" ht="27" customHeight="1">
      <c r="A58" s="445" t="s">
        <v>2</v>
      </c>
      <c r="B58" s="446"/>
      <c r="C58" s="160" t="s">
        <v>46</v>
      </c>
      <c r="D58" s="160" t="s">
        <v>47</v>
      </c>
      <c r="E58" s="160" t="s">
        <v>107</v>
      </c>
      <c r="F58" s="447" t="s">
        <v>106</v>
      </c>
      <c r="G58" s="448"/>
      <c r="H58" s="448"/>
      <c r="I58" s="448"/>
      <c r="J58" s="448"/>
      <c r="K58" s="448"/>
      <c r="L58" s="448"/>
      <c r="M58" s="449"/>
      <c r="N58" s="67" t="s">
        <v>110</v>
      </c>
      <c r="O58" s="160" t="s">
        <v>46</v>
      </c>
      <c r="P58" s="447" t="s">
        <v>47</v>
      </c>
      <c r="Q58" s="450"/>
      <c r="R58" s="447" t="s">
        <v>38</v>
      </c>
      <c r="S58" s="448"/>
      <c r="T58" s="448"/>
      <c r="U58" s="450"/>
      <c r="V58" s="447" t="s">
        <v>48</v>
      </c>
      <c r="W58" s="448"/>
      <c r="X58" s="448"/>
      <c r="Y58" s="448"/>
      <c r="Z58" s="448"/>
      <c r="AA58" s="448"/>
      <c r="AB58" s="448"/>
      <c r="AC58" s="448"/>
      <c r="AD58" s="449"/>
    </row>
    <row r="59" spans="1:32" ht="27" customHeight="1">
      <c r="A59" s="429" t="s">
        <v>127</v>
      </c>
      <c r="B59" s="420"/>
      <c r="C59" s="162" t="s">
        <v>152</v>
      </c>
      <c r="D59" s="162"/>
      <c r="E59" s="162" t="s">
        <v>262</v>
      </c>
      <c r="F59" s="417" t="s">
        <v>122</v>
      </c>
      <c r="G59" s="418"/>
      <c r="H59" s="418"/>
      <c r="I59" s="418"/>
      <c r="J59" s="418"/>
      <c r="K59" s="418"/>
      <c r="L59" s="418"/>
      <c r="M59" s="419"/>
      <c r="N59" s="161" t="s">
        <v>127</v>
      </c>
      <c r="O59" s="168" t="s">
        <v>143</v>
      </c>
      <c r="P59" s="430" t="s">
        <v>129</v>
      </c>
      <c r="Q59" s="431"/>
      <c r="R59" s="430" t="s">
        <v>311</v>
      </c>
      <c r="S59" s="432"/>
      <c r="T59" s="432"/>
      <c r="U59" s="431"/>
      <c r="V59" s="417" t="s">
        <v>122</v>
      </c>
      <c r="W59" s="418"/>
      <c r="X59" s="418"/>
      <c r="Y59" s="418"/>
      <c r="Z59" s="418"/>
      <c r="AA59" s="418"/>
      <c r="AB59" s="418"/>
      <c r="AC59" s="418"/>
      <c r="AD59" s="419"/>
    </row>
    <row r="60" spans="1:32" ht="27" customHeight="1">
      <c r="A60" s="429" t="s">
        <v>127</v>
      </c>
      <c r="B60" s="420"/>
      <c r="C60" s="162" t="s">
        <v>152</v>
      </c>
      <c r="D60" s="162"/>
      <c r="E60" s="162" t="s">
        <v>308</v>
      </c>
      <c r="F60" s="417" t="s">
        <v>309</v>
      </c>
      <c r="G60" s="418"/>
      <c r="H60" s="418"/>
      <c r="I60" s="418"/>
      <c r="J60" s="418"/>
      <c r="K60" s="418"/>
      <c r="L60" s="418"/>
      <c r="M60" s="419"/>
      <c r="N60" s="161" t="s">
        <v>116</v>
      </c>
      <c r="O60" s="168" t="s">
        <v>240</v>
      </c>
      <c r="P60" s="430" t="s">
        <v>129</v>
      </c>
      <c r="Q60" s="431"/>
      <c r="R60" s="430" t="s">
        <v>178</v>
      </c>
      <c r="S60" s="432"/>
      <c r="T60" s="432"/>
      <c r="U60" s="431"/>
      <c r="V60" s="417" t="s">
        <v>153</v>
      </c>
      <c r="W60" s="418"/>
      <c r="X60" s="418"/>
      <c r="Y60" s="418"/>
      <c r="Z60" s="418"/>
      <c r="AA60" s="418"/>
      <c r="AB60" s="418"/>
      <c r="AC60" s="418"/>
      <c r="AD60" s="419"/>
    </row>
    <row r="61" spans="1:32" ht="27" customHeight="1">
      <c r="A61" s="429" t="s">
        <v>127</v>
      </c>
      <c r="B61" s="420"/>
      <c r="C61" s="162" t="s">
        <v>204</v>
      </c>
      <c r="D61" s="162" t="s">
        <v>129</v>
      </c>
      <c r="E61" s="162" t="s">
        <v>306</v>
      </c>
      <c r="F61" s="417" t="s">
        <v>153</v>
      </c>
      <c r="G61" s="418"/>
      <c r="H61" s="418"/>
      <c r="I61" s="418"/>
      <c r="J61" s="418"/>
      <c r="K61" s="418"/>
      <c r="L61" s="418"/>
      <c r="M61" s="419"/>
      <c r="N61" s="161" t="s">
        <v>116</v>
      </c>
      <c r="O61" s="168" t="s">
        <v>154</v>
      </c>
      <c r="P61" s="430" t="s">
        <v>284</v>
      </c>
      <c r="Q61" s="431"/>
      <c r="R61" s="430" t="s">
        <v>312</v>
      </c>
      <c r="S61" s="432"/>
      <c r="T61" s="432"/>
      <c r="U61" s="431"/>
      <c r="V61" s="417" t="s">
        <v>122</v>
      </c>
      <c r="W61" s="418"/>
      <c r="X61" s="418"/>
      <c r="Y61" s="418"/>
      <c r="Z61" s="418"/>
      <c r="AA61" s="418"/>
      <c r="AB61" s="418"/>
      <c r="AC61" s="418"/>
      <c r="AD61" s="419"/>
    </row>
    <row r="62" spans="1:32" ht="27" customHeight="1">
      <c r="A62" s="429" t="s">
        <v>161</v>
      </c>
      <c r="B62" s="420"/>
      <c r="C62" s="162" t="s">
        <v>151</v>
      </c>
      <c r="D62" s="162"/>
      <c r="E62" s="162" t="s">
        <v>299</v>
      </c>
      <c r="F62" s="417" t="s">
        <v>122</v>
      </c>
      <c r="G62" s="418"/>
      <c r="H62" s="418"/>
      <c r="I62" s="418"/>
      <c r="J62" s="418"/>
      <c r="K62" s="418"/>
      <c r="L62" s="418"/>
      <c r="M62" s="419"/>
      <c r="N62" s="161" t="s">
        <v>127</v>
      </c>
      <c r="O62" s="168" t="s">
        <v>159</v>
      </c>
      <c r="P62" s="430"/>
      <c r="Q62" s="431"/>
      <c r="R62" s="430" t="s">
        <v>313</v>
      </c>
      <c r="S62" s="432"/>
      <c r="T62" s="432"/>
      <c r="U62" s="431"/>
      <c r="V62" s="417" t="s">
        <v>122</v>
      </c>
      <c r="W62" s="418"/>
      <c r="X62" s="418"/>
      <c r="Y62" s="418"/>
      <c r="Z62" s="418"/>
      <c r="AA62" s="418"/>
      <c r="AB62" s="418"/>
      <c r="AC62" s="418"/>
      <c r="AD62" s="419"/>
    </row>
    <row r="63" spans="1:32" ht="27" customHeight="1">
      <c r="A63" s="429"/>
      <c r="B63" s="420"/>
      <c r="C63" s="162"/>
      <c r="D63" s="162"/>
      <c r="E63" s="162"/>
      <c r="F63" s="417"/>
      <c r="G63" s="418"/>
      <c r="H63" s="418"/>
      <c r="I63" s="418"/>
      <c r="J63" s="418"/>
      <c r="K63" s="418"/>
      <c r="L63" s="418"/>
      <c r="M63" s="419"/>
      <c r="N63" s="161" t="s">
        <v>127</v>
      </c>
      <c r="O63" s="168" t="s">
        <v>187</v>
      </c>
      <c r="P63" s="430" t="s">
        <v>284</v>
      </c>
      <c r="Q63" s="431"/>
      <c r="R63" s="430" t="s">
        <v>314</v>
      </c>
      <c r="S63" s="432"/>
      <c r="T63" s="432"/>
      <c r="U63" s="431"/>
      <c r="V63" s="417" t="s">
        <v>122</v>
      </c>
      <c r="W63" s="418"/>
      <c r="X63" s="418"/>
      <c r="Y63" s="418"/>
      <c r="Z63" s="418"/>
      <c r="AA63" s="418"/>
      <c r="AB63" s="418"/>
      <c r="AC63" s="418"/>
      <c r="AD63" s="419"/>
    </row>
    <row r="64" spans="1:32" ht="27" customHeight="1">
      <c r="A64" s="429"/>
      <c r="B64" s="420"/>
      <c r="C64" s="162"/>
      <c r="D64" s="162"/>
      <c r="E64" s="162"/>
      <c r="F64" s="417"/>
      <c r="G64" s="418"/>
      <c r="H64" s="418"/>
      <c r="I64" s="418"/>
      <c r="J64" s="418"/>
      <c r="K64" s="418"/>
      <c r="L64" s="418"/>
      <c r="M64" s="419"/>
      <c r="N64" s="161" t="s">
        <v>112</v>
      </c>
      <c r="O64" s="168" t="s">
        <v>204</v>
      </c>
      <c r="P64" s="430" t="s">
        <v>140</v>
      </c>
      <c r="Q64" s="431"/>
      <c r="R64" s="430" t="s">
        <v>315</v>
      </c>
      <c r="S64" s="432"/>
      <c r="T64" s="432"/>
      <c r="U64" s="431"/>
      <c r="V64" s="417" t="s">
        <v>122</v>
      </c>
      <c r="W64" s="418"/>
      <c r="X64" s="418"/>
      <c r="Y64" s="418"/>
      <c r="Z64" s="418"/>
      <c r="AA64" s="418"/>
      <c r="AB64" s="418"/>
      <c r="AC64" s="418"/>
      <c r="AD64" s="419"/>
    </row>
    <row r="65" spans="1:32" ht="27" customHeight="1">
      <c r="A65" s="429"/>
      <c r="B65" s="420"/>
      <c r="C65" s="162"/>
      <c r="D65" s="162"/>
      <c r="E65" s="162"/>
      <c r="F65" s="417"/>
      <c r="G65" s="418"/>
      <c r="H65" s="418"/>
      <c r="I65" s="418"/>
      <c r="J65" s="418"/>
      <c r="K65" s="418"/>
      <c r="L65" s="418"/>
      <c r="M65" s="419"/>
      <c r="N65" s="161" t="s">
        <v>112</v>
      </c>
      <c r="O65" s="168" t="s">
        <v>316</v>
      </c>
      <c r="P65" s="430" t="s">
        <v>115</v>
      </c>
      <c r="Q65" s="431"/>
      <c r="R65" s="430" t="s">
        <v>148</v>
      </c>
      <c r="S65" s="432"/>
      <c r="T65" s="432"/>
      <c r="U65" s="431"/>
      <c r="V65" s="417" t="s">
        <v>153</v>
      </c>
      <c r="W65" s="418"/>
      <c r="X65" s="418"/>
      <c r="Y65" s="418"/>
      <c r="Z65" s="418"/>
      <c r="AA65" s="418"/>
      <c r="AB65" s="418"/>
      <c r="AC65" s="418"/>
      <c r="AD65" s="419"/>
    </row>
    <row r="66" spans="1:32" ht="27" customHeight="1">
      <c r="A66" s="415"/>
      <c r="B66" s="416"/>
      <c r="C66" s="165"/>
      <c r="D66" s="165"/>
      <c r="E66" s="162"/>
      <c r="F66" s="417"/>
      <c r="G66" s="418"/>
      <c r="H66" s="418"/>
      <c r="I66" s="418"/>
      <c r="J66" s="418"/>
      <c r="K66" s="418"/>
      <c r="L66" s="418"/>
      <c r="M66" s="419"/>
      <c r="N66" s="161"/>
      <c r="O66" s="168"/>
      <c r="P66" s="430"/>
      <c r="Q66" s="431"/>
      <c r="R66" s="430"/>
      <c r="S66" s="432"/>
      <c r="T66" s="432"/>
      <c r="U66" s="431"/>
      <c r="V66" s="417"/>
      <c r="W66" s="418"/>
      <c r="X66" s="418"/>
      <c r="Y66" s="418"/>
      <c r="Z66" s="418"/>
      <c r="AA66" s="418"/>
      <c r="AB66" s="418"/>
      <c r="AC66" s="418"/>
      <c r="AD66" s="419"/>
    </row>
    <row r="67" spans="1:32" ht="27" customHeight="1">
      <c r="A67" s="415"/>
      <c r="B67" s="416"/>
      <c r="C67" s="165"/>
      <c r="D67" s="165"/>
      <c r="E67" s="162"/>
      <c r="F67" s="417"/>
      <c r="G67" s="418"/>
      <c r="H67" s="418"/>
      <c r="I67" s="418"/>
      <c r="J67" s="418"/>
      <c r="K67" s="418"/>
      <c r="L67" s="418"/>
      <c r="M67" s="419"/>
      <c r="N67" s="161"/>
      <c r="O67" s="168"/>
      <c r="P67" s="420"/>
      <c r="Q67" s="420"/>
      <c r="R67" s="420"/>
      <c r="S67" s="420"/>
      <c r="T67" s="420"/>
      <c r="U67" s="420"/>
      <c r="V67" s="417"/>
      <c r="W67" s="418"/>
      <c r="X67" s="418"/>
      <c r="Y67" s="418"/>
      <c r="Z67" s="418"/>
      <c r="AA67" s="418"/>
      <c r="AB67" s="418"/>
      <c r="AC67" s="418"/>
      <c r="AD67" s="419"/>
      <c r="AF67" s="81">
        <f>8*3000</f>
        <v>24000</v>
      </c>
    </row>
    <row r="68" spans="1:32" ht="27" customHeight="1" thickBot="1">
      <c r="A68" s="421"/>
      <c r="B68" s="422"/>
      <c r="C68" s="163"/>
      <c r="D68" s="164"/>
      <c r="E68" s="163"/>
      <c r="F68" s="423"/>
      <c r="G68" s="424"/>
      <c r="H68" s="424"/>
      <c r="I68" s="424"/>
      <c r="J68" s="424"/>
      <c r="K68" s="424"/>
      <c r="L68" s="424"/>
      <c r="M68" s="425"/>
      <c r="N68" s="105"/>
      <c r="O68" s="97"/>
      <c r="P68" s="426"/>
      <c r="Q68" s="426"/>
      <c r="R68" s="426"/>
      <c r="S68" s="426"/>
      <c r="T68" s="426"/>
      <c r="U68" s="426"/>
      <c r="V68" s="427"/>
      <c r="W68" s="427"/>
      <c r="X68" s="427"/>
      <c r="Y68" s="427"/>
      <c r="Z68" s="427"/>
      <c r="AA68" s="427"/>
      <c r="AB68" s="427"/>
      <c r="AC68" s="427"/>
      <c r="AD68" s="428"/>
      <c r="AF68" s="81">
        <f>16*3000</f>
        <v>48000</v>
      </c>
    </row>
    <row r="69" spans="1:32" ht="27.75" thickBot="1">
      <c r="A69" s="413" t="s">
        <v>317</v>
      </c>
      <c r="B69" s="413"/>
      <c r="C69" s="413"/>
      <c r="D69" s="413"/>
      <c r="E69" s="413"/>
      <c r="F69" s="37"/>
      <c r="G69" s="37"/>
      <c r="H69" s="38"/>
      <c r="I69" s="38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F69" s="81">
        <v>24000</v>
      </c>
    </row>
    <row r="70" spans="1:32" ht="29.25" customHeight="1" thickBot="1">
      <c r="A70" s="414" t="s">
        <v>111</v>
      </c>
      <c r="B70" s="411"/>
      <c r="C70" s="166" t="s">
        <v>2</v>
      </c>
      <c r="D70" s="166" t="s">
        <v>37</v>
      </c>
      <c r="E70" s="166" t="s">
        <v>3</v>
      </c>
      <c r="F70" s="411" t="s">
        <v>109</v>
      </c>
      <c r="G70" s="411"/>
      <c r="H70" s="411"/>
      <c r="I70" s="411"/>
      <c r="J70" s="411"/>
      <c r="K70" s="411" t="s">
        <v>39</v>
      </c>
      <c r="L70" s="411"/>
      <c r="M70" s="166" t="s">
        <v>40</v>
      </c>
      <c r="N70" s="411" t="s">
        <v>41</v>
      </c>
      <c r="O70" s="411"/>
      <c r="P70" s="408" t="s">
        <v>42</v>
      </c>
      <c r="Q70" s="410"/>
      <c r="R70" s="408" t="s">
        <v>43</v>
      </c>
      <c r="S70" s="409"/>
      <c r="T70" s="409"/>
      <c r="U70" s="409"/>
      <c r="V70" s="409"/>
      <c r="W70" s="409"/>
      <c r="X70" s="409"/>
      <c r="Y70" s="409"/>
      <c r="Z70" s="409"/>
      <c r="AA70" s="410"/>
      <c r="AB70" s="411" t="s">
        <v>44</v>
      </c>
      <c r="AC70" s="411"/>
      <c r="AD70" s="412"/>
      <c r="AF70" s="81">
        <f>SUM(AF67:AF69)</f>
        <v>96000</v>
      </c>
    </row>
    <row r="71" spans="1:32" ht="25.5" customHeight="1">
      <c r="A71" s="399">
        <v>1</v>
      </c>
      <c r="B71" s="400"/>
      <c r="C71" s="98"/>
      <c r="D71" s="170"/>
      <c r="E71" s="167"/>
      <c r="F71" s="401"/>
      <c r="G71" s="391"/>
      <c r="H71" s="391"/>
      <c r="I71" s="391"/>
      <c r="J71" s="391"/>
      <c r="K71" s="391"/>
      <c r="L71" s="391"/>
      <c r="M71" s="51"/>
      <c r="N71" s="402"/>
      <c r="O71" s="402"/>
      <c r="P71" s="403"/>
      <c r="Q71" s="403"/>
      <c r="R71" s="404"/>
      <c r="S71" s="404"/>
      <c r="T71" s="404"/>
      <c r="U71" s="404"/>
      <c r="V71" s="404"/>
      <c r="W71" s="404"/>
      <c r="X71" s="404"/>
      <c r="Y71" s="404"/>
      <c r="Z71" s="404"/>
      <c r="AA71" s="404"/>
      <c r="AB71" s="391"/>
      <c r="AC71" s="391"/>
      <c r="AD71" s="392"/>
      <c r="AF71" s="50"/>
    </row>
    <row r="72" spans="1:32" ht="25.5" customHeight="1">
      <c r="A72" s="399">
        <v>2</v>
      </c>
      <c r="B72" s="400"/>
      <c r="C72" s="98"/>
      <c r="D72" s="170"/>
      <c r="E72" s="167"/>
      <c r="F72" s="401"/>
      <c r="G72" s="391"/>
      <c r="H72" s="391"/>
      <c r="I72" s="391"/>
      <c r="J72" s="391"/>
      <c r="K72" s="391"/>
      <c r="L72" s="391"/>
      <c r="M72" s="51"/>
      <c r="N72" s="402"/>
      <c r="O72" s="402"/>
      <c r="P72" s="403"/>
      <c r="Q72" s="403"/>
      <c r="R72" s="404"/>
      <c r="S72" s="404"/>
      <c r="T72" s="404"/>
      <c r="U72" s="404"/>
      <c r="V72" s="404"/>
      <c r="W72" s="404"/>
      <c r="X72" s="404"/>
      <c r="Y72" s="404"/>
      <c r="Z72" s="404"/>
      <c r="AA72" s="404"/>
      <c r="AB72" s="391"/>
      <c r="AC72" s="391"/>
      <c r="AD72" s="392"/>
      <c r="AF72" s="50"/>
    </row>
    <row r="73" spans="1:32" ht="25.5" customHeight="1">
      <c r="A73" s="399">
        <v>3</v>
      </c>
      <c r="B73" s="400"/>
      <c r="C73" s="98"/>
      <c r="D73" s="170"/>
      <c r="E73" s="167"/>
      <c r="F73" s="401"/>
      <c r="G73" s="391"/>
      <c r="H73" s="391"/>
      <c r="I73" s="391"/>
      <c r="J73" s="391"/>
      <c r="K73" s="391"/>
      <c r="L73" s="391"/>
      <c r="M73" s="51"/>
      <c r="N73" s="402"/>
      <c r="O73" s="402"/>
      <c r="P73" s="403"/>
      <c r="Q73" s="403"/>
      <c r="R73" s="404"/>
      <c r="S73" s="404"/>
      <c r="T73" s="404"/>
      <c r="U73" s="404"/>
      <c r="V73" s="404"/>
      <c r="W73" s="404"/>
      <c r="X73" s="404"/>
      <c r="Y73" s="404"/>
      <c r="Z73" s="404"/>
      <c r="AA73" s="404"/>
      <c r="AB73" s="391"/>
      <c r="AC73" s="391"/>
      <c r="AD73" s="392"/>
      <c r="AF73" s="50"/>
    </row>
    <row r="74" spans="1:32" ht="25.5" customHeight="1">
      <c r="A74" s="399">
        <v>4</v>
      </c>
      <c r="B74" s="400"/>
      <c r="C74" s="98"/>
      <c r="D74" s="170"/>
      <c r="E74" s="167"/>
      <c r="F74" s="405"/>
      <c r="G74" s="406"/>
      <c r="H74" s="406"/>
      <c r="I74" s="406"/>
      <c r="J74" s="407"/>
      <c r="K74" s="391"/>
      <c r="L74" s="391"/>
      <c r="M74" s="51"/>
      <c r="N74" s="402"/>
      <c r="O74" s="402"/>
      <c r="P74" s="403"/>
      <c r="Q74" s="403"/>
      <c r="R74" s="404"/>
      <c r="S74" s="404"/>
      <c r="T74" s="404"/>
      <c r="U74" s="404"/>
      <c r="V74" s="404"/>
      <c r="W74" s="404"/>
      <c r="X74" s="404"/>
      <c r="Y74" s="404"/>
      <c r="Z74" s="404"/>
      <c r="AA74" s="404"/>
      <c r="AB74" s="391"/>
      <c r="AC74" s="391"/>
      <c r="AD74" s="392"/>
      <c r="AF74" s="50"/>
    </row>
    <row r="75" spans="1:32" ht="25.5" customHeight="1">
      <c r="A75" s="399">
        <v>5</v>
      </c>
      <c r="B75" s="400"/>
      <c r="C75" s="98"/>
      <c r="D75" s="170"/>
      <c r="E75" s="167"/>
      <c r="F75" s="405"/>
      <c r="G75" s="406"/>
      <c r="H75" s="406"/>
      <c r="I75" s="406"/>
      <c r="J75" s="407"/>
      <c r="K75" s="391"/>
      <c r="L75" s="391"/>
      <c r="M75" s="51"/>
      <c r="N75" s="402"/>
      <c r="O75" s="402"/>
      <c r="P75" s="403"/>
      <c r="Q75" s="403"/>
      <c r="R75" s="404"/>
      <c r="S75" s="404"/>
      <c r="T75" s="404"/>
      <c r="U75" s="404"/>
      <c r="V75" s="404"/>
      <c r="W75" s="404"/>
      <c r="X75" s="404"/>
      <c r="Y75" s="404"/>
      <c r="Z75" s="404"/>
      <c r="AA75" s="404"/>
      <c r="AB75" s="391"/>
      <c r="AC75" s="391"/>
      <c r="AD75" s="392"/>
      <c r="AF75" s="50"/>
    </row>
    <row r="76" spans="1:32" ht="25.5" customHeight="1">
      <c r="A76" s="399">
        <v>6</v>
      </c>
      <c r="B76" s="400"/>
      <c r="C76" s="98"/>
      <c r="D76" s="170"/>
      <c r="E76" s="167"/>
      <c r="F76" s="405"/>
      <c r="G76" s="406"/>
      <c r="H76" s="406"/>
      <c r="I76" s="406"/>
      <c r="J76" s="407"/>
      <c r="K76" s="391"/>
      <c r="L76" s="391"/>
      <c r="M76" s="51"/>
      <c r="N76" s="402"/>
      <c r="O76" s="402"/>
      <c r="P76" s="403"/>
      <c r="Q76" s="403"/>
      <c r="R76" s="404"/>
      <c r="S76" s="404"/>
      <c r="T76" s="404"/>
      <c r="U76" s="404"/>
      <c r="V76" s="404"/>
      <c r="W76" s="404"/>
      <c r="X76" s="404"/>
      <c r="Y76" s="404"/>
      <c r="Z76" s="404"/>
      <c r="AA76" s="404"/>
      <c r="AB76" s="391"/>
      <c r="AC76" s="391"/>
      <c r="AD76" s="392"/>
      <c r="AF76" s="50"/>
    </row>
    <row r="77" spans="1:32" ht="25.5" customHeight="1">
      <c r="A77" s="399">
        <v>7</v>
      </c>
      <c r="B77" s="400"/>
      <c r="C77" s="98"/>
      <c r="D77" s="170"/>
      <c r="E77" s="167"/>
      <c r="F77" s="405"/>
      <c r="G77" s="406"/>
      <c r="H77" s="406"/>
      <c r="I77" s="406"/>
      <c r="J77" s="407"/>
      <c r="K77" s="391"/>
      <c r="L77" s="391"/>
      <c r="M77" s="51"/>
      <c r="N77" s="402"/>
      <c r="O77" s="402"/>
      <c r="P77" s="403"/>
      <c r="Q77" s="403"/>
      <c r="R77" s="404"/>
      <c r="S77" s="404"/>
      <c r="T77" s="404"/>
      <c r="U77" s="404"/>
      <c r="V77" s="404"/>
      <c r="W77" s="404"/>
      <c r="X77" s="404"/>
      <c r="Y77" s="404"/>
      <c r="Z77" s="404"/>
      <c r="AA77" s="404"/>
      <c r="AB77" s="391"/>
      <c r="AC77" s="391"/>
      <c r="AD77" s="392"/>
      <c r="AF77" s="50"/>
    </row>
    <row r="78" spans="1:32" ht="25.5" customHeight="1">
      <c r="A78" s="399">
        <v>8</v>
      </c>
      <c r="B78" s="400"/>
      <c r="C78" s="98"/>
      <c r="D78" s="170"/>
      <c r="E78" s="167"/>
      <c r="F78" s="401"/>
      <c r="G78" s="391"/>
      <c r="H78" s="391"/>
      <c r="I78" s="391"/>
      <c r="J78" s="391"/>
      <c r="K78" s="391"/>
      <c r="L78" s="391"/>
      <c r="M78" s="51"/>
      <c r="N78" s="402"/>
      <c r="O78" s="402"/>
      <c r="P78" s="403"/>
      <c r="Q78" s="403"/>
      <c r="R78" s="404"/>
      <c r="S78" s="404"/>
      <c r="T78" s="404"/>
      <c r="U78" s="404"/>
      <c r="V78" s="404"/>
      <c r="W78" s="404"/>
      <c r="X78" s="404"/>
      <c r="Y78" s="404"/>
      <c r="Z78" s="404"/>
      <c r="AA78" s="404"/>
      <c r="AB78" s="391"/>
      <c r="AC78" s="391"/>
      <c r="AD78" s="392"/>
      <c r="AF78" s="50"/>
    </row>
    <row r="79" spans="1:32" ht="25.5" customHeight="1">
      <c r="A79" s="399">
        <v>9</v>
      </c>
      <c r="B79" s="400"/>
      <c r="C79" s="98"/>
      <c r="D79" s="170"/>
      <c r="E79" s="167"/>
      <c r="F79" s="401"/>
      <c r="G79" s="391"/>
      <c r="H79" s="391"/>
      <c r="I79" s="391"/>
      <c r="J79" s="391"/>
      <c r="K79" s="391"/>
      <c r="L79" s="391"/>
      <c r="M79" s="51"/>
      <c r="N79" s="402"/>
      <c r="O79" s="402"/>
      <c r="P79" s="403"/>
      <c r="Q79" s="403"/>
      <c r="R79" s="404"/>
      <c r="S79" s="404"/>
      <c r="T79" s="404"/>
      <c r="U79" s="404"/>
      <c r="V79" s="404"/>
      <c r="W79" s="404"/>
      <c r="X79" s="404"/>
      <c r="Y79" s="404"/>
      <c r="Z79" s="404"/>
      <c r="AA79" s="404"/>
      <c r="AB79" s="391"/>
      <c r="AC79" s="391"/>
      <c r="AD79" s="392"/>
      <c r="AF79" s="50"/>
    </row>
    <row r="80" spans="1:32" ht="25.5" customHeight="1">
      <c r="A80" s="399">
        <v>10</v>
      </c>
      <c r="B80" s="400"/>
      <c r="C80" s="98"/>
      <c r="D80" s="170"/>
      <c r="E80" s="167"/>
      <c r="F80" s="401"/>
      <c r="G80" s="391"/>
      <c r="H80" s="391"/>
      <c r="I80" s="391"/>
      <c r="J80" s="391"/>
      <c r="K80" s="391"/>
      <c r="L80" s="391"/>
      <c r="M80" s="51"/>
      <c r="N80" s="402"/>
      <c r="O80" s="402"/>
      <c r="P80" s="403"/>
      <c r="Q80" s="403"/>
      <c r="R80" s="404"/>
      <c r="S80" s="404"/>
      <c r="T80" s="404"/>
      <c r="U80" s="404"/>
      <c r="V80" s="404"/>
      <c r="W80" s="404"/>
      <c r="X80" s="404"/>
      <c r="Y80" s="404"/>
      <c r="Z80" s="404"/>
      <c r="AA80" s="404"/>
      <c r="AB80" s="391"/>
      <c r="AC80" s="391"/>
      <c r="AD80" s="392"/>
      <c r="AF80" s="50"/>
    </row>
    <row r="81" spans="1:32" ht="26.25" customHeight="1" thickBot="1">
      <c r="A81" s="371" t="s">
        <v>318</v>
      </c>
      <c r="B81" s="371"/>
      <c r="C81" s="371"/>
      <c r="D81" s="371"/>
      <c r="E81" s="371"/>
      <c r="F81" s="37"/>
      <c r="G81" s="37"/>
      <c r="H81" s="38"/>
      <c r="I81" s="38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F81" s="50"/>
    </row>
    <row r="82" spans="1:32" ht="23.25" thickBot="1">
      <c r="A82" s="393" t="s">
        <v>111</v>
      </c>
      <c r="B82" s="394"/>
      <c r="C82" s="169" t="s">
        <v>2</v>
      </c>
      <c r="D82" s="169" t="s">
        <v>37</v>
      </c>
      <c r="E82" s="169" t="s">
        <v>120</v>
      </c>
      <c r="F82" s="373" t="s">
        <v>38</v>
      </c>
      <c r="G82" s="373"/>
      <c r="H82" s="373"/>
      <c r="I82" s="373"/>
      <c r="J82" s="373"/>
      <c r="K82" s="395" t="s">
        <v>58</v>
      </c>
      <c r="L82" s="396"/>
      <c r="M82" s="396"/>
      <c r="N82" s="396"/>
      <c r="O82" s="396"/>
      <c r="P82" s="396"/>
      <c r="Q82" s="396"/>
      <c r="R82" s="396"/>
      <c r="S82" s="397"/>
      <c r="T82" s="373" t="s">
        <v>49</v>
      </c>
      <c r="U82" s="373"/>
      <c r="V82" s="395" t="s">
        <v>50</v>
      </c>
      <c r="W82" s="397"/>
      <c r="X82" s="396" t="s">
        <v>51</v>
      </c>
      <c r="Y82" s="396"/>
      <c r="Z82" s="396"/>
      <c r="AA82" s="396"/>
      <c r="AB82" s="396"/>
      <c r="AC82" s="396"/>
      <c r="AD82" s="398"/>
      <c r="AF82" s="50"/>
    </row>
    <row r="83" spans="1:32" ht="33.75" customHeight="1">
      <c r="A83" s="365">
        <v>1</v>
      </c>
      <c r="B83" s="366"/>
      <c r="C83" s="171"/>
      <c r="D83" s="171"/>
      <c r="E83" s="65"/>
      <c r="F83" s="380"/>
      <c r="G83" s="381"/>
      <c r="H83" s="381"/>
      <c r="I83" s="381"/>
      <c r="J83" s="382"/>
      <c r="K83" s="383"/>
      <c r="L83" s="384"/>
      <c r="M83" s="384"/>
      <c r="N83" s="384"/>
      <c r="O83" s="384"/>
      <c r="P83" s="384"/>
      <c r="Q83" s="384"/>
      <c r="R83" s="384"/>
      <c r="S83" s="385"/>
      <c r="T83" s="386"/>
      <c r="U83" s="387"/>
      <c r="V83" s="388"/>
      <c r="W83" s="388"/>
      <c r="X83" s="389"/>
      <c r="Y83" s="389"/>
      <c r="Z83" s="389"/>
      <c r="AA83" s="389"/>
      <c r="AB83" s="389"/>
      <c r="AC83" s="389"/>
      <c r="AD83" s="390"/>
      <c r="AF83" s="50"/>
    </row>
    <row r="84" spans="1:32" ht="30" customHeight="1">
      <c r="A84" s="358">
        <f>A83+1</f>
        <v>2</v>
      </c>
      <c r="B84" s="359"/>
      <c r="C84" s="170"/>
      <c r="D84" s="170"/>
      <c r="E84" s="32"/>
      <c r="F84" s="359"/>
      <c r="G84" s="359"/>
      <c r="H84" s="359"/>
      <c r="I84" s="359"/>
      <c r="J84" s="359"/>
      <c r="K84" s="374"/>
      <c r="L84" s="375"/>
      <c r="M84" s="375"/>
      <c r="N84" s="375"/>
      <c r="O84" s="375"/>
      <c r="P84" s="375"/>
      <c r="Q84" s="375"/>
      <c r="R84" s="375"/>
      <c r="S84" s="376"/>
      <c r="T84" s="377"/>
      <c r="U84" s="377"/>
      <c r="V84" s="377"/>
      <c r="W84" s="377"/>
      <c r="X84" s="378"/>
      <c r="Y84" s="378"/>
      <c r="Z84" s="378"/>
      <c r="AA84" s="378"/>
      <c r="AB84" s="378"/>
      <c r="AC84" s="378"/>
      <c r="AD84" s="379"/>
      <c r="AF84" s="50"/>
    </row>
    <row r="85" spans="1:32" ht="30" customHeight="1">
      <c r="A85" s="358">
        <f t="shared" ref="A85:A89" si="20">A84+1</f>
        <v>3</v>
      </c>
      <c r="B85" s="359"/>
      <c r="C85" s="170"/>
      <c r="D85" s="170"/>
      <c r="E85" s="32"/>
      <c r="F85" s="359"/>
      <c r="G85" s="359"/>
      <c r="H85" s="359"/>
      <c r="I85" s="359"/>
      <c r="J85" s="359"/>
      <c r="K85" s="374"/>
      <c r="L85" s="375"/>
      <c r="M85" s="375"/>
      <c r="N85" s="375"/>
      <c r="O85" s="375"/>
      <c r="P85" s="375"/>
      <c r="Q85" s="375"/>
      <c r="R85" s="375"/>
      <c r="S85" s="376"/>
      <c r="T85" s="377"/>
      <c r="U85" s="377"/>
      <c r="V85" s="377"/>
      <c r="W85" s="377"/>
      <c r="X85" s="378"/>
      <c r="Y85" s="378"/>
      <c r="Z85" s="378"/>
      <c r="AA85" s="378"/>
      <c r="AB85" s="378"/>
      <c r="AC85" s="378"/>
      <c r="AD85" s="379"/>
      <c r="AF85" s="50"/>
    </row>
    <row r="86" spans="1:32" ht="30" customHeight="1">
      <c r="A86" s="358">
        <f t="shared" si="20"/>
        <v>4</v>
      </c>
      <c r="B86" s="359"/>
      <c r="C86" s="170"/>
      <c r="D86" s="170"/>
      <c r="E86" s="32"/>
      <c r="F86" s="359"/>
      <c r="G86" s="359"/>
      <c r="H86" s="359"/>
      <c r="I86" s="359"/>
      <c r="J86" s="359"/>
      <c r="K86" s="374"/>
      <c r="L86" s="375"/>
      <c r="M86" s="375"/>
      <c r="N86" s="375"/>
      <c r="O86" s="375"/>
      <c r="P86" s="375"/>
      <c r="Q86" s="375"/>
      <c r="R86" s="375"/>
      <c r="S86" s="376"/>
      <c r="T86" s="377"/>
      <c r="U86" s="377"/>
      <c r="V86" s="377"/>
      <c r="W86" s="377"/>
      <c r="X86" s="378"/>
      <c r="Y86" s="378"/>
      <c r="Z86" s="378"/>
      <c r="AA86" s="378"/>
      <c r="AB86" s="378"/>
      <c r="AC86" s="378"/>
      <c r="AD86" s="379"/>
      <c r="AF86" s="50"/>
    </row>
    <row r="87" spans="1:32" ht="30" customHeight="1">
      <c r="A87" s="358">
        <f t="shared" si="20"/>
        <v>5</v>
      </c>
      <c r="B87" s="359"/>
      <c r="C87" s="170"/>
      <c r="D87" s="170"/>
      <c r="E87" s="32"/>
      <c r="F87" s="359"/>
      <c r="G87" s="359"/>
      <c r="H87" s="359"/>
      <c r="I87" s="359"/>
      <c r="J87" s="359"/>
      <c r="K87" s="374"/>
      <c r="L87" s="375"/>
      <c r="M87" s="375"/>
      <c r="N87" s="375"/>
      <c r="O87" s="375"/>
      <c r="P87" s="375"/>
      <c r="Q87" s="375"/>
      <c r="R87" s="375"/>
      <c r="S87" s="376"/>
      <c r="T87" s="377"/>
      <c r="U87" s="377"/>
      <c r="V87" s="377"/>
      <c r="W87" s="377"/>
      <c r="X87" s="378"/>
      <c r="Y87" s="378"/>
      <c r="Z87" s="378"/>
      <c r="AA87" s="378"/>
      <c r="AB87" s="378"/>
      <c r="AC87" s="378"/>
      <c r="AD87" s="379"/>
      <c r="AF87" s="50"/>
    </row>
    <row r="88" spans="1:32" ht="30" customHeight="1">
      <c r="A88" s="358">
        <f t="shared" si="20"/>
        <v>6</v>
      </c>
      <c r="B88" s="359"/>
      <c r="C88" s="170"/>
      <c r="D88" s="170"/>
      <c r="E88" s="32"/>
      <c r="F88" s="359"/>
      <c r="G88" s="359"/>
      <c r="H88" s="359"/>
      <c r="I88" s="359"/>
      <c r="J88" s="359"/>
      <c r="K88" s="374"/>
      <c r="L88" s="375"/>
      <c r="M88" s="375"/>
      <c r="N88" s="375"/>
      <c r="O88" s="375"/>
      <c r="P88" s="375"/>
      <c r="Q88" s="375"/>
      <c r="R88" s="375"/>
      <c r="S88" s="376"/>
      <c r="T88" s="377"/>
      <c r="U88" s="377"/>
      <c r="V88" s="377"/>
      <c r="W88" s="377"/>
      <c r="X88" s="378"/>
      <c r="Y88" s="378"/>
      <c r="Z88" s="378"/>
      <c r="AA88" s="378"/>
      <c r="AB88" s="378"/>
      <c r="AC88" s="378"/>
      <c r="AD88" s="379"/>
      <c r="AF88" s="50"/>
    </row>
    <row r="89" spans="1:32" ht="30" customHeight="1">
      <c r="A89" s="358">
        <f t="shared" si="20"/>
        <v>7</v>
      </c>
      <c r="B89" s="359"/>
      <c r="C89" s="170"/>
      <c r="D89" s="170"/>
      <c r="E89" s="32"/>
      <c r="F89" s="359"/>
      <c r="G89" s="359"/>
      <c r="H89" s="359"/>
      <c r="I89" s="359"/>
      <c r="J89" s="359"/>
      <c r="K89" s="374"/>
      <c r="L89" s="375"/>
      <c r="M89" s="375"/>
      <c r="N89" s="375"/>
      <c r="O89" s="375"/>
      <c r="P89" s="375"/>
      <c r="Q89" s="375"/>
      <c r="R89" s="375"/>
      <c r="S89" s="376"/>
      <c r="T89" s="377"/>
      <c r="U89" s="377"/>
      <c r="V89" s="377"/>
      <c r="W89" s="377"/>
      <c r="X89" s="378"/>
      <c r="Y89" s="378"/>
      <c r="Z89" s="378"/>
      <c r="AA89" s="378"/>
      <c r="AB89" s="378"/>
      <c r="AC89" s="378"/>
      <c r="AD89" s="379"/>
      <c r="AF89" s="50"/>
    </row>
    <row r="90" spans="1:32" ht="36" thickBot="1">
      <c r="A90" s="371" t="s">
        <v>319</v>
      </c>
      <c r="B90" s="371"/>
      <c r="C90" s="371"/>
      <c r="D90" s="371"/>
      <c r="E90" s="371"/>
      <c r="F90" s="37"/>
      <c r="G90" s="37"/>
      <c r="H90" s="38"/>
      <c r="I90" s="38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F90" s="50"/>
    </row>
    <row r="91" spans="1:32" ht="30.75" customHeight="1" thickBot="1">
      <c r="A91" s="372" t="s">
        <v>111</v>
      </c>
      <c r="B91" s="373"/>
      <c r="C91" s="363" t="s">
        <v>52</v>
      </c>
      <c r="D91" s="363"/>
      <c r="E91" s="363" t="s">
        <v>53</v>
      </c>
      <c r="F91" s="363"/>
      <c r="G91" s="363"/>
      <c r="H91" s="363"/>
      <c r="I91" s="363"/>
      <c r="J91" s="363"/>
      <c r="K91" s="363" t="s">
        <v>54</v>
      </c>
      <c r="L91" s="363"/>
      <c r="M91" s="363"/>
      <c r="N91" s="363"/>
      <c r="O91" s="363"/>
      <c r="P91" s="363"/>
      <c r="Q91" s="363"/>
      <c r="R91" s="363"/>
      <c r="S91" s="363"/>
      <c r="T91" s="363" t="s">
        <v>55</v>
      </c>
      <c r="U91" s="363"/>
      <c r="V91" s="363" t="s">
        <v>56</v>
      </c>
      <c r="W91" s="363"/>
      <c r="X91" s="363"/>
      <c r="Y91" s="363" t="s">
        <v>51</v>
      </c>
      <c r="Z91" s="363"/>
      <c r="AA91" s="363"/>
      <c r="AB91" s="363"/>
      <c r="AC91" s="363"/>
      <c r="AD91" s="364"/>
      <c r="AF91" s="50"/>
    </row>
    <row r="92" spans="1:32" ht="30.75" customHeight="1">
      <c r="A92" s="365">
        <v>1</v>
      </c>
      <c r="B92" s="366"/>
      <c r="C92" s="367"/>
      <c r="D92" s="367"/>
      <c r="E92" s="367"/>
      <c r="F92" s="367"/>
      <c r="G92" s="367"/>
      <c r="H92" s="367"/>
      <c r="I92" s="367"/>
      <c r="J92" s="367"/>
      <c r="K92" s="367"/>
      <c r="L92" s="367"/>
      <c r="M92" s="367"/>
      <c r="N92" s="367"/>
      <c r="O92" s="367"/>
      <c r="P92" s="367"/>
      <c r="Q92" s="367"/>
      <c r="R92" s="367"/>
      <c r="S92" s="367"/>
      <c r="T92" s="367"/>
      <c r="U92" s="367"/>
      <c r="V92" s="368"/>
      <c r="W92" s="368"/>
      <c r="X92" s="368"/>
      <c r="Y92" s="369"/>
      <c r="Z92" s="369"/>
      <c r="AA92" s="369"/>
      <c r="AB92" s="369"/>
      <c r="AC92" s="369"/>
      <c r="AD92" s="370"/>
      <c r="AF92" s="50"/>
    </row>
    <row r="93" spans="1:32" ht="30.75" customHeight="1">
      <c r="A93" s="358">
        <v>2</v>
      </c>
      <c r="B93" s="359"/>
      <c r="C93" s="360"/>
      <c r="D93" s="360"/>
      <c r="E93" s="360"/>
      <c r="F93" s="360"/>
      <c r="G93" s="360"/>
      <c r="H93" s="360"/>
      <c r="I93" s="360"/>
      <c r="J93" s="360"/>
      <c r="K93" s="360"/>
      <c r="L93" s="360"/>
      <c r="M93" s="360"/>
      <c r="N93" s="360"/>
      <c r="O93" s="360"/>
      <c r="P93" s="360"/>
      <c r="Q93" s="360"/>
      <c r="R93" s="360"/>
      <c r="S93" s="360"/>
      <c r="T93" s="361"/>
      <c r="U93" s="361"/>
      <c r="V93" s="362"/>
      <c r="W93" s="362"/>
      <c r="X93" s="362"/>
      <c r="Y93" s="350"/>
      <c r="Z93" s="350"/>
      <c r="AA93" s="350"/>
      <c r="AB93" s="350"/>
      <c r="AC93" s="350"/>
      <c r="AD93" s="351"/>
      <c r="AF93" s="50"/>
    </row>
    <row r="94" spans="1:32" ht="30.75" customHeight="1" thickBot="1">
      <c r="A94" s="352">
        <v>3</v>
      </c>
      <c r="B94" s="353"/>
      <c r="C94" s="354"/>
      <c r="D94" s="354"/>
      <c r="E94" s="354"/>
      <c r="F94" s="354"/>
      <c r="G94" s="354"/>
      <c r="H94" s="354"/>
      <c r="I94" s="354"/>
      <c r="J94" s="354"/>
      <c r="K94" s="354"/>
      <c r="L94" s="354"/>
      <c r="M94" s="354"/>
      <c r="N94" s="354"/>
      <c r="O94" s="354"/>
      <c r="P94" s="354"/>
      <c r="Q94" s="354"/>
      <c r="R94" s="354"/>
      <c r="S94" s="354"/>
      <c r="T94" s="354"/>
      <c r="U94" s="354"/>
      <c r="V94" s="355"/>
      <c r="W94" s="355"/>
      <c r="X94" s="355"/>
      <c r="Y94" s="356"/>
      <c r="Z94" s="356"/>
      <c r="AA94" s="356"/>
      <c r="AB94" s="356"/>
      <c r="AC94" s="356"/>
      <c r="AD94" s="357"/>
      <c r="AF94" s="50"/>
    </row>
  </sheetData>
  <mergeCells count="232">
    <mergeCell ref="Y93:AD93"/>
    <mergeCell ref="A94:B94"/>
    <mergeCell ref="C94:D94"/>
    <mergeCell ref="E94:J94"/>
    <mergeCell ref="K94:S94"/>
    <mergeCell ref="T94:U94"/>
    <mergeCell ref="V94:X94"/>
    <mergeCell ref="Y94:AD94"/>
    <mergeCell ref="A93:B93"/>
    <mergeCell ref="C93:D93"/>
    <mergeCell ref="E93:J93"/>
    <mergeCell ref="K93:S93"/>
    <mergeCell ref="T93:U93"/>
    <mergeCell ref="V93:X93"/>
    <mergeCell ref="V91:X91"/>
    <mergeCell ref="Y91:AD91"/>
    <mergeCell ref="A92:B92"/>
    <mergeCell ref="C92:D92"/>
    <mergeCell ref="E92:J92"/>
    <mergeCell ref="K92:S92"/>
    <mergeCell ref="T92:U92"/>
    <mergeCell ref="V92:X92"/>
    <mergeCell ref="Y92:AD92"/>
    <mergeCell ref="A90:E90"/>
    <mergeCell ref="A91:B91"/>
    <mergeCell ref="C91:D91"/>
    <mergeCell ref="E91:J91"/>
    <mergeCell ref="K91:S91"/>
    <mergeCell ref="T91:U91"/>
    <mergeCell ref="A89:B89"/>
    <mergeCell ref="F89:J89"/>
    <mergeCell ref="K89:S89"/>
    <mergeCell ref="T89:U89"/>
    <mergeCell ref="V89:W89"/>
    <mergeCell ref="X89:AD89"/>
    <mergeCell ref="A88:B88"/>
    <mergeCell ref="F88:J88"/>
    <mergeCell ref="K88:S88"/>
    <mergeCell ref="T88:U88"/>
    <mergeCell ref="V88:W88"/>
    <mergeCell ref="X88:AD88"/>
    <mergeCell ref="A87:B87"/>
    <mergeCell ref="F87:J87"/>
    <mergeCell ref="K87:S87"/>
    <mergeCell ref="T87:U87"/>
    <mergeCell ref="V87:W87"/>
    <mergeCell ref="X87:AD87"/>
    <mergeCell ref="A86:B86"/>
    <mergeCell ref="F86:J86"/>
    <mergeCell ref="K86:S86"/>
    <mergeCell ref="T86:U86"/>
    <mergeCell ref="V86:W86"/>
    <mergeCell ref="X86:AD86"/>
    <mergeCell ref="A85:B85"/>
    <mergeCell ref="F85:J85"/>
    <mergeCell ref="K85:S85"/>
    <mergeCell ref="T85:U85"/>
    <mergeCell ref="V85:W85"/>
    <mergeCell ref="X85:AD85"/>
    <mergeCell ref="A84:B84"/>
    <mergeCell ref="F84:J84"/>
    <mergeCell ref="K84:S84"/>
    <mergeCell ref="T84:U84"/>
    <mergeCell ref="V84:W84"/>
    <mergeCell ref="X84:AD84"/>
    <mergeCell ref="A83:B83"/>
    <mergeCell ref="F83:J83"/>
    <mergeCell ref="K83:S83"/>
    <mergeCell ref="T83:U83"/>
    <mergeCell ref="V83:W83"/>
    <mergeCell ref="X83:AD83"/>
    <mergeCell ref="AB80:AD80"/>
    <mergeCell ref="A81:E81"/>
    <mergeCell ref="A82:B82"/>
    <mergeCell ref="F82:J82"/>
    <mergeCell ref="K82:S82"/>
    <mergeCell ref="T82:U82"/>
    <mergeCell ref="V82:W82"/>
    <mergeCell ref="X82:AD82"/>
    <mergeCell ref="A80:B80"/>
    <mergeCell ref="F80:J80"/>
    <mergeCell ref="K80:L80"/>
    <mergeCell ref="N80:O80"/>
    <mergeCell ref="P80:Q80"/>
    <mergeCell ref="R80:AA80"/>
    <mergeCell ref="AB78:AD78"/>
    <mergeCell ref="A79:B79"/>
    <mergeCell ref="F79:J79"/>
    <mergeCell ref="K79:L79"/>
    <mergeCell ref="N79:O79"/>
    <mergeCell ref="P79:Q79"/>
    <mergeCell ref="R79:AA79"/>
    <mergeCell ref="AB79:AD79"/>
    <mergeCell ref="A78:B78"/>
    <mergeCell ref="F78:J78"/>
    <mergeCell ref="K78:L78"/>
    <mergeCell ref="N78:O78"/>
    <mergeCell ref="P78:Q78"/>
    <mergeCell ref="R78:AA78"/>
    <mergeCell ref="AB76:AD76"/>
    <mergeCell ref="A77:B77"/>
    <mergeCell ref="F77:J77"/>
    <mergeCell ref="K77:L77"/>
    <mergeCell ref="N77:O77"/>
    <mergeCell ref="P77:Q77"/>
    <mergeCell ref="R77:AA77"/>
    <mergeCell ref="AB77:AD77"/>
    <mergeCell ref="A76:B76"/>
    <mergeCell ref="F76:J76"/>
    <mergeCell ref="K76:L76"/>
    <mergeCell ref="N76:O76"/>
    <mergeCell ref="P76:Q76"/>
    <mergeCell ref="R76:AA76"/>
    <mergeCell ref="AB74:AD74"/>
    <mergeCell ref="A75:B75"/>
    <mergeCell ref="F75:J75"/>
    <mergeCell ref="K75:L75"/>
    <mergeCell ref="N75:O75"/>
    <mergeCell ref="P75:Q75"/>
    <mergeCell ref="R75:AA75"/>
    <mergeCell ref="AB75:AD75"/>
    <mergeCell ref="A74:B74"/>
    <mergeCell ref="F74:J74"/>
    <mergeCell ref="K74:L74"/>
    <mergeCell ref="N74:O74"/>
    <mergeCell ref="P74:Q74"/>
    <mergeCell ref="R74:AA74"/>
    <mergeCell ref="AB72:AD72"/>
    <mergeCell ref="A73:B73"/>
    <mergeCell ref="F73:J73"/>
    <mergeCell ref="K73:L73"/>
    <mergeCell ref="N73:O73"/>
    <mergeCell ref="P73:Q73"/>
    <mergeCell ref="R73:AA73"/>
    <mergeCell ref="AB73:AD73"/>
    <mergeCell ref="A72:B72"/>
    <mergeCell ref="F72:J72"/>
    <mergeCell ref="K72:L72"/>
    <mergeCell ref="N72:O72"/>
    <mergeCell ref="P72:Q72"/>
    <mergeCell ref="R72:AA72"/>
    <mergeCell ref="R70:AA70"/>
    <mergeCell ref="AB70:AD70"/>
    <mergeCell ref="A71:B71"/>
    <mergeCell ref="F71:J71"/>
    <mergeCell ref="K71:L71"/>
    <mergeCell ref="N71:O71"/>
    <mergeCell ref="P71:Q71"/>
    <mergeCell ref="R71:AA71"/>
    <mergeCell ref="AB71:AD71"/>
    <mergeCell ref="A69:E69"/>
    <mergeCell ref="A70:B70"/>
    <mergeCell ref="F70:J70"/>
    <mergeCell ref="K70:L70"/>
    <mergeCell ref="N70:O70"/>
    <mergeCell ref="P70:Q70"/>
    <mergeCell ref="A67:B67"/>
    <mergeCell ref="F67:M67"/>
    <mergeCell ref="P67:Q67"/>
    <mergeCell ref="R67:U67"/>
    <mergeCell ref="V67:AD67"/>
    <mergeCell ref="A68:B68"/>
    <mergeCell ref="F68:M68"/>
    <mergeCell ref="P68:Q68"/>
    <mergeCell ref="R68:U68"/>
    <mergeCell ref="V68:AD68"/>
    <mergeCell ref="A65:B65"/>
    <mergeCell ref="F65:M65"/>
    <mergeCell ref="P65:Q65"/>
    <mergeCell ref="R65:U65"/>
    <mergeCell ref="V65:AD65"/>
    <mergeCell ref="A66:B66"/>
    <mergeCell ref="F66:M66"/>
    <mergeCell ref="P66:Q66"/>
    <mergeCell ref="R66:U66"/>
    <mergeCell ref="V66:AD66"/>
    <mergeCell ref="A63:B63"/>
    <mergeCell ref="F63:M63"/>
    <mergeCell ref="P63:Q63"/>
    <mergeCell ref="R63:U63"/>
    <mergeCell ref="V63:AD63"/>
    <mergeCell ref="A64:B64"/>
    <mergeCell ref="F64:M64"/>
    <mergeCell ref="P64:Q64"/>
    <mergeCell ref="R64:U64"/>
    <mergeCell ref="V64:AD64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D4:AD5"/>
    <mergeCell ref="A29:H29"/>
    <mergeCell ref="A56:E56"/>
    <mergeCell ref="A57:M57"/>
    <mergeCell ref="N57:AD57"/>
    <mergeCell ref="A58:B58"/>
    <mergeCell ref="F58:M58"/>
    <mergeCell ref="P58:Q58"/>
    <mergeCell ref="R58:U58"/>
    <mergeCell ref="V58:AD58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54" max="29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211B7-E94D-47A4-9D39-64FCC4EA92DF}">
  <sheetPr codeName="Sheet6">
    <pageSetUpPr fitToPage="1"/>
  </sheetPr>
  <dimension ref="A1:AF93"/>
  <sheetViews>
    <sheetView view="pageBreakPreview" topLeftCell="A67" zoomScale="70" zoomScaleNormal="72" zoomScaleSheetLayoutView="70" workbookViewId="0">
      <selection activeCell="A90" sqref="A90:B90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1" bestFit="1" customWidth="1"/>
    <col min="33" max="33" width="17.625" style="50" customWidth="1"/>
    <col min="34" max="16384" width="9" style="50"/>
  </cols>
  <sheetData>
    <row r="1" spans="1:32" ht="44.25" customHeight="1">
      <c r="A1" s="461" t="s">
        <v>320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61"/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62"/>
      <c r="B3" s="462"/>
      <c r="C3" s="462"/>
      <c r="D3" s="462"/>
      <c r="E3" s="462"/>
      <c r="F3" s="462"/>
      <c r="G3" s="462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63" t="s">
        <v>0</v>
      </c>
      <c r="B4" s="465" t="s">
        <v>1</v>
      </c>
      <c r="C4" s="465" t="s">
        <v>2</v>
      </c>
      <c r="D4" s="468" t="s">
        <v>3</v>
      </c>
      <c r="E4" s="470" t="s">
        <v>4</v>
      </c>
      <c r="F4" s="468" t="s">
        <v>5</v>
      </c>
      <c r="G4" s="465" t="s">
        <v>6</v>
      </c>
      <c r="H4" s="471" t="s">
        <v>7</v>
      </c>
      <c r="I4" s="451" t="s">
        <v>8</v>
      </c>
      <c r="J4" s="452"/>
      <c r="K4" s="452"/>
      <c r="L4" s="452"/>
      <c r="M4" s="452"/>
      <c r="N4" s="452"/>
      <c r="O4" s="453"/>
      <c r="P4" s="454" t="s">
        <v>9</v>
      </c>
      <c r="Q4" s="455"/>
      <c r="R4" s="456" t="s">
        <v>10</v>
      </c>
      <c r="S4" s="457"/>
      <c r="T4" s="457"/>
      <c r="U4" s="457"/>
      <c r="V4" s="458"/>
      <c r="W4" s="457" t="s">
        <v>11</v>
      </c>
      <c r="X4" s="457"/>
      <c r="Y4" s="457"/>
      <c r="Z4" s="457"/>
      <c r="AA4" s="458"/>
      <c r="AB4" s="459" t="s">
        <v>12</v>
      </c>
      <c r="AC4" s="433" t="s">
        <v>13</v>
      </c>
      <c r="AD4" s="433" t="s">
        <v>14</v>
      </c>
      <c r="AE4" s="54"/>
    </row>
    <row r="5" spans="1:32" ht="51" customHeight="1" thickBot="1">
      <c r="A5" s="464"/>
      <c r="B5" s="466"/>
      <c r="C5" s="467"/>
      <c r="D5" s="469"/>
      <c r="E5" s="469"/>
      <c r="F5" s="469"/>
      <c r="G5" s="466"/>
      <c r="H5" s="472"/>
      <c r="I5" s="55" t="s">
        <v>15</v>
      </c>
      <c r="J5" s="56" t="s">
        <v>16</v>
      </c>
      <c r="K5" s="159" t="s">
        <v>17</v>
      </c>
      <c r="L5" s="159" t="s">
        <v>18</v>
      </c>
      <c r="M5" s="159" t="s">
        <v>19</v>
      </c>
      <c r="N5" s="159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60"/>
      <c r="AC5" s="434"/>
      <c r="AD5" s="434"/>
      <c r="AE5" s="54"/>
    </row>
    <row r="6" spans="1:32" ht="27" customHeight="1">
      <c r="A6" s="106">
        <v>1</v>
      </c>
      <c r="B6" s="11" t="s">
        <v>57</v>
      </c>
      <c r="C6" s="34" t="s">
        <v>127</v>
      </c>
      <c r="D6" s="52" t="s">
        <v>129</v>
      </c>
      <c r="E6" s="53" t="s">
        <v>311</v>
      </c>
      <c r="F6" s="30" t="s">
        <v>321</v>
      </c>
      <c r="G6" s="12">
        <v>2</v>
      </c>
      <c r="H6" s="13">
        <v>24</v>
      </c>
      <c r="I6" s="31">
        <v>20000</v>
      </c>
      <c r="J6" s="14">
        <v>3519</v>
      </c>
      <c r="K6" s="15">
        <f>L6</f>
        <v>0</v>
      </c>
      <c r="L6" s="15"/>
      <c r="M6" s="15">
        <f t="shared" ref="M6:M27" si="0">L6-N6</f>
        <v>0</v>
      </c>
      <c r="N6" s="15">
        <v>0</v>
      </c>
      <c r="O6" s="58" t="str">
        <f t="shared" ref="O6:O28" si="1">IF(L6=0,"0",N6/L6)</f>
        <v>0</v>
      </c>
      <c r="P6" s="39" t="str">
        <f t="shared" ref="P6:P27" si="2">IF(L6=0,"0",(24-Q6))</f>
        <v>0</v>
      </c>
      <c r="Q6" s="40">
        <f t="shared" ref="Q6:Q27" si="3">SUM(R6:AA6)</f>
        <v>24</v>
      </c>
      <c r="R6" s="7"/>
      <c r="S6" s="6">
        <v>24</v>
      </c>
      <c r="T6" s="16"/>
      <c r="U6" s="16"/>
      <c r="V6" s="17"/>
      <c r="W6" s="5"/>
      <c r="X6" s="16"/>
      <c r="Y6" s="16"/>
      <c r="Z6" s="16"/>
      <c r="AA6" s="18"/>
      <c r="AB6" s="8">
        <f t="shared" ref="AB6:AB27" si="4">IF(J6=0,"0",(L6/J6))</f>
        <v>0</v>
      </c>
      <c r="AC6" s="9">
        <f t="shared" ref="AC6:AC27" si="5">IF(P6=0,"0",(P6/24))</f>
        <v>0</v>
      </c>
      <c r="AD6" s="10">
        <f>AC6*AB6*(1-O6)</f>
        <v>0</v>
      </c>
      <c r="AE6" s="36">
        <f t="shared" ref="AE6:AE27" si="6">$AD$28</f>
        <v>0.47159090909090912</v>
      </c>
      <c r="AF6" s="81">
        <f t="shared" ref="AF6:AF27" si="7">A6</f>
        <v>1</v>
      </c>
    </row>
    <row r="7" spans="1:32" ht="27" customHeight="1">
      <c r="A7" s="106">
        <v>2</v>
      </c>
      <c r="B7" s="11" t="s">
        <v>57</v>
      </c>
      <c r="C7" s="34" t="s">
        <v>112</v>
      </c>
      <c r="D7" s="52" t="s">
        <v>140</v>
      </c>
      <c r="E7" s="53" t="s">
        <v>149</v>
      </c>
      <c r="F7" s="30" t="s">
        <v>139</v>
      </c>
      <c r="G7" s="12">
        <v>1</v>
      </c>
      <c r="H7" s="13">
        <v>24</v>
      </c>
      <c r="I7" s="31">
        <v>190000</v>
      </c>
      <c r="J7" s="14">
        <v>10964</v>
      </c>
      <c r="K7" s="15">
        <f>L7+8898+11520+11558+11486+11566+10872+10958+11534+11518+11230+7112+9722</f>
        <v>138938</v>
      </c>
      <c r="L7" s="15">
        <f>2931*2+2551*2</f>
        <v>10964</v>
      </c>
      <c r="M7" s="15">
        <f t="shared" si="0"/>
        <v>10964</v>
      </c>
      <c r="N7" s="15">
        <v>0</v>
      </c>
      <c r="O7" s="58">
        <f t="shared" si="1"/>
        <v>0</v>
      </c>
      <c r="P7" s="39">
        <f t="shared" si="2"/>
        <v>24</v>
      </c>
      <c r="Q7" s="40">
        <f t="shared" si="3"/>
        <v>0</v>
      </c>
      <c r="R7" s="7"/>
      <c r="S7" s="6"/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1</v>
      </c>
      <c r="AD7" s="10">
        <f t="shared" ref="AD7:AD27" si="8">AC7*AB7*(1-O7)</f>
        <v>1</v>
      </c>
      <c r="AE7" s="36">
        <f t="shared" si="6"/>
        <v>0.47159090909090912</v>
      </c>
      <c r="AF7" s="81">
        <f t="shared" si="7"/>
        <v>2</v>
      </c>
    </row>
    <row r="8" spans="1:32" ht="27" customHeight="1">
      <c r="A8" s="92">
        <v>3</v>
      </c>
      <c r="B8" s="11" t="s">
        <v>57</v>
      </c>
      <c r="C8" s="34" t="s">
        <v>116</v>
      </c>
      <c r="D8" s="52" t="s">
        <v>129</v>
      </c>
      <c r="E8" s="53" t="s">
        <v>178</v>
      </c>
      <c r="F8" s="30" t="s">
        <v>124</v>
      </c>
      <c r="G8" s="12">
        <v>1</v>
      </c>
      <c r="H8" s="13">
        <v>22</v>
      </c>
      <c r="I8" s="31">
        <v>90000</v>
      </c>
      <c r="J8" s="5">
        <v>6240</v>
      </c>
      <c r="K8" s="15">
        <f>L8+8120+11780+9608+2367+4983</f>
        <v>43098</v>
      </c>
      <c r="L8" s="15">
        <f>3120*2</f>
        <v>6240</v>
      </c>
      <c r="M8" s="15">
        <f t="shared" si="0"/>
        <v>6240</v>
      </c>
      <c r="N8" s="15">
        <v>0</v>
      </c>
      <c r="O8" s="58">
        <f t="shared" si="1"/>
        <v>0</v>
      </c>
      <c r="P8" s="39">
        <f t="shared" si="2"/>
        <v>13</v>
      </c>
      <c r="Q8" s="40">
        <f t="shared" si="3"/>
        <v>11</v>
      </c>
      <c r="R8" s="7"/>
      <c r="S8" s="6">
        <v>11</v>
      </c>
      <c r="T8" s="16"/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0.54166666666666663</v>
      </c>
      <c r="AD8" s="10">
        <f t="shared" si="8"/>
        <v>0.54166666666666663</v>
      </c>
      <c r="AE8" s="36">
        <f t="shared" si="6"/>
        <v>0.47159090909090912</v>
      </c>
      <c r="AF8" s="81">
        <f t="shared" si="7"/>
        <v>3</v>
      </c>
    </row>
    <row r="9" spans="1:32" ht="27" customHeight="1">
      <c r="A9" s="92">
        <v>4</v>
      </c>
      <c r="B9" s="11" t="s">
        <v>57</v>
      </c>
      <c r="C9" s="34" t="s">
        <v>116</v>
      </c>
      <c r="D9" s="52" t="s">
        <v>322</v>
      </c>
      <c r="E9" s="53" t="s">
        <v>312</v>
      </c>
      <c r="F9" s="30" t="s">
        <v>323</v>
      </c>
      <c r="G9" s="12">
        <v>1</v>
      </c>
      <c r="H9" s="13">
        <v>24</v>
      </c>
      <c r="I9" s="7">
        <v>60000</v>
      </c>
      <c r="J9" s="14">
        <v>3954</v>
      </c>
      <c r="K9" s="15">
        <f>L9</f>
        <v>3954</v>
      </c>
      <c r="L9" s="15">
        <f>2600+1354</f>
        <v>3954</v>
      </c>
      <c r="M9" s="15">
        <f t="shared" si="0"/>
        <v>3954</v>
      </c>
      <c r="N9" s="15">
        <v>0</v>
      </c>
      <c r="O9" s="58">
        <f t="shared" si="1"/>
        <v>0</v>
      </c>
      <c r="P9" s="39">
        <f t="shared" si="2"/>
        <v>19</v>
      </c>
      <c r="Q9" s="40">
        <f t="shared" si="3"/>
        <v>5</v>
      </c>
      <c r="R9" s="7"/>
      <c r="S9" s="6">
        <v>5</v>
      </c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0.79166666666666663</v>
      </c>
      <c r="AD9" s="10">
        <f t="shared" si="8"/>
        <v>0.79166666666666663</v>
      </c>
      <c r="AE9" s="36">
        <f t="shared" si="6"/>
        <v>0.47159090909090912</v>
      </c>
      <c r="AF9" s="81">
        <f t="shared" si="7"/>
        <v>4</v>
      </c>
    </row>
    <row r="10" spans="1:32" ht="27" customHeight="1">
      <c r="A10" s="92">
        <v>5</v>
      </c>
      <c r="B10" s="11" t="s">
        <v>57</v>
      </c>
      <c r="C10" s="11" t="s">
        <v>112</v>
      </c>
      <c r="D10" s="52" t="s">
        <v>121</v>
      </c>
      <c r="E10" s="53" t="s">
        <v>188</v>
      </c>
      <c r="F10" s="30" t="s">
        <v>124</v>
      </c>
      <c r="G10" s="33">
        <v>1</v>
      </c>
      <c r="H10" s="35">
        <v>24</v>
      </c>
      <c r="I10" s="7">
        <v>115000</v>
      </c>
      <c r="J10" s="14">
        <v>3619</v>
      </c>
      <c r="K10" s="15">
        <f>L10+5338+5669+5744+4980</f>
        <v>25350</v>
      </c>
      <c r="L10" s="15">
        <f>1066+2553</f>
        <v>3619</v>
      </c>
      <c r="M10" s="15">
        <f t="shared" si="0"/>
        <v>3619</v>
      </c>
      <c r="N10" s="15">
        <v>0</v>
      </c>
      <c r="O10" s="58">
        <f t="shared" si="1"/>
        <v>0</v>
      </c>
      <c r="P10" s="39">
        <f t="shared" si="2"/>
        <v>20</v>
      </c>
      <c r="Q10" s="40">
        <f t="shared" si="3"/>
        <v>4</v>
      </c>
      <c r="R10" s="7"/>
      <c r="S10" s="6">
        <v>4</v>
      </c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0.83333333333333337</v>
      </c>
      <c r="AD10" s="10">
        <f t="shared" si="8"/>
        <v>0.83333333333333337</v>
      </c>
      <c r="AE10" s="36">
        <f t="shared" si="6"/>
        <v>0.47159090909090912</v>
      </c>
      <c r="AF10" s="81">
        <f t="shared" si="7"/>
        <v>5</v>
      </c>
    </row>
    <row r="11" spans="1:32" ht="27" customHeight="1">
      <c r="A11" s="92">
        <v>6</v>
      </c>
      <c r="B11" s="11" t="s">
        <v>57</v>
      </c>
      <c r="C11" s="11" t="s">
        <v>112</v>
      </c>
      <c r="D11" s="52" t="s">
        <v>115</v>
      </c>
      <c r="E11" s="53" t="s">
        <v>224</v>
      </c>
      <c r="F11" s="30" t="s">
        <v>221</v>
      </c>
      <c r="G11" s="33">
        <v>1</v>
      </c>
      <c r="H11" s="35">
        <v>24</v>
      </c>
      <c r="I11" s="7">
        <v>300</v>
      </c>
      <c r="J11" s="14">
        <v>300</v>
      </c>
      <c r="K11" s="15">
        <f>L11</f>
        <v>300</v>
      </c>
      <c r="L11" s="15">
        <f>300</f>
        <v>300</v>
      </c>
      <c r="M11" s="15">
        <f t="shared" si="0"/>
        <v>300</v>
      </c>
      <c r="N11" s="15">
        <v>0</v>
      </c>
      <c r="O11" s="58">
        <f t="shared" si="1"/>
        <v>0</v>
      </c>
      <c r="P11" s="39">
        <f t="shared" si="2"/>
        <v>4</v>
      </c>
      <c r="Q11" s="40">
        <f t="shared" si="3"/>
        <v>20</v>
      </c>
      <c r="R11" s="7"/>
      <c r="S11" s="6"/>
      <c r="T11" s="16"/>
      <c r="U11" s="16"/>
      <c r="V11" s="17"/>
      <c r="W11" s="5"/>
      <c r="X11" s="16"/>
      <c r="Y11" s="16"/>
      <c r="Z11" s="16"/>
      <c r="AA11" s="18">
        <v>20</v>
      </c>
      <c r="AB11" s="8">
        <f t="shared" si="4"/>
        <v>1</v>
      </c>
      <c r="AC11" s="9">
        <f t="shared" si="5"/>
        <v>0.16666666666666666</v>
      </c>
      <c r="AD11" s="10">
        <f t="shared" si="8"/>
        <v>0.16666666666666666</v>
      </c>
      <c r="AE11" s="36">
        <f t="shared" si="6"/>
        <v>0.47159090909090912</v>
      </c>
      <c r="AF11" s="81">
        <f t="shared" si="7"/>
        <v>6</v>
      </c>
    </row>
    <row r="12" spans="1:32" ht="27" customHeight="1">
      <c r="A12" s="92">
        <v>7</v>
      </c>
      <c r="B12" s="11" t="s">
        <v>57</v>
      </c>
      <c r="C12" s="34" t="s">
        <v>116</v>
      </c>
      <c r="D12" s="52" t="s">
        <v>115</v>
      </c>
      <c r="E12" s="53" t="s">
        <v>214</v>
      </c>
      <c r="F12" s="30" t="s">
        <v>235</v>
      </c>
      <c r="G12" s="12">
        <v>1</v>
      </c>
      <c r="H12" s="13">
        <v>22</v>
      </c>
      <c r="I12" s="31">
        <v>60000</v>
      </c>
      <c r="J12" s="5">
        <v>9034</v>
      </c>
      <c r="K12" s="15">
        <f>L12+7218+9738+8082</f>
        <v>34072</v>
      </c>
      <c r="L12" s="15">
        <f>2381*2+2136*2</f>
        <v>9034</v>
      </c>
      <c r="M12" s="15">
        <f t="shared" si="0"/>
        <v>9034</v>
      </c>
      <c r="N12" s="15">
        <v>0</v>
      </c>
      <c r="O12" s="58">
        <f t="shared" si="1"/>
        <v>0</v>
      </c>
      <c r="P12" s="39">
        <f t="shared" si="2"/>
        <v>24</v>
      </c>
      <c r="Q12" s="40">
        <f t="shared" si="3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1</v>
      </c>
      <c r="AD12" s="10">
        <f t="shared" si="8"/>
        <v>1</v>
      </c>
      <c r="AE12" s="36">
        <f t="shared" si="6"/>
        <v>0.47159090909090912</v>
      </c>
      <c r="AF12" s="81">
        <f t="shared" si="7"/>
        <v>7</v>
      </c>
    </row>
    <row r="13" spans="1:32" ht="27" customHeight="1">
      <c r="A13" s="92">
        <v>8</v>
      </c>
      <c r="B13" s="11" t="s">
        <v>57</v>
      </c>
      <c r="C13" s="11" t="s">
        <v>127</v>
      </c>
      <c r="D13" s="52" t="s">
        <v>158</v>
      </c>
      <c r="E13" s="53" t="s">
        <v>236</v>
      </c>
      <c r="F13" s="30" t="s">
        <v>123</v>
      </c>
      <c r="G13" s="33">
        <v>1</v>
      </c>
      <c r="H13" s="35">
        <v>22</v>
      </c>
      <c r="I13" s="7">
        <v>3000</v>
      </c>
      <c r="J13" s="14">
        <v>3232</v>
      </c>
      <c r="K13" s="15">
        <f>L13</f>
        <v>3232</v>
      </c>
      <c r="L13" s="15">
        <f>2153+1079</f>
        <v>3232</v>
      </c>
      <c r="M13" s="15">
        <f t="shared" si="0"/>
        <v>3232</v>
      </c>
      <c r="N13" s="15">
        <v>0</v>
      </c>
      <c r="O13" s="58">
        <f t="shared" si="1"/>
        <v>0</v>
      </c>
      <c r="P13" s="39">
        <f t="shared" si="2"/>
        <v>18</v>
      </c>
      <c r="Q13" s="40">
        <f t="shared" si="3"/>
        <v>6</v>
      </c>
      <c r="R13" s="7"/>
      <c r="S13" s="6"/>
      <c r="T13" s="16"/>
      <c r="U13" s="16"/>
      <c r="V13" s="17"/>
      <c r="W13" s="5">
        <v>6</v>
      </c>
      <c r="X13" s="16"/>
      <c r="Y13" s="16"/>
      <c r="Z13" s="16"/>
      <c r="AA13" s="18"/>
      <c r="AB13" s="8">
        <f t="shared" si="4"/>
        <v>1</v>
      </c>
      <c r="AC13" s="9">
        <f t="shared" si="5"/>
        <v>0.75</v>
      </c>
      <c r="AD13" s="10">
        <f t="shared" si="8"/>
        <v>0.75</v>
      </c>
      <c r="AE13" s="36">
        <f t="shared" si="6"/>
        <v>0.47159090909090912</v>
      </c>
      <c r="AF13" s="81">
        <f t="shared" si="7"/>
        <v>8</v>
      </c>
    </row>
    <row r="14" spans="1:32" ht="27" customHeight="1">
      <c r="A14" s="99">
        <v>9</v>
      </c>
      <c r="B14" s="11" t="s">
        <v>57</v>
      </c>
      <c r="C14" s="34" t="s">
        <v>112</v>
      </c>
      <c r="D14" s="52" t="s">
        <v>115</v>
      </c>
      <c r="E14" s="53" t="s">
        <v>165</v>
      </c>
      <c r="F14" s="30" t="s">
        <v>167</v>
      </c>
      <c r="G14" s="33">
        <v>1</v>
      </c>
      <c r="H14" s="35">
        <v>50</v>
      </c>
      <c r="I14" s="7">
        <v>300</v>
      </c>
      <c r="J14" s="5">
        <v>391</v>
      </c>
      <c r="K14" s="15">
        <f>L14+300</f>
        <v>300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/>
      <c r="T14" s="16"/>
      <c r="U14" s="16"/>
      <c r="V14" s="17"/>
      <c r="W14" s="5"/>
      <c r="X14" s="16"/>
      <c r="Y14" s="16"/>
      <c r="Z14" s="16"/>
      <c r="AA14" s="18">
        <v>24</v>
      </c>
      <c r="AB14" s="8">
        <f t="shared" si="4"/>
        <v>0</v>
      </c>
      <c r="AC14" s="9">
        <f t="shared" si="5"/>
        <v>0</v>
      </c>
      <c r="AD14" s="10">
        <f t="shared" si="8"/>
        <v>0</v>
      </c>
      <c r="AE14" s="36">
        <f t="shared" si="6"/>
        <v>0.47159090909090912</v>
      </c>
      <c r="AF14" s="81">
        <f t="shared" si="7"/>
        <v>9</v>
      </c>
    </row>
    <row r="15" spans="1:32" ht="27" customHeight="1">
      <c r="A15" s="106">
        <v>10</v>
      </c>
      <c r="B15" s="11" t="s">
        <v>57</v>
      </c>
      <c r="C15" s="34" t="s">
        <v>127</v>
      </c>
      <c r="D15" s="52" t="s">
        <v>313</v>
      </c>
      <c r="E15" s="53" t="s">
        <v>324</v>
      </c>
      <c r="F15" s="30" t="s">
        <v>325</v>
      </c>
      <c r="G15" s="12">
        <v>4</v>
      </c>
      <c r="H15" s="13">
        <v>24</v>
      </c>
      <c r="I15" s="31">
        <v>200000</v>
      </c>
      <c r="J15" s="14">
        <v>34980</v>
      </c>
      <c r="K15" s="15">
        <f>L15</f>
        <v>34980</v>
      </c>
      <c r="L15" s="15">
        <f>3136*4+5609*4</f>
        <v>34980</v>
      </c>
      <c r="M15" s="15">
        <f t="shared" si="0"/>
        <v>34980</v>
      </c>
      <c r="N15" s="15">
        <v>0</v>
      </c>
      <c r="O15" s="58">
        <f t="shared" si="1"/>
        <v>0</v>
      </c>
      <c r="P15" s="39">
        <f t="shared" si="2"/>
        <v>22</v>
      </c>
      <c r="Q15" s="40">
        <f t="shared" si="3"/>
        <v>2</v>
      </c>
      <c r="R15" s="7"/>
      <c r="S15" s="6"/>
      <c r="T15" s="16">
        <v>2</v>
      </c>
      <c r="U15" s="16"/>
      <c r="V15" s="17"/>
      <c r="W15" s="5"/>
      <c r="X15" s="16"/>
      <c r="Y15" s="16"/>
      <c r="Z15" s="16"/>
      <c r="AA15" s="18"/>
      <c r="AB15" s="8">
        <f t="shared" si="4"/>
        <v>1</v>
      </c>
      <c r="AC15" s="9">
        <f t="shared" si="5"/>
        <v>0.91666666666666663</v>
      </c>
      <c r="AD15" s="10">
        <f t="shared" si="8"/>
        <v>0.91666666666666663</v>
      </c>
      <c r="AE15" s="36">
        <f t="shared" si="6"/>
        <v>0.47159090909090912</v>
      </c>
      <c r="AF15" s="81">
        <f t="shared" si="7"/>
        <v>10</v>
      </c>
    </row>
    <row r="16" spans="1:32" ht="27" customHeight="1">
      <c r="A16" s="106">
        <v>11</v>
      </c>
      <c r="B16" s="11" t="s">
        <v>57</v>
      </c>
      <c r="C16" s="34" t="s">
        <v>127</v>
      </c>
      <c r="D16" s="52" t="s">
        <v>322</v>
      </c>
      <c r="E16" s="53" t="s">
        <v>326</v>
      </c>
      <c r="F16" s="30" t="s">
        <v>327</v>
      </c>
      <c r="G16" s="12">
        <v>2</v>
      </c>
      <c r="H16" s="13">
        <v>24</v>
      </c>
      <c r="I16" s="7">
        <v>3000</v>
      </c>
      <c r="J16" s="14">
        <v>3166</v>
      </c>
      <c r="K16" s="15">
        <f>L16</f>
        <v>3166</v>
      </c>
      <c r="L16" s="15">
        <f>1583*2</f>
        <v>3166</v>
      </c>
      <c r="M16" s="15">
        <f t="shared" si="0"/>
        <v>3166</v>
      </c>
      <c r="N16" s="15">
        <v>0</v>
      </c>
      <c r="O16" s="58">
        <f t="shared" si="1"/>
        <v>0</v>
      </c>
      <c r="P16" s="39">
        <f t="shared" si="2"/>
        <v>9</v>
      </c>
      <c r="Q16" s="40">
        <f t="shared" si="3"/>
        <v>15</v>
      </c>
      <c r="R16" s="7"/>
      <c r="S16" s="6"/>
      <c r="T16" s="16"/>
      <c r="U16" s="16"/>
      <c r="V16" s="17"/>
      <c r="W16" s="5">
        <v>15</v>
      </c>
      <c r="X16" s="16"/>
      <c r="Y16" s="16"/>
      <c r="Z16" s="16"/>
      <c r="AA16" s="18"/>
      <c r="AB16" s="8">
        <f t="shared" si="4"/>
        <v>1</v>
      </c>
      <c r="AC16" s="9">
        <f t="shared" si="5"/>
        <v>0.375</v>
      </c>
      <c r="AD16" s="10">
        <f t="shared" si="8"/>
        <v>0.375</v>
      </c>
      <c r="AE16" s="36">
        <f t="shared" si="6"/>
        <v>0.47159090909090912</v>
      </c>
      <c r="AF16" s="81">
        <f t="shared" si="7"/>
        <v>11</v>
      </c>
    </row>
    <row r="17" spans="1:32" ht="27" customHeight="1">
      <c r="A17" s="106">
        <v>12</v>
      </c>
      <c r="B17" s="11" t="s">
        <v>57</v>
      </c>
      <c r="C17" s="34" t="s">
        <v>112</v>
      </c>
      <c r="D17" s="52" t="s">
        <v>140</v>
      </c>
      <c r="E17" s="53" t="s">
        <v>315</v>
      </c>
      <c r="F17" s="30" t="s">
        <v>139</v>
      </c>
      <c r="G17" s="12">
        <v>1</v>
      </c>
      <c r="H17" s="13">
        <v>24</v>
      </c>
      <c r="I17" s="7">
        <v>4000</v>
      </c>
      <c r="J17" s="14">
        <v>4266</v>
      </c>
      <c r="K17" s="15">
        <f>L17</f>
        <v>4266</v>
      </c>
      <c r="L17" s="15">
        <f>2665+1601</f>
        <v>4266</v>
      </c>
      <c r="M17" s="15">
        <f t="shared" si="0"/>
        <v>4266</v>
      </c>
      <c r="N17" s="15">
        <v>0</v>
      </c>
      <c r="O17" s="58">
        <f t="shared" si="1"/>
        <v>0</v>
      </c>
      <c r="P17" s="39">
        <f t="shared" si="2"/>
        <v>21</v>
      </c>
      <c r="Q17" s="40">
        <f t="shared" si="3"/>
        <v>3</v>
      </c>
      <c r="R17" s="7"/>
      <c r="S17" s="6"/>
      <c r="T17" s="16"/>
      <c r="U17" s="16"/>
      <c r="V17" s="17"/>
      <c r="W17" s="5">
        <v>3</v>
      </c>
      <c r="X17" s="16"/>
      <c r="Y17" s="16"/>
      <c r="Z17" s="16"/>
      <c r="AA17" s="18"/>
      <c r="AB17" s="8">
        <f t="shared" si="4"/>
        <v>1</v>
      </c>
      <c r="AC17" s="9">
        <f t="shared" si="5"/>
        <v>0.875</v>
      </c>
      <c r="AD17" s="10">
        <f t="shared" si="8"/>
        <v>0.875</v>
      </c>
      <c r="AE17" s="36">
        <f t="shared" si="6"/>
        <v>0.47159090909090912</v>
      </c>
      <c r="AF17" s="81">
        <f t="shared" si="7"/>
        <v>12</v>
      </c>
    </row>
    <row r="18" spans="1:32" ht="27" customHeight="1">
      <c r="A18" s="92">
        <v>13</v>
      </c>
      <c r="B18" s="11" t="s">
        <v>57</v>
      </c>
      <c r="C18" s="34" t="s">
        <v>116</v>
      </c>
      <c r="D18" s="52" t="s">
        <v>115</v>
      </c>
      <c r="E18" s="53" t="s">
        <v>198</v>
      </c>
      <c r="F18" s="30" t="s">
        <v>138</v>
      </c>
      <c r="G18" s="12">
        <v>2</v>
      </c>
      <c r="H18" s="13">
        <v>22</v>
      </c>
      <c r="I18" s="31">
        <v>90000</v>
      </c>
      <c r="J18" s="5">
        <v>11662</v>
      </c>
      <c r="K18" s="15">
        <f>L18+9112+12392+12128+9906</f>
        <v>55200</v>
      </c>
      <c r="L18" s="15">
        <f>3088*2+2743*2</f>
        <v>11662</v>
      </c>
      <c r="M18" s="15">
        <f t="shared" si="0"/>
        <v>11662</v>
      </c>
      <c r="N18" s="15">
        <v>0</v>
      </c>
      <c r="O18" s="58">
        <f t="shared" si="1"/>
        <v>0</v>
      </c>
      <c r="P18" s="39">
        <f t="shared" si="2"/>
        <v>24</v>
      </c>
      <c r="Q18" s="40">
        <f t="shared" si="3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1</v>
      </c>
      <c r="AD18" s="10">
        <f t="shared" si="8"/>
        <v>1</v>
      </c>
      <c r="AE18" s="36">
        <f t="shared" si="6"/>
        <v>0.47159090909090912</v>
      </c>
      <c r="AF18" s="81">
        <f t="shared" si="7"/>
        <v>13</v>
      </c>
    </row>
    <row r="19" spans="1:32" ht="27" customHeight="1">
      <c r="A19" s="92">
        <v>14</v>
      </c>
      <c r="B19" s="11" t="s">
        <v>57</v>
      </c>
      <c r="C19" s="11" t="s">
        <v>112</v>
      </c>
      <c r="D19" s="52" t="s">
        <v>115</v>
      </c>
      <c r="E19" s="53" t="s">
        <v>261</v>
      </c>
      <c r="F19" s="30" t="s">
        <v>124</v>
      </c>
      <c r="G19" s="33">
        <v>2</v>
      </c>
      <c r="H19" s="35">
        <v>24</v>
      </c>
      <c r="I19" s="7">
        <v>1000</v>
      </c>
      <c r="J19" s="14">
        <v>290</v>
      </c>
      <c r="K19" s="15">
        <f>L19+1060+290</f>
        <v>1350</v>
      </c>
      <c r="L19" s="15"/>
      <c r="M19" s="15">
        <f t="shared" si="0"/>
        <v>0</v>
      </c>
      <c r="N19" s="15">
        <v>0</v>
      </c>
      <c r="O19" s="58" t="str">
        <f t="shared" si="1"/>
        <v>0</v>
      </c>
      <c r="P19" s="39" t="str">
        <f t="shared" si="2"/>
        <v>0</v>
      </c>
      <c r="Q19" s="40">
        <f t="shared" si="3"/>
        <v>24</v>
      </c>
      <c r="R19" s="7"/>
      <c r="S19" s="6"/>
      <c r="T19" s="16"/>
      <c r="U19" s="16"/>
      <c r="V19" s="17"/>
      <c r="W19" s="5">
        <v>24</v>
      </c>
      <c r="X19" s="16"/>
      <c r="Y19" s="16"/>
      <c r="Z19" s="16"/>
      <c r="AA19" s="18"/>
      <c r="AB19" s="8">
        <f t="shared" si="4"/>
        <v>0</v>
      </c>
      <c r="AC19" s="9">
        <f t="shared" si="5"/>
        <v>0</v>
      </c>
      <c r="AD19" s="10">
        <f t="shared" si="8"/>
        <v>0</v>
      </c>
      <c r="AE19" s="36">
        <f t="shared" si="6"/>
        <v>0.47159090909090912</v>
      </c>
      <c r="AF19" s="81">
        <f t="shared" si="7"/>
        <v>14</v>
      </c>
    </row>
    <row r="20" spans="1:32" ht="27" customHeight="1">
      <c r="A20" s="106">
        <v>15</v>
      </c>
      <c r="B20" s="11" t="s">
        <v>57</v>
      </c>
      <c r="C20" s="11" t="s">
        <v>112</v>
      </c>
      <c r="D20" s="52" t="s">
        <v>115</v>
      </c>
      <c r="E20" s="53" t="s">
        <v>148</v>
      </c>
      <c r="F20" s="30" t="s">
        <v>138</v>
      </c>
      <c r="G20" s="33">
        <v>2</v>
      </c>
      <c r="H20" s="35">
        <v>24</v>
      </c>
      <c r="I20" s="7">
        <v>190000</v>
      </c>
      <c r="J20" s="14">
        <v>1188</v>
      </c>
      <c r="K20" s="15">
        <f>L20+2429+7472+8688+7444+11036+10988+11010+10896+8170</f>
        <v>79321</v>
      </c>
      <c r="L20" s="15">
        <f>594*2</f>
        <v>1188</v>
      </c>
      <c r="M20" s="15">
        <f t="shared" si="0"/>
        <v>1188</v>
      </c>
      <c r="N20" s="15">
        <v>0</v>
      </c>
      <c r="O20" s="58">
        <f t="shared" si="1"/>
        <v>0</v>
      </c>
      <c r="P20" s="39">
        <f t="shared" si="2"/>
        <v>3</v>
      </c>
      <c r="Q20" s="40">
        <f t="shared" si="3"/>
        <v>21</v>
      </c>
      <c r="R20" s="7"/>
      <c r="S20" s="6">
        <v>21</v>
      </c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0.125</v>
      </c>
      <c r="AD20" s="10">
        <f t="shared" si="8"/>
        <v>0.125</v>
      </c>
      <c r="AE20" s="36">
        <f t="shared" si="6"/>
        <v>0.47159090909090912</v>
      </c>
      <c r="AF20" s="81">
        <f t="shared" si="7"/>
        <v>15</v>
      </c>
    </row>
    <row r="21" spans="1:32" ht="26.25" customHeight="1">
      <c r="A21" s="92">
        <v>16</v>
      </c>
      <c r="B21" s="11" t="s">
        <v>57</v>
      </c>
      <c r="C21" s="11" t="s">
        <v>113</v>
      </c>
      <c r="D21" s="52"/>
      <c r="E21" s="53" t="s">
        <v>160</v>
      </c>
      <c r="F21" s="12" t="s">
        <v>114</v>
      </c>
      <c r="G21" s="12">
        <v>4</v>
      </c>
      <c r="H21" s="35">
        <v>20</v>
      </c>
      <c r="I21" s="7">
        <v>2000000</v>
      </c>
      <c r="J21" s="14">
        <v>57856</v>
      </c>
      <c r="K21" s="15">
        <f>L21+29876+62940+54476+54396</f>
        <v>259544</v>
      </c>
      <c r="L21" s="15">
        <f>6394*4+8070*4</f>
        <v>57856</v>
      </c>
      <c r="M21" s="15">
        <f t="shared" si="0"/>
        <v>57856</v>
      </c>
      <c r="N21" s="15">
        <v>0</v>
      </c>
      <c r="O21" s="58">
        <f t="shared" si="1"/>
        <v>0</v>
      </c>
      <c r="P21" s="39">
        <f t="shared" si="2"/>
        <v>24</v>
      </c>
      <c r="Q21" s="40">
        <f t="shared" si="3"/>
        <v>0</v>
      </c>
      <c r="R21" s="7"/>
      <c r="S21" s="6"/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1</v>
      </c>
      <c r="AD21" s="10">
        <f t="shared" si="8"/>
        <v>1</v>
      </c>
      <c r="AE21" s="36">
        <f t="shared" si="6"/>
        <v>0.47159090909090912</v>
      </c>
      <c r="AF21" s="81">
        <f t="shared" si="7"/>
        <v>16</v>
      </c>
    </row>
    <row r="22" spans="1:32" ht="21.75" customHeight="1">
      <c r="A22" s="92">
        <v>31</v>
      </c>
      <c r="B22" s="11" t="s">
        <v>57</v>
      </c>
      <c r="C22" s="11" t="s">
        <v>191</v>
      </c>
      <c r="D22" s="52"/>
      <c r="E22" s="53" t="s">
        <v>192</v>
      </c>
      <c r="F22" s="12" t="s">
        <v>193</v>
      </c>
      <c r="G22" s="12">
        <v>30</v>
      </c>
      <c r="H22" s="35">
        <v>20</v>
      </c>
      <c r="I22" s="7">
        <v>2000000</v>
      </c>
      <c r="J22" s="14">
        <v>421290</v>
      </c>
      <c r="K22" s="15">
        <f>L22+353460+498300+465060</f>
        <v>1738110</v>
      </c>
      <c r="L22" s="15">
        <f>7151*30+6892*30</f>
        <v>421290</v>
      </c>
      <c r="M22" s="15">
        <f t="shared" si="0"/>
        <v>421290</v>
      </c>
      <c r="N22" s="15">
        <v>0</v>
      </c>
      <c r="O22" s="58">
        <f t="shared" si="1"/>
        <v>0</v>
      </c>
      <c r="P22" s="39">
        <f t="shared" si="2"/>
        <v>24</v>
      </c>
      <c r="Q22" s="40">
        <f t="shared" si="3"/>
        <v>0</v>
      </c>
      <c r="R22" s="7"/>
      <c r="S22" s="6"/>
      <c r="T22" s="16"/>
      <c r="U22" s="16"/>
      <c r="V22" s="17"/>
      <c r="W22" s="5"/>
      <c r="X22" s="16"/>
      <c r="Y22" s="16"/>
      <c r="Z22" s="16"/>
      <c r="AA22" s="18"/>
      <c r="AB22" s="8">
        <f t="shared" si="4"/>
        <v>1</v>
      </c>
      <c r="AC22" s="9">
        <f t="shared" si="5"/>
        <v>1</v>
      </c>
      <c r="AD22" s="10">
        <f t="shared" si="8"/>
        <v>1</v>
      </c>
      <c r="AE22" s="36">
        <f t="shared" si="6"/>
        <v>0.47159090909090912</v>
      </c>
      <c r="AF22" s="81">
        <f t="shared" si="7"/>
        <v>31</v>
      </c>
    </row>
    <row r="23" spans="1:32" ht="21.75" customHeight="1">
      <c r="A23" s="92">
        <v>32</v>
      </c>
      <c r="B23" s="11" t="s">
        <v>57</v>
      </c>
      <c r="C23" s="11"/>
      <c r="D23" s="52"/>
      <c r="E23" s="53"/>
      <c r="F23" s="12"/>
      <c r="G23" s="12"/>
      <c r="H23" s="35">
        <v>20</v>
      </c>
      <c r="I23" s="7"/>
      <c r="J23" s="14">
        <v>0</v>
      </c>
      <c r="K23" s="15">
        <f t="shared" ref="K23" si="9">L23</f>
        <v>0</v>
      </c>
      <c r="L23" s="15"/>
      <c r="M23" s="15">
        <f t="shared" si="0"/>
        <v>0</v>
      </c>
      <c r="N23" s="15">
        <v>0</v>
      </c>
      <c r="O23" s="58" t="str">
        <f t="shared" si="1"/>
        <v>0</v>
      </c>
      <c r="P23" s="39" t="str">
        <f t="shared" si="2"/>
        <v>0</v>
      </c>
      <c r="Q23" s="40">
        <f t="shared" si="3"/>
        <v>24</v>
      </c>
      <c r="R23" s="7"/>
      <c r="S23" s="6"/>
      <c r="T23" s="16"/>
      <c r="U23" s="16"/>
      <c r="V23" s="17"/>
      <c r="W23" s="5">
        <v>24</v>
      </c>
      <c r="X23" s="16"/>
      <c r="Y23" s="16"/>
      <c r="Z23" s="16"/>
      <c r="AA23" s="18"/>
      <c r="AB23" s="8" t="str">
        <f t="shared" si="4"/>
        <v>0</v>
      </c>
      <c r="AC23" s="9">
        <f t="shared" si="5"/>
        <v>0</v>
      </c>
      <c r="AD23" s="10">
        <f t="shared" si="8"/>
        <v>0</v>
      </c>
      <c r="AE23" s="36">
        <f t="shared" si="6"/>
        <v>0.47159090909090912</v>
      </c>
      <c r="AF23" s="81">
        <f t="shared" si="7"/>
        <v>32</v>
      </c>
    </row>
    <row r="24" spans="1:32" ht="21.75" customHeight="1">
      <c r="A24" s="92">
        <v>33</v>
      </c>
      <c r="B24" s="11" t="s">
        <v>57</v>
      </c>
      <c r="C24" s="11" t="s">
        <v>116</v>
      </c>
      <c r="D24" s="52" t="s">
        <v>147</v>
      </c>
      <c r="E24" s="53" t="s">
        <v>183</v>
      </c>
      <c r="F24" s="12" t="s">
        <v>124</v>
      </c>
      <c r="G24" s="12">
        <v>4</v>
      </c>
      <c r="H24" s="35">
        <v>20</v>
      </c>
      <c r="I24" s="7">
        <v>36000</v>
      </c>
      <c r="J24" s="14">
        <v>31996</v>
      </c>
      <c r="K24" s="15">
        <f>L24+20368+29324+31996</f>
        <v>81688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14"/>
      <c r="W24" s="5">
        <v>24</v>
      </c>
      <c r="X24" s="16"/>
      <c r="Y24" s="16"/>
      <c r="Z24" s="16"/>
      <c r="AA24" s="18"/>
      <c r="AB24" s="8">
        <f t="shared" si="4"/>
        <v>0</v>
      </c>
      <c r="AC24" s="9">
        <f t="shared" si="5"/>
        <v>0</v>
      </c>
      <c r="AD24" s="10">
        <f t="shared" si="8"/>
        <v>0</v>
      </c>
      <c r="AE24" s="36">
        <f t="shared" si="6"/>
        <v>0.47159090909090912</v>
      </c>
      <c r="AF24" s="81">
        <f t="shared" si="7"/>
        <v>33</v>
      </c>
    </row>
    <row r="25" spans="1:32" ht="21.75" customHeight="1">
      <c r="A25" s="92">
        <v>34</v>
      </c>
      <c r="B25" s="11" t="s">
        <v>57</v>
      </c>
      <c r="C25" s="11" t="s">
        <v>116</v>
      </c>
      <c r="D25" s="52" t="s">
        <v>129</v>
      </c>
      <c r="E25" s="53" t="s">
        <v>172</v>
      </c>
      <c r="F25" s="12" t="s">
        <v>125</v>
      </c>
      <c r="G25" s="12">
        <v>4</v>
      </c>
      <c r="H25" s="35">
        <v>20</v>
      </c>
      <c r="I25" s="7">
        <v>36000</v>
      </c>
      <c r="J25" s="14">
        <v>28802</v>
      </c>
      <c r="K25" s="15">
        <f>L25+13760+25860+25496+28600+28802</f>
        <v>122518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14"/>
      <c r="W25" s="5">
        <v>24</v>
      </c>
      <c r="X25" s="16"/>
      <c r="Y25" s="16"/>
      <c r="Z25" s="16"/>
      <c r="AA25" s="18"/>
      <c r="AB25" s="8">
        <f t="shared" si="4"/>
        <v>0</v>
      </c>
      <c r="AC25" s="9">
        <f t="shared" si="5"/>
        <v>0</v>
      </c>
      <c r="AD25" s="10">
        <f t="shared" si="8"/>
        <v>0</v>
      </c>
      <c r="AE25" s="36">
        <f t="shared" si="6"/>
        <v>0.47159090909090912</v>
      </c>
      <c r="AF25" s="81">
        <f t="shared" si="7"/>
        <v>34</v>
      </c>
    </row>
    <row r="26" spans="1:32" ht="21.75" customHeight="1">
      <c r="A26" s="92">
        <v>35</v>
      </c>
      <c r="B26" s="11" t="s">
        <v>57</v>
      </c>
      <c r="C26" s="11" t="s">
        <v>116</v>
      </c>
      <c r="D26" s="52" t="s">
        <v>121</v>
      </c>
      <c r="E26" s="53" t="s">
        <v>126</v>
      </c>
      <c r="F26" s="12" t="s">
        <v>125</v>
      </c>
      <c r="G26" s="12">
        <v>4</v>
      </c>
      <c r="H26" s="35">
        <v>20</v>
      </c>
      <c r="I26" s="7">
        <v>36000</v>
      </c>
      <c r="J26" s="14">
        <v>26944</v>
      </c>
      <c r="K26" s="15">
        <f>L26+24592+26944+21716</f>
        <v>73252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24</v>
      </c>
      <c r="R26" s="7"/>
      <c r="S26" s="6"/>
      <c r="T26" s="16"/>
      <c r="U26" s="16"/>
      <c r="V26" s="114"/>
      <c r="W26" s="5">
        <v>24</v>
      </c>
      <c r="X26" s="16"/>
      <c r="Y26" s="16"/>
      <c r="Z26" s="16"/>
      <c r="AA26" s="18"/>
      <c r="AB26" s="8">
        <f t="shared" si="4"/>
        <v>0</v>
      </c>
      <c r="AC26" s="9">
        <f t="shared" si="5"/>
        <v>0</v>
      </c>
      <c r="AD26" s="10">
        <f t="shared" si="8"/>
        <v>0</v>
      </c>
      <c r="AE26" s="36">
        <f t="shared" si="6"/>
        <v>0.47159090909090912</v>
      </c>
      <c r="AF26" s="81">
        <f t="shared" si="7"/>
        <v>35</v>
      </c>
    </row>
    <row r="27" spans="1:32" ht="21.75" customHeight="1" thickBot="1">
      <c r="A27" s="92">
        <v>36</v>
      </c>
      <c r="B27" s="11" t="s">
        <v>57</v>
      </c>
      <c r="C27" s="11" t="s">
        <v>116</v>
      </c>
      <c r="D27" s="52" t="s">
        <v>115</v>
      </c>
      <c r="E27" s="53" t="s">
        <v>174</v>
      </c>
      <c r="F27" s="12" t="s">
        <v>138</v>
      </c>
      <c r="G27" s="12">
        <v>3</v>
      </c>
      <c r="H27" s="35">
        <v>20</v>
      </c>
      <c r="I27" s="7">
        <v>36000</v>
      </c>
      <c r="J27" s="14">
        <v>9948</v>
      </c>
      <c r="K27" s="15">
        <f>L27+20295+19566+19965+9948</f>
        <v>69774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13</v>
      </c>
      <c r="R27" s="7"/>
      <c r="S27" s="6"/>
      <c r="T27" s="16"/>
      <c r="U27" s="16"/>
      <c r="V27" s="114"/>
      <c r="W27" s="5">
        <v>13</v>
      </c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8"/>
        <v>0</v>
      </c>
      <c r="AE27" s="36">
        <f t="shared" si="6"/>
        <v>0.47159090909090912</v>
      </c>
      <c r="AF27" s="81">
        <f t="shared" si="7"/>
        <v>36</v>
      </c>
    </row>
    <row r="28" spans="1:32" ht="19.5" thickBot="1">
      <c r="A28" s="435" t="s">
        <v>34</v>
      </c>
      <c r="B28" s="436"/>
      <c r="C28" s="436"/>
      <c r="D28" s="436"/>
      <c r="E28" s="436"/>
      <c r="F28" s="436"/>
      <c r="G28" s="436"/>
      <c r="H28" s="437"/>
      <c r="I28" s="22">
        <f t="shared" ref="I28:N28" si="10">SUM(I6:I27)</f>
        <v>5170600</v>
      </c>
      <c r="J28" s="19">
        <f t="shared" si="10"/>
        <v>673641</v>
      </c>
      <c r="K28" s="20">
        <f t="shared" si="10"/>
        <v>2772413</v>
      </c>
      <c r="L28" s="21">
        <f t="shared" si="10"/>
        <v>571751</v>
      </c>
      <c r="M28" s="20">
        <f t="shared" si="10"/>
        <v>571751</v>
      </c>
      <c r="N28" s="21">
        <f t="shared" si="10"/>
        <v>0</v>
      </c>
      <c r="O28" s="41">
        <f t="shared" si="1"/>
        <v>0</v>
      </c>
      <c r="P28" s="42">
        <f t="shared" ref="P28:AA28" si="11">SUM(P6:P27)</f>
        <v>249</v>
      </c>
      <c r="Q28" s="43">
        <f t="shared" si="11"/>
        <v>268</v>
      </c>
      <c r="R28" s="23">
        <f t="shared" si="11"/>
        <v>0</v>
      </c>
      <c r="S28" s="24">
        <f t="shared" si="11"/>
        <v>65</v>
      </c>
      <c r="T28" s="24">
        <f t="shared" si="11"/>
        <v>2</v>
      </c>
      <c r="U28" s="24">
        <f t="shared" si="11"/>
        <v>0</v>
      </c>
      <c r="V28" s="25">
        <f t="shared" si="11"/>
        <v>0</v>
      </c>
      <c r="W28" s="26">
        <f t="shared" si="11"/>
        <v>157</v>
      </c>
      <c r="X28" s="27">
        <f t="shared" si="11"/>
        <v>0</v>
      </c>
      <c r="Y28" s="27">
        <f t="shared" si="11"/>
        <v>0</v>
      </c>
      <c r="Z28" s="27">
        <f t="shared" si="11"/>
        <v>0</v>
      </c>
      <c r="AA28" s="27">
        <f t="shared" si="11"/>
        <v>44</v>
      </c>
      <c r="AB28" s="28">
        <f>AVERAGE(AB6:AB27)</f>
        <v>0.66666666666666663</v>
      </c>
      <c r="AC28" s="4">
        <f>AVERAGE(AC6:AC27)</f>
        <v>0.47159090909090912</v>
      </c>
      <c r="AD28" s="4">
        <f>AVERAGE(AD6:AD27)</f>
        <v>0.47159090909090912</v>
      </c>
      <c r="AE28" s="29"/>
    </row>
    <row r="29" spans="1:32">
      <c r="T29" s="50" t="s">
        <v>130</v>
      </c>
    </row>
    <row r="30" spans="1:32" ht="18.75">
      <c r="A30" s="2"/>
      <c r="B30" s="2" t="s">
        <v>35</v>
      </c>
      <c r="C30" s="2"/>
      <c r="D30" s="2"/>
      <c r="E30" s="2"/>
      <c r="F30" s="2"/>
      <c r="G30" s="2"/>
      <c r="H30" s="3"/>
      <c r="I30" s="3"/>
      <c r="J30" s="2"/>
      <c r="K30" s="2"/>
      <c r="L30" s="2"/>
      <c r="M30" s="2"/>
      <c r="N30" s="2" t="s">
        <v>36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1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 t="s">
        <v>131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F39" s="82"/>
    </row>
    <row r="40" spans="1:32" ht="14.2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F40" s="50"/>
    </row>
    <row r="41" spans="1:32" ht="14.2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F41" s="50"/>
    </row>
    <row r="42" spans="1:32" ht="14.2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50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27">
      <c r="A45" s="59"/>
      <c r="B45" s="59"/>
      <c r="C45" s="59"/>
      <c r="D45" s="59"/>
      <c r="E45" s="59"/>
      <c r="F45" s="37"/>
      <c r="G45" s="37"/>
      <c r="H45" s="38"/>
      <c r="I45" s="38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F45" s="50"/>
    </row>
    <row r="46" spans="1:32" ht="29.25" customHeight="1">
      <c r="A46" s="60"/>
      <c r="B46" s="60"/>
      <c r="C46" s="61"/>
      <c r="D46" s="61"/>
      <c r="E46" s="61"/>
      <c r="F46" s="60"/>
      <c r="G46" s="60"/>
      <c r="H46" s="60"/>
      <c r="I46" s="60"/>
      <c r="J46" s="60"/>
      <c r="K46" s="60"/>
      <c r="L46" s="60"/>
      <c r="M46" s="61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29.25" customHeight="1">
      <c r="A49" s="60"/>
      <c r="B49" s="60"/>
      <c r="C49" s="62"/>
      <c r="D49" s="61"/>
      <c r="E49" s="61"/>
      <c r="F49" s="60"/>
      <c r="G49" s="60"/>
      <c r="H49" s="60"/>
      <c r="I49" s="60"/>
      <c r="J49" s="60"/>
      <c r="K49" s="60"/>
      <c r="L49" s="60"/>
      <c r="M49" s="62"/>
      <c r="N49" s="60"/>
      <c r="O49" s="60"/>
      <c r="P49" s="63"/>
      <c r="Q49" s="63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14.2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F54" s="50"/>
    </row>
    <row r="55" spans="1:32" ht="36" thickBot="1">
      <c r="A55" s="438" t="s">
        <v>45</v>
      </c>
      <c r="B55" s="438"/>
      <c r="C55" s="438"/>
      <c r="D55" s="438"/>
      <c r="E55" s="438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F55" s="50"/>
    </row>
    <row r="56" spans="1:32" ht="26.25" thickBot="1">
      <c r="A56" s="439" t="s">
        <v>328</v>
      </c>
      <c r="B56" s="440"/>
      <c r="C56" s="440"/>
      <c r="D56" s="440"/>
      <c r="E56" s="440"/>
      <c r="F56" s="440"/>
      <c r="G56" s="440"/>
      <c r="H56" s="440"/>
      <c r="I56" s="440"/>
      <c r="J56" s="440"/>
      <c r="K56" s="440"/>
      <c r="L56" s="440"/>
      <c r="M56" s="441"/>
      <c r="N56" s="442" t="s">
        <v>356</v>
      </c>
      <c r="O56" s="443"/>
      <c r="P56" s="443"/>
      <c r="Q56" s="443"/>
      <c r="R56" s="443"/>
      <c r="S56" s="443"/>
      <c r="T56" s="443"/>
      <c r="U56" s="443"/>
      <c r="V56" s="443"/>
      <c r="W56" s="443"/>
      <c r="X56" s="443"/>
      <c r="Y56" s="443"/>
      <c r="Z56" s="443"/>
      <c r="AA56" s="443"/>
      <c r="AB56" s="443"/>
      <c r="AC56" s="443"/>
      <c r="AD56" s="444"/>
    </row>
    <row r="57" spans="1:32" ht="27" customHeight="1">
      <c r="A57" s="445" t="s">
        <v>2</v>
      </c>
      <c r="B57" s="446"/>
      <c r="C57" s="160" t="s">
        <v>46</v>
      </c>
      <c r="D57" s="160" t="s">
        <v>47</v>
      </c>
      <c r="E57" s="160" t="s">
        <v>107</v>
      </c>
      <c r="F57" s="447" t="s">
        <v>106</v>
      </c>
      <c r="G57" s="448"/>
      <c r="H57" s="448"/>
      <c r="I57" s="448"/>
      <c r="J57" s="448"/>
      <c r="K57" s="448"/>
      <c r="L57" s="448"/>
      <c r="M57" s="449"/>
      <c r="N57" s="67" t="s">
        <v>110</v>
      </c>
      <c r="O57" s="160" t="s">
        <v>46</v>
      </c>
      <c r="P57" s="447" t="s">
        <v>47</v>
      </c>
      <c r="Q57" s="450"/>
      <c r="R57" s="447" t="s">
        <v>38</v>
      </c>
      <c r="S57" s="448"/>
      <c r="T57" s="448"/>
      <c r="U57" s="450"/>
      <c r="V57" s="447" t="s">
        <v>48</v>
      </c>
      <c r="W57" s="448"/>
      <c r="X57" s="448"/>
      <c r="Y57" s="448"/>
      <c r="Z57" s="448"/>
      <c r="AA57" s="448"/>
      <c r="AB57" s="448"/>
      <c r="AC57" s="448"/>
      <c r="AD57" s="449"/>
    </row>
    <row r="58" spans="1:32" ht="27" customHeight="1">
      <c r="A58" s="429" t="s">
        <v>127</v>
      </c>
      <c r="B58" s="420"/>
      <c r="C58" s="162" t="s">
        <v>152</v>
      </c>
      <c r="D58" s="162"/>
      <c r="E58" s="162" t="s">
        <v>329</v>
      </c>
      <c r="F58" s="417" t="s">
        <v>122</v>
      </c>
      <c r="G58" s="418"/>
      <c r="H58" s="418"/>
      <c r="I58" s="418"/>
      <c r="J58" s="418"/>
      <c r="K58" s="418"/>
      <c r="L58" s="418"/>
      <c r="M58" s="419"/>
      <c r="N58" s="161" t="s">
        <v>127</v>
      </c>
      <c r="O58" s="168" t="s">
        <v>143</v>
      </c>
      <c r="P58" s="430" t="s">
        <v>129</v>
      </c>
      <c r="Q58" s="431"/>
      <c r="R58" s="430" t="s">
        <v>311</v>
      </c>
      <c r="S58" s="432"/>
      <c r="T58" s="432"/>
      <c r="U58" s="431"/>
      <c r="V58" s="417" t="s">
        <v>153</v>
      </c>
      <c r="W58" s="418"/>
      <c r="X58" s="418"/>
      <c r="Y58" s="418"/>
      <c r="Z58" s="418"/>
      <c r="AA58" s="418"/>
      <c r="AB58" s="418"/>
      <c r="AC58" s="418"/>
      <c r="AD58" s="419"/>
    </row>
    <row r="59" spans="1:32" ht="27" customHeight="1">
      <c r="A59" s="429" t="s">
        <v>127</v>
      </c>
      <c r="B59" s="420"/>
      <c r="C59" s="162" t="s">
        <v>330</v>
      </c>
      <c r="D59" s="162" t="s">
        <v>129</v>
      </c>
      <c r="E59" s="162" t="s">
        <v>331</v>
      </c>
      <c r="F59" s="417" t="s">
        <v>332</v>
      </c>
      <c r="G59" s="418"/>
      <c r="H59" s="418"/>
      <c r="I59" s="418"/>
      <c r="J59" s="418"/>
      <c r="K59" s="418"/>
      <c r="L59" s="418"/>
      <c r="M59" s="419"/>
      <c r="N59" s="182" t="s">
        <v>116</v>
      </c>
      <c r="O59" s="176" t="s">
        <v>154</v>
      </c>
      <c r="P59" s="430" t="s">
        <v>284</v>
      </c>
      <c r="Q59" s="431"/>
      <c r="R59" s="430" t="s">
        <v>312</v>
      </c>
      <c r="S59" s="432"/>
      <c r="T59" s="432"/>
      <c r="U59" s="431"/>
      <c r="V59" s="417" t="s">
        <v>153</v>
      </c>
      <c r="W59" s="418"/>
      <c r="X59" s="418"/>
      <c r="Y59" s="418"/>
      <c r="Z59" s="418"/>
      <c r="AA59" s="418"/>
      <c r="AB59" s="418"/>
      <c r="AC59" s="418"/>
      <c r="AD59" s="419"/>
    </row>
    <row r="60" spans="1:32" ht="27" customHeight="1">
      <c r="A60" s="429" t="s">
        <v>335</v>
      </c>
      <c r="B60" s="420"/>
      <c r="C60" s="162" t="s">
        <v>336</v>
      </c>
      <c r="D60" s="162" t="s">
        <v>129</v>
      </c>
      <c r="E60" s="162" t="s">
        <v>333</v>
      </c>
      <c r="F60" s="417" t="s">
        <v>334</v>
      </c>
      <c r="G60" s="418"/>
      <c r="H60" s="418"/>
      <c r="I60" s="418"/>
      <c r="J60" s="418"/>
      <c r="K60" s="418"/>
      <c r="L60" s="418"/>
      <c r="M60" s="419"/>
      <c r="N60" s="182" t="s">
        <v>127</v>
      </c>
      <c r="O60" s="176" t="s">
        <v>187</v>
      </c>
      <c r="P60" s="430" t="s">
        <v>284</v>
      </c>
      <c r="Q60" s="431"/>
      <c r="R60" s="430" t="s">
        <v>314</v>
      </c>
      <c r="S60" s="432"/>
      <c r="T60" s="432"/>
      <c r="U60" s="431"/>
      <c r="V60" s="417" t="s">
        <v>122</v>
      </c>
      <c r="W60" s="418"/>
      <c r="X60" s="418"/>
      <c r="Y60" s="418"/>
      <c r="Z60" s="418"/>
      <c r="AA60" s="418"/>
      <c r="AB60" s="418"/>
      <c r="AC60" s="418"/>
      <c r="AD60" s="419"/>
    </row>
    <row r="61" spans="1:32" ht="27" customHeight="1">
      <c r="A61" s="429" t="s">
        <v>335</v>
      </c>
      <c r="B61" s="420"/>
      <c r="C61" s="162" t="s">
        <v>337</v>
      </c>
      <c r="D61" s="162" t="s">
        <v>322</v>
      </c>
      <c r="E61" s="179" t="s">
        <v>338</v>
      </c>
      <c r="F61" s="417" t="s">
        <v>309</v>
      </c>
      <c r="G61" s="418"/>
      <c r="H61" s="418"/>
      <c r="I61" s="418"/>
      <c r="J61" s="418"/>
      <c r="K61" s="418"/>
      <c r="L61" s="418"/>
      <c r="M61" s="419"/>
      <c r="N61" s="161" t="s">
        <v>127</v>
      </c>
      <c r="O61" s="168" t="s">
        <v>351</v>
      </c>
      <c r="P61" s="430" t="s">
        <v>129</v>
      </c>
      <c r="Q61" s="431"/>
      <c r="R61" s="430" t="s">
        <v>357</v>
      </c>
      <c r="S61" s="432"/>
      <c r="T61" s="432"/>
      <c r="U61" s="431"/>
      <c r="V61" s="417" t="s">
        <v>122</v>
      </c>
      <c r="W61" s="418"/>
      <c r="X61" s="418"/>
      <c r="Y61" s="418"/>
      <c r="Z61" s="418"/>
      <c r="AA61" s="418"/>
      <c r="AB61" s="418"/>
      <c r="AC61" s="418"/>
      <c r="AD61" s="419"/>
    </row>
    <row r="62" spans="1:32" ht="27" customHeight="1">
      <c r="A62" s="429" t="s">
        <v>341</v>
      </c>
      <c r="B62" s="420"/>
      <c r="C62" s="162" t="s">
        <v>342</v>
      </c>
      <c r="D62" s="162" t="s">
        <v>343</v>
      </c>
      <c r="E62" s="162" t="s">
        <v>339</v>
      </c>
      <c r="F62" s="417" t="s">
        <v>340</v>
      </c>
      <c r="G62" s="418"/>
      <c r="H62" s="418"/>
      <c r="I62" s="418"/>
      <c r="J62" s="418"/>
      <c r="K62" s="418"/>
      <c r="L62" s="418"/>
      <c r="M62" s="419"/>
      <c r="N62" s="182" t="s">
        <v>112</v>
      </c>
      <c r="O62" s="176" t="s">
        <v>316</v>
      </c>
      <c r="P62" s="430" t="s">
        <v>115</v>
      </c>
      <c r="Q62" s="431"/>
      <c r="R62" s="430" t="s">
        <v>148</v>
      </c>
      <c r="S62" s="432"/>
      <c r="T62" s="432"/>
      <c r="U62" s="431"/>
      <c r="V62" s="417" t="s">
        <v>153</v>
      </c>
      <c r="W62" s="418"/>
      <c r="X62" s="418"/>
      <c r="Y62" s="418"/>
      <c r="Z62" s="418"/>
      <c r="AA62" s="418"/>
      <c r="AB62" s="418"/>
      <c r="AC62" s="418"/>
      <c r="AD62" s="419"/>
    </row>
    <row r="63" spans="1:32" ht="27" customHeight="1">
      <c r="A63" s="429" t="s">
        <v>127</v>
      </c>
      <c r="B63" s="420"/>
      <c r="C63" s="162" t="s">
        <v>344</v>
      </c>
      <c r="D63" s="162" t="s">
        <v>345</v>
      </c>
      <c r="E63" s="162" t="s">
        <v>324</v>
      </c>
      <c r="F63" s="417" t="s">
        <v>122</v>
      </c>
      <c r="G63" s="418"/>
      <c r="H63" s="418"/>
      <c r="I63" s="418"/>
      <c r="J63" s="418"/>
      <c r="K63" s="418"/>
      <c r="L63" s="418"/>
      <c r="M63" s="419"/>
      <c r="N63" s="161"/>
      <c r="O63" s="168"/>
      <c r="P63" s="430"/>
      <c r="Q63" s="431"/>
      <c r="R63" s="430"/>
      <c r="S63" s="432"/>
      <c r="T63" s="432"/>
      <c r="U63" s="431"/>
      <c r="V63" s="417"/>
      <c r="W63" s="418"/>
      <c r="X63" s="418"/>
      <c r="Y63" s="418"/>
      <c r="Z63" s="418"/>
      <c r="AA63" s="418"/>
      <c r="AB63" s="418"/>
      <c r="AC63" s="418"/>
      <c r="AD63" s="419"/>
    </row>
    <row r="64" spans="1:32" ht="27" customHeight="1">
      <c r="A64" s="429" t="s">
        <v>127</v>
      </c>
      <c r="B64" s="420"/>
      <c r="C64" s="162" t="s">
        <v>349</v>
      </c>
      <c r="D64" s="162" t="s">
        <v>343</v>
      </c>
      <c r="E64" s="162" t="s">
        <v>346</v>
      </c>
      <c r="F64" s="417" t="s">
        <v>347</v>
      </c>
      <c r="G64" s="418"/>
      <c r="H64" s="418"/>
      <c r="I64" s="418"/>
      <c r="J64" s="418"/>
      <c r="K64" s="418"/>
      <c r="L64" s="418"/>
      <c r="M64" s="419"/>
      <c r="N64" s="161"/>
      <c r="O64" s="168"/>
      <c r="P64" s="430"/>
      <c r="Q64" s="431"/>
      <c r="R64" s="430"/>
      <c r="S64" s="432"/>
      <c r="T64" s="432"/>
      <c r="U64" s="431"/>
      <c r="V64" s="417"/>
      <c r="W64" s="418"/>
      <c r="X64" s="418"/>
      <c r="Y64" s="418"/>
      <c r="Z64" s="418"/>
      <c r="AA64" s="418"/>
      <c r="AB64" s="418"/>
      <c r="AC64" s="418"/>
      <c r="AD64" s="419"/>
    </row>
    <row r="65" spans="1:32" ht="27" customHeight="1">
      <c r="A65" s="415" t="s">
        <v>127</v>
      </c>
      <c r="B65" s="416"/>
      <c r="C65" s="165" t="s">
        <v>349</v>
      </c>
      <c r="D65" s="165" t="s">
        <v>322</v>
      </c>
      <c r="E65" s="179" t="s">
        <v>348</v>
      </c>
      <c r="F65" s="417" t="s">
        <v>122</v>
      </c>
      <c r="G65" s="418"/>
      <c r="H65" s="418"/>
      <c r="I65" s="418"/>
      <c r="J65" s="418"/>
      <c r="K65" s="418"/>
      <c r="L65" s="418"/>
      <c r="M65" s="419"/>
      <c r="N65" s="161"/>
      <c r="O65" s="168"/>
      <c r="P65" s="430"/>
      <c r="Q65" s="431"/>
      <c r="R65" s="430"/>
      <c r="S65" s="432"/>
      <c r="T65" s="432"/>
      <c r="U65" s="431"/>
      <c r="V65" s="417"/>
      <c r="W65" s="418"/>
      <c r="X65" s="418"/>
      <c r="Y65" s="418"/>
      <c r="Z65" s="418"/>
      <c r="AA65" s="418"/>
      <c r="AB65" s="418"/>
      <c r="AC65" s="418"/>
      <c r="AD65" s="419"/>
    </row>
    <row r="66" spans="1:32" ht="27" customHeight="1">
      <c r="A66" s="415" t="s">
        <v>341</v>
      </c>
      <c r="B66" s="416"/>
      <c r="C66" s="165" t="s">
        <v>351</v>
      </c>
      <c r="D66" s="165" t="s">
        <v>352</v>
      </c>
      <c r="E66" s="162" t="s">
        <v>350</v>
      </c>
      <c r="F66" s="417" t="s">
        <v>122</v>
      </c>
      <c r="G66" s="418"/>
      <c r="H66" s="418"/>
      <c r="I66" s="418"/>
      <c r="J66" s="418"/>
      <c r="K66" s="418"/>
      <c r="L66" s="418"/>
      <c r="M66" s="419"/>
      <c r="N66" s="161"/>
      <c r="O66" s="168"/>
      <c r="P66" s="420"/>
      <c r="Q66" s="420"/>
      <c r="R66" s="420"/>
      <c r="S66" s="420"/>
      <c r="T66" s="420"/>
      <c r="U66" s="420"/>
      <c r="V66" s="417"/>
      <c r="W66" s="418"/>
      <c r="X66" s="418"/>
      <c r="Y66" s="418"/>
      <c r="Z66" s="418"/>
      <c r="AA66" s="418"/>
      <c r="AB66" s="418"/>
      <c r="AC66" s="418"/>
      <c r="AD66" s="419"/>
      <c r="AF66" s="81">
        <f>8*3000</f>
        <v>24000</v>
      </c>
    </row>
    <row r="67" spans="1:32" ht="27" customHeight="1" thickBot="1">
      <c r="A67" s="421" t="s">
        <v>341</v>
      </c>
      <c r="B67" s="422"/>
      <c r="C67" s="163" t="s">
        <v>354</v>
      </c>
      <c r="D67" s="164" t="s">
        <v>343</v>
      </c>
      <c r="E67" s="163" t="s">
        <v>353</v>
      </c>
      <c r="F67" s="423" t="s">
        <v>355</v>
      </c>
      <c r="G67" s="424"/>
      <c r="H67" s="424"/>
      <c r="I67" s="424"/>
      <c r="J67" s="424"/>
      <c r="K67" s="424"/>
      <c r="L67" s="424"/>
      <c r="M67" s="425"/>
      <c r="N67" s="105"/>
      <c r="O67" s="97"/>
      <c r="P67" s="426"/>
      <c r="Q67" s="426"/>
      <c r="R67" s="426"/>
      <c r="S67" s="426"/>
      <c r="T67" s="426"/>
      <c r="U67" s="426"/>
      <c r="V67" s="427"/>
      <c r="W67" s="427"/>
      <c r="X67" s="427"/>
      <c r="Y67" s="427"/>
      <c r="Z67" s="427"/>
      <c r="AA67" s="427"/>
      <c r="AB67" s="427"/>
      <c r="AC67" s="427"/>
      <c r="AD67" s="428"/>
      <c r="AF67" s="81">
        <f>16*3000</f>
        <v>48000</v>
      </c>
    </row>
    <row r="68" spans="1:32" ht="27.75" thickBot="1">
      <c r="A68" s="413" t="s">
        <v>369</v>
      </c>
      <c r="B68" s="413"/>
      <c r="C68" s="413"/>
      <c r="D68" s="413"/>
      <c r="E68" s="413"/>
      <c r="F68" s="37"/>
      <c r="G68" s="37"/>
      <c r="H68" s="38"/>
      <c r="I68" s="38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F68" s="81">
        <v>24000</v>
      </c>
    </row>
    <row r="69" spans="1:32" ht="29.25" customHeight="1" thickBot="1">
      <c r="A69" s="414" t="s">
        <v>111</v>
      </c>
      <c r="B69" s="411"/>
      <c r="C69" s="166" t="s">
        <v>2</v>
      </c>
      <c r="D69" s="166" t="s">
        <v>37</v>
      </c>
      <c r="E69" s="166" t="s">
        <v>3</v>
      </c>
      <c r="F69" s="411" t="s">
        <v>109</v>
      </c>
      <c r="G69" s="411"/>
      <c r="H69" s="411"/>
      <c r="I69" s="411"/>
      <c r="J69" s="411"/>
      <c r="K69" s="411" t="s">
        <v>39</v>
      </c>
      <c r="L69" s="411"/>
      <c r="M69" s="166" t="s">
        <v>40</v>
      </c>
      <c r="N69" s="411" t="s">
        <v>41</v>
      </c>
      <c r="O69" s="411"/>
      <c r="P69" s="408" t="s">
        <v>42</v>
      </c>
      <c r="Q69" s="410"/>
      <c r="R69" s="408" t="s">
        <v>43</v>
      </c>
      <c r="S69" s="409"/>
      <c r="T69" s="409"/>
      <c r="U69" s="409"/>
      <c r="V69" s="409"/>
      <c r="W69" s="409"/>
      <c r="X69" s="409"/>
      <c r="Y69" s="409"/>
      <c r="Z69" s="409"/>
      <c r="AA69" s="410"/>
      <c r="AB69" s="411" t="s">
        <v>44</v>
      </c>
      <c r="AC69" s="411"/>
      <c r="AD69" s="412"/>
      <c r="AF69" s="81">
        <f>SUM(AF66:AF68)</f>
        <v>96000</v>
      </c>
    </row>
    <row r="70" spans="1:32" ht="25.5" customHeight="1">
      <c r="A70" s="399">
        <v>1</v>
      </c>
      <c r="B70" s="400"/>
      <c r="C70" s="98" t="s">
        <v>341</v>
      </c>
      <c r="D70" s="170"/>
      <c r="E70" s="167" t="s">
        <v>343</v>
      </c>
      <c r="F70" s="401" t="s">
        <v>339</v>
      </c>
      <c r="G70" s="391"/>
      <c r="H70" s="391"/>
      <c r="I70" s="391"/>
      <c r="J70" s="391"/>
      <c r="K70" s="391" t="s">
        <v>362</v>
      </c>
      <c r="L70" s="391"/>
      <c r="M70" s="51" t="s">
        <v>363</v>
      </c>
      <c r="N70" s="402" t="s">
        <v>342</v>
      </c>
      <c r="O70" s="402"/>
      <c r="P70" s="403">
        <v>50</v>
      </c>
      <c r="Q70" s="403"/>
      <c r="R70" s="404"/>
      <c r="S70" s="404"/>
      <c r="T70" s="404"/>
      <c r="U70" s="404"/>
      <c r="V70" s="404"/>
      <c r="W70" s="404"/>
      <c r="X70" s="404"/>
      <c r="Y70" s="404"/>
      <c r="Z70" s="404"/>
      <c r="AA70" s="404"/>
      <c r="AB70" s="391"/>
      <c r="AC70" s="391"/>
      <c r="AD70" s="392"/>
      <c r="AF70" s="50"/>
    </row>
    <row r="71" spans="1:32" ht="25.5" customHeight="1">
      <c r="A71" s="399">
        <v>2</v>
      </c>
      <c r="B71" s="400"/>
      <c r="C71" s="98" t="s">
        <v>341</v>
      </c>
      <c r="D71" s="170"/>
      <c r="E71" s="167" t="s">
        <v>343</v>
      </c>
      <c r="F71" s="401" t="s">
        <v>358</v>
      </c>
      <c r="G71" s="391"/>
      <c r="H71" s="391"/>
      <c r="I71" s="391"/>
      <c r="J71" s="391"/>
      <c r="K71" s="391" t="s">
        <v>364</v>
      </c>
      <c r="L71" s="391"/>
      <c r="M71" s="51" t="s">
        <v>363</v>
      </c>
      <c r="N71" s="402" t="s">
        <v>342</v>
      </c>
      <c r="O71" s="402"/>
      <c r="P71" s="403">
        <v>200</v>
      </c>
      <c r="Q71" s="403"/>
      <c r="R71" s="404"/>
      <c r="S71" s="404"/>
      <c r="T71" s="404"/>
      <c r="U71" s="404"/>
      <c r="V71" s="404"/>
      <c r="W71" s="404"/>
      <c r="X71" s="404"/>
      <c r="Y71" s="404"/>
      <c r="Z71" s="404"/>
      <c r="AA71" s="404"/>
      <c r="AB71" s="391"/>
      <c r="AC71" s="391"/>
      <c r="AD71" s="392"/>
      <c r="AF71" s="50"/>
    </row>
    <row r="72" spans="1:32" ht="25.5" customHeight="1">
      <c r="A72" s="399">
        <v>3</v>
      </c>
      <c r="B72" s="400"/>
      <c r="C72" s="98" t="s">
        <v>341</v>
      </c>
      <c r="D72" s="170"/>
      <c r="E72" s="167" t="s">
        <v>343</v>
      </c>
      <c r="F72" s="401" t="s">
        <v>359</v>
      </c>
      <c r="G72" s="391"/>
      <c r="H72" s="391"/>
      <c r="I72" s="391"/>
      <c r="J72" s="391"/>
      <c r="K72" s="391" t="s">
        <v>365</v>
      </c>
      <c r="L72" s="391"/>
      <c r="M72" s="51" t="s">
        <v>363</v>
      </c>
      <c r="N72" s="402" t="s">
        <v>366</v>
      </c>
      <c r="O72" s="402"/>
      <c r="P72" s="403">
        <v>20</v>
      </c>
      <c r="Q72" s="403"/>
      <c r="R72" s="404"/>
      <c r="S72" s="404"/>
      <c r="T72" s="404"/>
      <c r="U72" s="404"/>
      <c r="V72" s="404"/>
      <c r="W72" s="404"/>
      <c r="X72" s="404"/>
      <c r="Y72" s="404"/>
      <c r="Z72" s="404"/>
      <c r="AA72" s="404"/>
      <c r="AB72" s="391"/>
      <c r="AC72" s="391"/>
      <c r="AD72" s="392"/>
      <c r="AF72" s="50"/>
    </row>
    <row r="73" spans="1:32" ht="25.5" customHeight="1">
      <c r="A73" s="399">
        <v>4</v>
      </c>
      <c r="B73" s="400"/>
      <c r="C73" s="98" t="s">
        <v>341</v>
      </c>
      <c r="D73" s="170"/>
      <c r="E73" s="167" t="s">
        <v>361</v>
      </c>
      <c r="F73" s="405" t="s">
        <v>360</v>
      </c>
      <c r="G73" s="406"/>
      <c r="H73" s="406"/>
      <c r="I73" s="406"/>
      <c r="J73" s="407"/>
      <c r="K73" s="391" t="s">
        <v>367</v>
      </c>
      <c r="L73" s="391"/>
      <c r="M73" s="51" t="s">
        <v>363</v>
      </c>
      <c r="N73" s="402" t="s">
        <v>368</v>
      </c>
      <c r="O73" s="402"/>
      <c r="P73" s="403">
        <v>200</v>
      </c>
      <c r="Q73" s="403"/>
      <c r="R73" s="404"/>
      <c r="S73" s="404"/>
      <c r="T73" s="404"/>
      <c r="U73" s="404"/>
      <c r="V73" s="404"/>
      <c r="W73" s="404"/>
      <c r="X73" s="404"/>
      <c r="Y73" s="404"/>
      <c r="Z73" s="404"/>
      <c r="AA73" s="404"/>
      <c r="AB73" s="391"/>
      <c r="AC73" s="391"/>
      <c r="AD73" s="392"/>
      <c r="AF73" s="50"/>
    </row>
    <row r="74" spans="1:32" ht="25.5" customHeight="1">
      <c r="A74" s="399">
        <v>5</v>
      </c>
      <c r="B74" s="400"/>
      <c r="C74" s="98"/>
      <c r="D74" s="170"/>
      <c r="E74" s="167"/>
      <c r="F74" s="405"/>
      <c r="G74" s="406"/>
      <c r="H74" s="406"/>
      <c r="I74" s="406"/>
      <c r="J74" s="407"/>
      <c r="K74" s="391"/>
      <c r="L74" s="391"/>
      <c r="M74" s="51"/>
      <c r="N74" s="402"/>
      <c r="O74" s="402"/>
      <c r="P74" s="403"/>
      <c r="Q74" s="403"/>
      <c r="R74" s="404"/>
      <c r="S74" s="404"/>
      <c r="T74" s="404"/>
      <c r="U74" s="404"/>
      <c r="V74" s="404"/>
      <c r="W74" s="404"/>
      <c r="X74" s="404"/>
      <c r="Y74" s="404"/>
      <c r="Z74" s="404"/>
      <c r="AA74" s="404"/>
      <c r="AB74" s="391"/>
      <c r="AC74" s="391"/>
      <c r="AD74" s="392"/>
      <c r="AF74" s="50"/>
    </row>
    <row r="75" spans="1:32" ht="25.5" customHeight="1">
      <c r="A75" s="399">
        <v>6</v>
      </c>
      <c r="B75" s="400"/>
      <c r="C75" s="98"/>
      <c r="D75" s="170"/>
      <c r="E75" s="167"/>
      <c r="F75" s="405"/>
      <c r="G75" s="406"/>
      <c r="H75" s="406"/>
      <c r="I75" s="406"/>
      <c r="J75" s="407"/>
      <c r="K75" s="391"/>
      <c r="L75" s="391"/>
      <c r="M75" s="51"/>
      <c r="N75" s="402"/>
      <c r="O75" s="402"/>
      <c r="P75" s="403"/>
      <c r="Q75" s="403"/>
      <c r="R75" s="404"/>
      <c r="S75" s="404"/>
      <c r="T75" s="404"/>
      <c r="U75" s="404"/>
      <c r="V75" s="404"/>
      <c r="W75" s="404"/>
      <c r="X75" s="404"/>
      <c r="Y75" s="404"/>
      <c r="Z75" s="404"/>
      <c r="AA75" s="404"/>
      <c r="AB75" s="391"/>
      <c r="AC75" s="391"/>
      <c r="AD75" s="392"/>
      <c r="AF75" s="50"/>
    </row>
    <row r="76" spans="1:32" ht="25.5" customHeight="1">
      <c r="A76" s="399">
        <v>7</v>
      </c>
      <c r="B76" s="400"/>
      <c r="C76" s="98"/>
      <c r="D76" s="170"/>
      <c r="E76" s="167"/>
      <c r="F76" s="405"/>
      <c r="G76" s="406"/>
      <c r="H76" s="406"/>
      <c r="I76" s="406"/>
      <c r="J76" s="407"/>
      <c r="K76" s="391"/>
      <c r="L76" s="391"/>
      <c r="M76" s="51"/>
      <c r="N76" s="402"/>
      <c r="O76" s="402"/>
      <c r="P76" s="403"/>
      <c r="Q76" s="403"/>
      <c r="R76" s="404"/>
      <c r="S76" s="404"/>
      <c r="T76" s="404"/>
      <c r="U76" s="404"/>
      <c r="V76" s="404"/>
      <c r="W76" s="404"/>
      <c r="X76" s="404"/>
      <c r="Y76" s="404"/>
      <c r="Z76" s="404"/>
      <c r="AA76" s="404"/>
      <c r="AB76" s="391"/>
      <c r="AC76" s="391"/>
      <c r="AD76" s="392"/>
      <c r="AF76" s="50"/>
    </row>
    <row r="77" spans="1:32" ht="25.5" customHeight="1">
      <c r="A77" s="399">
        <v>8</v>
      </c>
      <c r="B77" s="400"/>
      <c r="C77" s="98"/>
      <c r="D77" s="170"/>
      <c r="E77" s="167"/>
      <c r="F77" s="401"/>
      <c r="G77" s="391"/>
      <c r="H77" s="391"/>
      <c r="I77" s="391"/>
      <c r="J77" s="391"/>
      <c r="K77" s="391"/>
      <c r="L77" s="391"/>
      <c r="M77" s="51"/>
      <c r="N77" s="402"/>
      <c r="O77" s="402"/>
      <c r="P77" s="403"/>
      <c r="Q77" s="403"/>
      <c r="R77" s="404"/>
      <c r="S77" s="404"/>
      <c r="T77" s="404"/>
      <c r="U77" s="404"/>
      <c r="V77" s="404"/>
      <c r="W77" s="404"/>
      <c r="X77" s="404"/>
      <c r="Y77" s="404"/>
      <c r="Z77" s="404"/>
      <c r="AA77" s="404"/>
      <c r="AB77" s="391"/>
      <c r="AC77" s="391"/>
      <c r="AD77" s="392"/>
      <c r="AF77" s="50"/>
    </row>
    <row r="78" spans="1:32" ht="25.5" customHeight="1">
      <c r="A78" s="399">
        <v>9</v>
      </c>
      <c r="B78" s="400"/>
      <c r="C78" s="98"/>
      <c r="D78" s="170"/>
      <c r="E78" s="167"/>
      <c r="F78" s="401"/>
      <c r="G78" s="391"/>
      <c r="H78" s="391"/>
      <c r="I78" s="391"/>
      <c r="J78" s="391"/>
      <c r="K78" s="391"/>
      <c r="L78" s="391"/>
      <c r="M78" s="51"/>
      <c r="N78" s="402"/>
      <c r="O78" s="402"/>
      <c r="P78" s="403"/>
      <c r="Q78" s="403"/>
      <c r="R78" s="404"/>
      <c r="S78" s="404"/>
      <c r="T78" s="404"/>
      <c r="U78" s="404"/>
      <c r="V78" s="404"/>
      <c r="W78" s="404"/>
      <c r="X78" s="404"/>
      <c r="Y78" s="404"/>
      <c r="Z78" s="404"/>
      <c r="AA78" s="404"/>
      <c r="AB78" s="391"/>
      <c r="AC78" s="391"/>
      <c r="AD78" s="392"/>
      <c r="AF78" s="50"/>
    </row>
    <row r="79" spans="1:32" ht="25.5" customHeight="1">
      <c r="A79" s="399">
        <v>10</v>
      </c>
      <c r="B79" s="400"/>
      <c r="C79" s="98"/>
      <c r="D79" s="170"/>
      <c r="E79" s="167"/>
      <c r="F79" s="401"/>
      <c r="G79" s="391"/>
      <c r="H79" s="391"/>
      <c r="I79" s="391"/>
      <c r="J79" s="391"/>
      <c r="K79" s="391"/>
      <c r="L79" s="391"/>
      <c r="M79" s="51"/>
      <c r="N79" s="402"/>
      <c r="O79" s="402"/>
      <c r="P79" s="403"/>
      <c r="Q79" s="403"/>
      <c r="R79" s="404"/>
      <c r="S79" s="404"/>
      <c r="T79" s="404"/>
      <c r="U79" s="404"/>
      <c r="V79" s="404"/>
      <c r="W79" s="404"/>
      <c r="X79" s="404"/>
      <c r="Y79" s="404"/>
      <c r="Z79" s="404"/>
      <c r="AA79" s="404"/>
      <c r="AB79" s="391"/>
      <c r="AC79" s="391"/>
      <c r="AD79" s="392"/>
      <c r="AF79" s="50"/>
    </row>
    <row r="80" spans="1:32" ht="26.25" customHeight="1" thickBot="1">
      <c r="A80" s="371" t="s">
        <v>370</v>
      </c>
      <c r="B80" s="371"/>
      <c r="C80" s="371"/>
      <c r="D80" s="371"/>
      <c r="E80" s="371"/>
      <c r="F80" s="37"/>
      <c r="G80" s="37"/>
      <c r="H80" s="38"/>
      <c r="I80" s="38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F80" s="50"/>
    </row>
    <row r="81" spans="1:32" ht="23.25" thickBot="1">
      <c r="A81" s="393" t="s">
        <v>111</v>
      </c>
      <c r="B81" s="394"/>
      <c r="C81" s="169" t="s">
        <v>2</v>
      </c>
      <c r="D81" s="169" t="s">
        <v>37</v>
      </c>
      <c r="E81" s="169" t="s">
        <v>120</v>
      </c>
      <c r="F81" s="373" t="s">
        <v>38</v>
      </c>
      <c r="G81" s="373"/>
      <c r="H81" s="373"/>
      <c r="I81" s="373"/>
      <c r="J81" s="373"/>
      <c r="K81" s="395" t="s">
        <v>58</v>
      </c>
      <c r="L81" s="396"/>
      <c r="M81" s="396"/>
      <c r="N81" s="396"/>
      <c r="O81" s="396"/>
      <c r="P81" s="396"/>
      <c r="Q81" s="396"/>
      <c r="R81" s="396"/>
      <c r="S81" s="397"/>
      <c r="T81" s="373" t="s">
        <v>49</v>
      </c>
      <c r="U81" s="373"/>
      <c r="V81" s="395" t="s">
        <v>50</v>
      </c>
      <c r="W81" s="397"/>
      <c r="X81" s="396" t="s">
        <v>51</v>
      </c>
      <c r="Y81" s="396"/>
      <c r="Z81" s="396"/>
      <c r="AA81" s="396"/>
      <c r="AB81" s="396"/>
      <c r="AC81" s="396"/>
      <c r="AD81" s="398"/>
      <c r="AF81" s="50"/>
    </row>
    <row r="82" spans="1:32" ht="33.75" customHeight="1">
      <c r="A82" s="365">
        <v>1</v>
      </c>
      <c r="B82" s="366"/>
      <c r="C82" s="171"/>
      <c r="D82" s="171"/>
      <c r="E82" s="65"/>
      <c r="F82" s="380"/>
      <c r="G82" s="381"/>
      <c r="H82" s="381"/>
      <c r="I82" s="381"/>
      <c r="J82" s="382"/>
      <c r="K82" s="383"/>
      <c r="L82" s="384"/>
      <c r="M82" s="384"/>
      <c r="N82" s="384"/>
      <c r="O82" s="384"/>
      <c r="P82" s="384"/>
      <c r="Q82" s="384"/>
      <c r="R82" s="384"/>
      <c r="S82" s="385"/>
      <c r="T82" s="386"/>
      <c r="U82" s="387"/>
      <c r="V82" s="388"/>
      <c r="W82" s="388"/>
      <c r="X82" s="389"/>
      <c r="Y82" s="389"/>
      <c r="Z82" s="389"/>
      <c r="AA82" s="389"/>
      <c r="AB82" s="389"/>
      <c r="AC82" s="389"/>
      <c r="AD82" s="390"/>
      <c r="AF82" s="50"/>
    </row>
    <row r="83" spans="1:32" ht="30" customHeight="1">
      <c r="A83" s="358">
        <f>A82+1</f>
        <v>2</v>
      </c>
      <c r="B83" s="359"/>
      <c r="C83" s="170"/>
      <c r="D83" s="170"/>
      <c r="E83" s="32"/>
      <c r="F83" s="359"/>
      <c r="G83" s="359"/>
      <c r="H83" s="359"/>
      <c r="I83" s="359"/>
      <c r="J83" s="359"/>
      <c r="K83" s="374"/>
      <c r="L83" s="375"/>
      <c r="M83" s="375"/>
      <c r="N83" s="375"/>
      <c r="O83" s="375"/>
      <c r="P83" s="375"/>
      <c r="Q83" s="375"/>
      <c r="R83" s="375"/>
      <c r="S83" s="376"/>
      <c r="T83" s="377"/>
      <c r="U83" s="377"/>
      <c r="V83" s="377"/>
      <c r="W83" s="377"/>
      <c r="X83" s="378"/>
      <c r="Y83" s="378"/>
      <c r="Z83" s="378"/>
      <c r="AA83" s="378"/>
      <c r="AB83" s="378"/>
      <c r="AC83" s="378"/>
      <c r="AD83" s="379"/>
      <c r="AF83" s="50"/>
    </row>
    <row r="84" spans="1:32" ht="30" customHeight="1">
      <c r="A84" s="358">
        <f t="shared" ref="A84:A88" si="12">A83+1</f>
        <v>3</v>
      </c>
      <c r="B84" s="359"/>
      <c r="C84" s="170"/>
      <c r="D84" s="170"/>
      <c r="E84" s="32"/>
      <c r="F84" s="359"/>
      <c r="G84" s="359"/>
      <c r="H84" s="359"/>
      <c r="I84" s="359"/>
      <c r="J84" s="359"/>
      <c r="K84" s="374"/>
      <c r="L84" s="375"/>
      <c r="M84" s="375"/>
      <c r="N84" s="375"/>
      <c r="O84" s="375"/>
      <c r="P84" s="375"/>
      <c r="Q84" s="375"/>
      <c r="R84" s="375"/>
      <c r="S84" s="376"/>
      <c r="T84" s="377"/>
      <c r="U84" s="377"/>
      <c r="V84" s="377"/>
      <c r="W84" s="377"/>
      <c r="X84" s="378"/>
      <c r="Y84" s="378"/>
      <c r="Z84" s="378"/>
      <c r="AA84" s="378"/>
      <c r="AB84" s="378"/>
      <c r="AC84" s="378"/>
      <c r="AD84" s="379"/>
      <c r="AF84" s="50"/>
    </row>
    <row r="85" spans="1:32" ht="30" customHeight="1">
      <c r="A85" s="358">
        <f t="shared" si="12"/>
        <v>4</v>
      </c>
      <c r="B85" s="359"/>
      <c r="C85" s="170"/>
      <c r="D85" s="170"/>
      <c r="E85" s="32"/>
      <c r="F85" s="359"/>
      <c r="G85" s="359"/>
      <c r="H85" s="359"/>
      <c r="I85" s="359"/>
      <c r="J85" s="359"/>
      <c r="K85" s="374"/>
      <c r="L85" s="375"/>
      <c r="M85" s="375"/>
      <c r="N85" s="375"/>
      <c r="O85" s="375"/>
      <c r="P85" s="375"/>
      <c r="Q85" s="375"/>
      <c r="R85" s="375"/>
      <c r="S85" s="376"/>
      <c r="T85" s="377"/>
      <c r="U85" s="377"/>
      <c r="V85" s="377"/>
      <c r="W85" s="377"/>
      <c r="X85" s="378"/>
      <c r="Y85" s="378"/>
      <c r="Z85" s="378"/>
      <c r="AA85" s="378"/>
      <c r="AB85" s="378"/>
      <c r="AC85" s="378"/>
      <c r="AD85" s="379"/>
      <c r="AF85" s="50"/>
    </row>
    <row r="86" spans="1:32" ht="30" customHeight="1">
      <c r="A86" s="358">
        <f t="shared" si="12"/>
        <v>5</v>
      </c>
      <c r="B86" s="359"/>
      <c r="C86" s="170"/>
      <c r="D86" s="170"/>
      <c r="E86" s="32"/>
      <c r="F86" s="359"/>
      <c r="G86" s="359"/>
      <c r="H86" s="359"/>
      <c r="I86" s="359"/>
      <c r="J86" s="359"/>
      <c r="K86" s="374"/>
      <c r="L86" s="375"/>
      <c r="M86" s="375"/>
      <c r="N86" s="375"/>
      <c r="O86" s="375"/>
      <c r="P86" s="375"/>
      <c r="Q86" s="375"/>
      <c r="R86" s="375"/>
      <c r="S86" s="376"/>
      <c r="T86" s="377"/>
      <c r="U86" s="377"/>
      <c r="V86" s="377"/>
      <c r="W86" s="377"/>
      <c r="X86" s="378"/>
      <c r="Y86" s="378"/>
      <c r="Z86" s="378"/>
      <c r="AA86" s="378"/>
      <c r="AB86" s="378"/>
      <c r="AC86" s="378"/>
      <c r="AD86" s="379"/>
      <c r="AF86" s="50"/>
    </row>
    <row r="87" spans="1:32" ht="30" customHeight="1">
      <c r="A87" s="358">
        <f t="shared" si="12"/>
        <v>6</v>
      </c>
      <c r="B87" s="359"/>
      <c r="C87" s="170"/>
      <c r="D87" s="170"/>
      <c r="E87" s="32"/>
      <c r="F87" s="359"/>
      <c r="G87" s="359"/>
      <c r="H87" s="359"/>
      <c r="I87" s="359"/>
      <c r="J87" s="359"/>
      <c r="K87" s="374"/>
      <c r="L87" s="375"/>
      <c r="M87" s="375"/>
      <c r="N87" s="375"/>
      <c r="O87" s="375"/>
      <c r="P87" s="375"/>
      <c r="Q87" s="375"/>
      <c r="R87" s="375"/>
      <c r="S87" s="376"/>
      <c r="T87" s="377"/>
      <c r="U87" s="377"/>
      <c r="V87" s="377"/>
      <c r="W87" s="377"/>
      <c r="X87" s="378"/>
      <c r="Y87" s="378"/>
      <c r="Z87" s="378"/>
      <c r="AA87" s="378"/>
      <c r="AB87" s="378"/>
      <c r="AC87" s="378"/>
      <c r="AD87" s="379"/>
      <c r="AF87" s="50"/>
    </row>
    <row r="88" spans="1:32" ht="30" customHeight="1">
      <c r="A88" s="358">
        <f t="shared" si="12"/>
        <v>7</v>
      </c>
      <c r="B88" s="359"/>
      <c r="C88" s="170"/>
      <c r="D88" s="170"/>
      <c r="E88" s="32"/>
      <c r="F88" s="359"/>
      <c r="G88" s="359"/>
      <c r="H88" s="359"/>
      <c r="I88" s="359"/>
      <c r="J88" s="359"/>
      <c r="K88" s="374"/>
      <c r="L88" s="375"/>
      <c r="M88" s="375"/>
      <c r="N88" s="375"/>
      <c r="O88" s="375"/>
      <c r="P88" s="375"/>
      <c r="Q88" s="375"/>
      <c r="R88" s="375"/>
      <c r="S88" s="376"/>
      <c r="T88" s="377"/>
      <c r="U88" s="377"/>
      <c r="V88" s="377"/>
      <c r="W88" s="377"/>
      <c r="X88" s="378"/>
      <c r="Y88" s="378"/>
      <c r="Z88" s="378"/>
      <c r="AA88" s="378"/>
      <c r="AB88" s="378"/>
      <c r="AC88" s="378"/>
      <c r="AD88" s="379"/>
      <c r="AF88" s="50"/>
    </row>
    <row r="89" spans="1:32" ht="36" thickBot="1">
      <c r="A89" s="371" t="s">
        <v>371</v>
      </c>
      <c r="B89" s="371"/>
      <c r="C89" s="371"/>
      <c r="D89" s="371"/>
      <c r="E89" s="371"/>
      <c r="F89" s="37"/>
      <c r="G89" s="37"/>
      <c r="H89" s="38"/>
      <c r="I89" s="38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F89" s="50"/>
    </row>
    <row r="90" spans="1:32" ht="30.75" customHeight="1" thickBot="1">
      <c r="A90" s="372" t="s">
        <v>111</v>
      </c>
      <c r="B90" s="373"/>
      <c r="C90" s="363" t="s">
        <v>52</v>
      </c>
      <c r="D90" s="363"/>
      <c r="E90" s="363" t="s">
        <v>53</v>
      </c>
      <c r="F90" s="363"/>
      <c r="G90" s="363"/>
      <c r="H90" s="363"/>
      <c r="I90" s="363"/>
      <c r="J90" s="363"/>
      <c r="K90" s="363" t="s">
        <v>54</v>
      </c>
      <c r="L90" s="363"/>
      <c r="M90" s="363"/>
      <c r="N90" s="363"/>
      <c r="O90" s="363"/>
      <c r="P90" s="363"/>
      <c r="Q90" s="363"/>
      <c r="R90" s="363"/>
      <c r="S90" s="363"/>
      <c r="T90" s="363" t="s">
        <v>55</v>
      </c>
      <c r="U90" s="363"/>
      <c r="V90" s="363" t="s">
        <v>56</v>
      </c>
      <c r="W90" s="363"/>
      <c r="X90" s="363"/>
      <c r="Y90" s="363" t="s">
        <v>51</v>
      </c>
      <c r="Z90" s="363"/>
      <c r="AA90" s="363"/>
      <c r="AB90" s="363"/>
      <c r="AC90" s="363"/>
      <c r="AD90" s="364"/>
      <c r="AF90" s="50"/>
    </row>
    <row r="91" spans="1:32" ht="30.75" customHeight="1">
      <c r="A91" s="365">
        <v>1</v>
      </c>
      <c r="B91" s="366"/>
      <c r="C91" s="367"/>
      <c r="D91" s="367"/>
      <c r="E91" s="367"/>
      <c r="F91" s="367"/>
      <c r="G91" s="367"/>
      <c r="H91" s="367"/>
      <c r="I91" s="367"/>
      <c r="J91" s="367"/>
      <c r="K91" s="367"/>
      <c r="L91" s="367"/>
      <c r="M91" s="367"/>
      <c r="N91" s="367"/>
      <c r="O91" s="367"/>
      <c r="P91" s="367"/>
      <c r="Q91" s="367"/>
      <c r="R91" s="367"/>
      <c r="S91" s="367"/>
      <c r="T91" s="367"/>
      <c r="U91" s="367"/>
      <c r="V91" s="368"/>
      <c r="W91" s="368"/>
      <c r="X91" s="368"/>
      <c r="Y91" s="369"/>
      <c r="Z91" s="369"/>
      <c r="AA91" s="369"/>
      <c r="AB91" s="369"/>
      <c r="AC91" s="369"/>
      <c r="AD91" s="370"/>
      <c r="AF91" s="50"/>
    </row>
    <row r="92" spans="1:32" ht="30.75" customHeight="1">
      <c r="A92" s="358">
        <v>2</v>
      </c>
      <c r="B92" s="359"/>
      <c r="C92" s="360"/>
      <c r="D92" s="360"/>
      <c r="E92" s="360"/>
      <c r="F92" s="360"/>
      <c r="G92" s="360"/>
      <c r="H92" s="360"/>
      <c r="I92" s="360"/>
      <c r="J92" s="360"/>
      <c r="K92" s="360"/>
      <c r="L92" s="360"/>
      <c r="M92" s="360"/>
      <c r="N92" s="360"/>
      <c r="O92" s="360"/>
      <c r="P92" s="360"/>
      <c r="Q92" s="360"/>
      <c r="R92" s="360"/>
      <c r="S92" s="360"/>
      <c r="T92" s="361"/>
      <c r="U92" s="361"/>
      <c r="V92" s="362"/>
      <c r="W92" s="362"/>
      <c r="X92" s="362"/>
      <c r="Y92" s="350"/>
      <c r="Z92" s="350"/>
      <c r="AA92" s="350"/>
      <c r="AB92" s="350"/>
      <c r="AC92" s="350"/>
      <c r="AD92" s="351"/>
      <c r="AF92" s="50"/>
    </row>
    <row r="93" spans="1:32" ht="30.75" customHeight="1" thickBot="1">
      <c r="A93" s="352">
        <v>3</v>
      </c>
      <c r="B93" s="353"/>
      <c r="C93" s="354"/>
      <c r="D93" s="354"/>
      <c r="E93" s="354"/>
      <c r="F93" s="354"/>
      <c r="G93" s="354"/>
      <c r="H93" s="354"/>
      <c r="I93" s="354"/>
      <c r="J93" s="354"/>
      <c r="K93" s="354"/>
      <c r="L93" s="354"/>
      <c r="M93" s="354"/>
      <c r="N93" s="354"/>
      <c r="O93" s="354"/>
      <c r="P93" s="354"/>
      <c r="Q93" s="354"/>
      <c r="R93" s="354"/>
      <c r="S93" s="354"/>
      <c r="T93" s="354"/>
      <c r="U93" s="354"/>
      <c r="V93" s="355"/>
      <c r="W93" s="355"/>
      <c r="X93" s="355"/>
      <c r="Y93" s="356"/>
      <c r="Z93" s="356"/>
      <c r="AA93" s="356"/>
      <c r="AB93" s="356"/>
      <c r="AC93" s="356"/>
      <c r="AD93" s="357"/>
      <c r="AF93" s="50"/>
    </row>
  </sheetData>
  <mergeCells count="232">
    <mergeCell ref="Y92:AD92"/>
    <mergeCell ref="A93:B93"/>
    <mergeCell ref="C93:D93"/>
    <mergeCell ref="E93:J93"/>
    <mergeCell ref="K93:S93"/>
    <mergeCell ref="T93:U93"/>
    <mergeCell ref="V93:X93"/>
    <mergeCell ref="Y93:AD93"/>
    <mergeCell ref="A92:B92"/>
    <mergeCell ref="C92:D92"/>
    <mergeCell ref="E92:J92"/>
    <mergeCell ref="K92:S92"/>
    <mergeCell ref="T92:U92"/>
    <mergeCell ref="V92:X92"/>
    <mergeCell ref="V90:X90"/>
    <mergeCell ref="Y90:AD90"/>
    <mergeCell ref="A91:B91"/>
    <mergeCell ref="C91:D91"/>
    <mergeCell ref="E91:J91"/>
    <mergeCell ref="K91:S91"/>
    <mergeCell ref="T91:U91"/>
    <mergeCell ref="V91:X91"/>
    <mergeCell ref="Y91:AD91"/>
    <mergeCell ref="A89:E89"/>
    <mergeCell ref="A90:B90"/>
    <mergeCell ref="C90:D90"/>
    <mergeCell ref="E90:J90"/>
    <mergeCell ref="K90:S90"/>
    <mergeCell ref="T90:U90"/>
    <mergeCell ref="A88:B88"/>
    <mergeCell ref="F88:J88"/>
    <mergeCell ref="K88:S88"/>
    <mergeCell ref="T88:U88"/>
    <mergeCell ref="V88:W88"/>
    <mergeCell ref="X88:AD88"/>
    <mergeCell ref="A87:B87"/>
    <mergeCell ref="F87:J87"/>
    <mergeCell ref="K87:S87"/>
    <mergeCell ref="T87:U87"/>
    <mergeCell ref="V87:W87"/>
    <mergeCell ref="X87:AD87"/>
    <mergeCell ref="A86:B86"/>
    <mergeCell ref="F86:J86"/>
    <mergeCell ref="K86:S86"/>
    <mergeCell ref="T86:U86"/>
    <mergeCell ref="V86:W86"/>
    <mergeCell ref="X86:AD86"/>
    <mergeCell ref="A85:B85"/>
    <mergeCell ref="F85:J85"/>
    <mergeCell ref="K85:S85"/>
    <mergeCell ref="T85:U85"/>
    <mergeCell ref="V85:W85"/>
    <mergeCell ref="X85:AD85"/>
    <mergeCell ref="A84:B84"/>
    <mergeCell ref="F84:J84"/>
    <mergeCell ref="K84:S84"/>
    <mergeCell ref="T84:U84"/>
    <mergeCell ref="V84:W84"/>
    <mergeCell ref="X84:AD84"/>
    <mergeCell ref="A83:B83"/>
    <mergeCell ref="F83:J83"/>
    <mergeCell ref="K83:S83"/>
    <mergeCell ref="T83:U83"/>
    <mergeCell ref="V83:W83"/>
    <mergeCell ref="X83:AD83"/>
    <mergeCell ref="A82:B82"/>
    <mergeCell ref="F82:J82"/>
    <mergeCell ref="K82:S82"/>
    <mergeCell ref="T82:U82"/>
    <mergeCell ref="V82:W82"/>
    <mergeCell ref="X82:AD82"/>
    <mergeCell ref="AB79:AD79"/>
    <mergeCell ref="A80:E80"/>
    <mergeCell ref="A81:B81"/>
    <mergeCell ref="F81:J81"/>
    <mergeCell ref="K81:S81"/>
    <mergeCell ref="T81:U81"/>
    <mergeCell ref="V81:W81"/>
    <mergeCell ref="X81:AD81"/>
    <mergeCell ref="A79:B79"/>
    <mergeCell ref="F79:J79"/>
    <mergeCell ref="K79:L79"/>
    <mergeCell ref="N79:O79"/>
    <mergeCell ref="P79:Q79"/>
    <mergeCell ref="R79:AA79"/>
    <mergeCell ref="AB77:AD77"/>
    <mergeCell ref="A78:B78"/>
    <mergeCell ref="F78:J78"/>
    <mergeCell ref="K78:L78"/>
    <mergeCell ref="N78:O78"/>
    <mergeCell ref="P78:Q78"/>
    <mergeCell ref="R78:AA78"/>
    <mergeCell ref="AB78:AD78"/>
    <mergeCell ref="A77:B77"/>
    <mergeCell ref="F77:J77"/>
    <mergeCell ref="K77:L77"/>
    <mergeCell ref="N77:O77"/>
    <mergeCell ref="P77:Q77"/>
    <mergeCell ref="R77:AA77"/>
    <mergeCell ref="AB75:AD75"/>
    <mergeCell ref="A76:B76"/>
    <mergeCell ref="F76:J76"/>
    <mergeCell ref="K76:L76"/>
    <mergeCell ref="N76:O76"/>
    <mergeCell ref="P76:Q76"/>
    <mergeCell ref="R76:AA76"/>
    <mergeCell ref="AB76:AD76"/>
    <mergeCell ref="A75:B75"/>
    <mergeCell ref="F75:J75"/>
    <mergeCell ref="K75:L75"/>
    <mergeCell ref="N75:O75"/>
    <mergeCell ref="P75:Q75"/>
    <mergeCell ref="R75:AA75"/>
    <mergeCell ref="AB73:AD73"/>
    <mergeCell ref="A74:B74"/>
    <mergeCell ref="F74:J74"/>
    <mergeCell ref="K74:L74"/>
    <mergeCell ref="N74:O74"/>
    <mergeCell ref="P74:Q74"/>
    <mergeCell ref="R74:AA74"/>
    <mergeCell ref="AB74:AD74"/>
    <mergeCell ref="A73:B73"/>
    <mergeCell ref="F73:J73"/>
    <mergeCell ref="K73:L73"/>
    <mergeCell ref="N73:O73"/>
    <mergeCell ref="P73:Q73"/>
    <mergeCell ref="R73:AA73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R69:AA69"/>
    <mergeCell ref="AB69:AD69"/>
    <mergeCell ref="A70:B70"/>
    <mergeCell ref="F70:J70"/>
    <mergeCell ref="K70:L70"/>
    <mergeCell ref="N70:O70"/>
    <mergeCell ref="P70:Q70"/>
    <mergeCell ref="R70:AA70"/>
    <mergeCell ref="AB70:AD70"/>
    <mergeCell ref="A68:E68"/>
    <mergeCell ref="A69:B69"/>
    <mergeCell ref="F69:J69"/>
    <mergeCell ref="K69:L69"/>
    <mergeCell ref="N69:O69"/>
    <mergeCell ref="P69:Q69"/>
    <mergeCell ref="A66:B66"/>
    <mergeCell ref="F66:M66"/>
    <mergeCell ref="P66:Q66"/>
    <mergeCell ref="R66:U66"/>
    <mergeCell ref="V66:AD66"/>
    <mergeCell ref="A67:B67"/>
    <mergeCell ref="F67:M67"/>
    <mergeCell ref="P67:Q67"/>
    <mergeCell ref="R67:U67"/>
    <mergeCell ref="V67:AD67"/>
    <mergeCell ref="A64:B64"/>
    <mergeCell ref="F64:M64"/>
    <mergeCell ref="P64:Q64"/>
    <mergeCell ref="R64:U64"/>
    <mergeCell ref="V64:AD64"/>
    <mergeCell ref="A65:B65"/>
    <mergeCell ref="F65:M65"/>
    <mergeCell ref="P65:Q65"/>
    <mergeCell ref="R65:U65"/>
    <mergeCell ref="V65:AD65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D4:AD5"/>
    <mergeCell ref="A28:H28"/>
    <mergeCell ref="A55:E55"/>
    <mergeCell ref="A56:M56"/>
    <mergeCell ref="N56:AD56"/>
    <mergeCell ref="A57:B57"/>
    <mergeCell ref="F57:M57"/>
    <mergeCell ref="P57:Q57"/>
    <mergeCell ref="R57:U57"/>
    <mergeCell ref="V57:AD57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r:id="rId1"/>
  <rowBreaks count="1" manualBreakCount="1">
    <brk id="53" max="29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E7F2E-A8FF-4595-B027-31763E1DA71E}">
  <sheetPr codeName="Sheet7">
    <pageSetUpPr fitToPage="1"/>
  </sheetPr>
  <dimension ref="A1:AF97"/>
  <sheetViews>
    <sheetView view="pageBreakPreview" zoomScale="70" zoomScaleNormal="72" zoomScaleSheetLayoutView="70" workbookViewId="0">
      <selection activeCell="A8" sqref="A8:XFD8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1" bestFit="1" customWidth="1"/>
    <col min="33" max="33" width="17.625" style="50" customWidth="1"/>
    <col min="34" max="16384" width="9" style="50"/>
  </cols>
  <sheetData>
    <row r="1" spans="1:32" ht="44.25" customHeight="1">
      <c r="A1" s="461" t="s">
        <v>372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61"/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62"/>
      <c r="B3" s="462"/>
      <c r="C3" s="462"/>
      <c r="D3" s="462"/>
      <c r="E3" s="462"/>
      <c r="F3" s="462"/>
      <c r="G3" s="462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63" t="s">
        <v>0</v>
      </c>
      <c r="B4" s="465" t="s">
        <v>1</v>
      </c>
      <c r="C4" s="465" t="s">
        <v>2</v>
      </c>
      <c r="D4" s="468" t="s">
        <v>3</v>
      </c>
      <c r="E4" s="470" t="s">
        <v>4</v>
      </c>
      <c r="F4" s="468" t="s">
        <v>5</v>
      </c>
      <c r="G4" s="465" t="s">
        <v>6</v>
      </c>
      <c r="H4" s="471" t="s">
        <v>7</v>
      </c>
      <c r="I4" s="451" t="s">
        <v>8</v>
      </c>
      <c r="J4" s="452"/>
      <c r="K4" s="452"/>
      <c r="L4" s="452"/>
      <c r="M4" s="452"/>
      <c r="N4" s="452"/>
      <c r="O4" s="453"/>
      <c r="P4" s="454" t="s">
        <v>9</v>
      </c>
      <c r="Q4" s="455"/>
      <c r="R4" s="456" t="s">
        <v>10</v>
      </c>
      <c r="S4" s="457"/>
      <c r="T4" s="457"/>
      <c r="U4" s="457"/>
      <c r="V4" s="458"/>
      <c r="W4" s="457" t="s">
        <v>11</v>
      </c>
      <c r="X4" s="457"/>
      <c r="Y4" s="457"/>
      <c r="Z4" s="457"/>
      <c r="AA4" s="458"/>
      <c r="AB4" s="459" t="s">
        <v>12</v>
      </c>
      <c r="AC4" s="433" t="s">
        <v>13</v>
      </c>
      <c r="AD4" s="433" t="s">
        <v>14</v>
      </c>
      <c r="AE4" s="54"/>
    </row>
    <row r="5" spans="1:32" ht="51" customHeight="1" thickBot="1">
      <c r="A5" s="464"/>
      <c r="B5" s="466"/>
      <c r="C5" s="467"/>
      <c r="D5" s="469"/>
      <c r="E5" s="469"/>
      <c r="F5" s="469"/>
      <c r="G5" s="466"/>
      <c r="H5" s="472"/>
      <c r="I5" s="55" t="s">
        <v>15</v>
      </c>
      <c r="J5" s="56" t="s">
        <v>16</v>
      </c>
      <c r="K5" s="184" t="s">
        <v>17</v>
      </c>
      <c r="L5" s="184" t="s">
        <v>18</v>
      </c>
      <c r="M5" s="184" t="s">
        <v>19</v>
      </c>
      <c r="N5" s="184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60"/>
      <c r="AC5" s="434"/>
      <c r="AD5" s="434"/>
      <c r="AE5" s="54"/>
    </row>
    <row r="6" spans="1:32" ht="27" customHeight="1">
      <c r="A6" s="106">
        <v>1</v>
      </c>
      <c r="B6" s="11" t="s">
        <v>57</v>
      </c>
      <c r="C6" s="34" t="s">
        <v>127</v>
      </c>
      <c r="D6" s="52" t="s">
        <v>129</v>
      </c>
      <c r="E6" s="53" t="s">
        <v>311</v>
      </c>
      <c r="F6" s="30" t="s">
        <v>321</v>
      </c>
      <c r="G6" s="12">
        <v>2</v>
      </c>
      <c r="H6" s="13">
        <v>24</v>
      </c>
      <c r="I6" s="31">
        <v>20000</v>
      </c>
      <c r="J6" s="14">
        <v>3519</v>
      </c>
      <c r="K6" s="15">
        <f>L6</f>
        <v>0</v>
      </c>
      <c r="L6" s="15"/>
      <c r="M6" s="15">
        <f t="shared" ref="M6:M31" si="0">L6-N6</f>
        <v>0</v>
      </c>
      <c r="N6" s="15">
        <v>0</v>
      </c>
      <c r="O6" s="58" t="str">
        <f t="shared" ref="O6:O32" si="1">IF(L6=0,"0",N6/L6)</f>
        <v>0</v>
      </c>
      <c r="P6" s="39" t="str">
        <f t="shared" ref="P6:P31" si="2">IF(L6=0,"0",(24-Q6))</f>
        <v>0</v>
      </c>
      <c r="Q6" s="40">
        <f t="shared" ref="Q6:Q31" si="3">SUM(R6:AA6)</f>
        <v>24</v>
      </c>
      <c r="R6" s="7"/>
      <c r="S6" s="6">
        <v>24</v>
      </c>
      <c r="T6" s="16"/>
      <c r="U6" s="16"/>
      <c r="V6" s="17"/>
      <c r="W6" s="5"/>
      <c r="X6" s="16"/>
      <c r="Y6" s="16"/>
      <c r="Z6" s="16"/>
      <c r="AA6" s="18"/>
      <c r="AB6" s="8">
        <f t="shared" ref="AB6:AB31" si="4">IF(J6=0,"0",(L6/J6))</f>
        <v>0</v>
      </c>
      <c r="AC6" s="9">
        <f t="shared" ref="AC6:AC31" si="5">IF(P6=0,"0",(P6/24))</f>
        <v>0</v>
      </c>
      <c r="AD6" s="10">
        <f>AC6*AB6*(1-O6)</f>
        <v>0</v>
      </c>
      <c r="AE6" s="36">
        <f t="shared" ref="AE6:AE31" si="6">$AD$32</f>
        <v>0.40705128205128205</v>
      </c>
      <c r="AF6" s="81">
        <f t="shared" ref="AF6:AF31" si="7">A6</f>
        <v>1</v>
      </c>
    </row>
    <row r="7" spans="1:32" ht="27" customHeight="1">
      <c r="A7" s="106">
        <v>2</v>
      </c>
      <c r="B7" s="11" t="s">
        <v>57</v>
      </c>
      <c r="C7" s="34" t="s">
        <v>112</v>
      </c>
      <c r="D7" s="52" t="s">
        <v>140</v>
      </c>
      <c r="E7" s="53" t="s">
        <v>149</v>
      </c>
      <c r="F7" s="30" t="s">
        <v>139</v>
      </c>
      <c r="G7" s="12">
        <v>1</v>
      </c>
      <c r="H7" s="13">
        <v>24</v>
      </c>
      <c r="I7" s="31">
        <v>190000</v>
      </c>
      <c r="J7" s="14">
        <v>11352</v>
      </c>
      <c r="K7" s="15">
        <f>L7+8898+11520+11558+11486+11566+10872+10958+11534+11518+11230+7112+9722+10964</f>
        <v>150290</v>
      </c>
      <c r="L7" s="15">
        <f>2839*2+2837*2</f>
        <v>11352</v>
      </c>
      <c r="M7" s="15">
        <f t="shared" si="0"/>
        <v>11352</v>
      </c>
      <c r="N7" s="15">
        <v>0</v>
      </c>
      <c r="O7" s="58">
        <f t="shared" si="1"/>
        <v>0</v>
      </c>
      <c r="P7" s="39">
        <f t="shared" si="2"/>
        <v>24</v>
      </c>
      <c r="Q7" s="40">
        <f t="shared" si="3"/>
        <v>0</v>
      </c>
      <c r="R7" s="7"/>
      <c r="S7" s="6"/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1</v>
      </c>
      <c r="AD7" s="10">
        <f t="shared" ref="AD7:AD31" si="8">AC7*AB7*(1-O7)</f>
        <v>1</v>
      </c>
      <c r="AE7" s="36">
        <f t="shared" si="6"/>
        <v>0.40705128205128205</v>
      </c>
      <c r="AF7" s="81">
        <f t="shared" si="7"/>
        <v>2</v>
      </c>
    </row>
    <row r="8" spans="1:32" ht="27" customHeight="1">
      <c r="A8" s="92">
        <v>3</v>
      </c>
      <c r="B8" s="11" t="s">
        <v>57</v>
      </c>
      <c r="C8" s="34" t="s">
        <v>116</v>
      </c>
      <c r="D8" s="52" t="s">
        <v>129</v>
      </c>
      <c r="E8" s="53" t="s">
        <v>178</v>
      </c>
      <c r="F8" s="30" t="s">
        <v>124</v>
      </c>
      <c r="G8" s="12">
        <v>1</v>
      </c>
      <c r="H8" s="13">
        <v>22</v>
      </c>
      <c r="I8" s="31">
        <v>90000</v>
      </c>
      <c r="J8" s="5">
        <v>3068</v>
      </c>
      <c r="K8" s="15">
        <f>L8+8120+11780+9608+2367+4983+6240</f>
        <v>46166</v>
      </c>
      <c r="L8" s="15">
        <f>1534*2</f>
        <v>3068</v>
      </c>
      <c r="M8" s="15">
        <f t="shared" si="0"/>
        <v>3068</v>
      </c>
      <c r="N8" s="15">
        <v>0</v>
      </c>
      <c r="O8" s="58">
        <f t="shared" si="1"/>
        <v>0</v>
      </c>
      <c r="P8" s="39">
        <f t="shared" si="2"/>
        <v>7</v>
      </c>
      <c r="Q8" s="40">
        <f t="shared" si="3"/>
        <v>17</v>
      </c>
      <c r="R8" s="7"/>
      <c r="S8" s="6">
        <v>17</v>
      </c>
      <c r="T8" s="16"/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0.29166666666666669</v>
      </c>
      <c r="AD8" s="10">
        <f t="shared" si="8"/>
        <v>0.29166666666666669</v>
      </c>
      <c r="AE8" s="36">
        <f t="shared" si="6"/>
        <v>0.40705128205128205</v>
      </c>
      <c r="AF8" s="81">
        <f t="shared" si="7"/>
        <v>3</v>
      </c>
    </row>
    <row r="9" spans="1:32" ht="27" customHeight="1">
      <c r="A9" s="92">
        <v>3</v>
      </c>
      <c r="B9" s="11" t="s">
        <v>57</v>
      </c>
      <c r="C9" s="34" t="s">
        <v>127</v>
      </c>
      <c r="D9" s="52" t="s">
        <v>284</v>
      </c>
      <c r="E9" s="53" t="s">
        <v>314</v>
      </c>
      <c r="F9" s="30" t="s">
        <v>156</v>
      </c>
      <c r="G9" s="12">
        <v>3</v>
      </c>
      <c r="H9" s="13">
        <v>22</v>
      </c>
      <c r="I9" s="31">
        <v>20000</v>
      </c>
      <c r="J9" s="5">
        <v>11403</v>
      </c>
      <c r="K9" s="15">
        <f>L9</f>
        <v>11403</v>
      </c>
      <c r="L9" s="15">
        <f>2810*3+991*3</f>
        <v>11403</v>
      </c>
      <c r="M9" s="15">
        <f t="shared" ref="M9" si="9">L9-N9</f>
        <v>11403</v>
      </c>
      <c r="N9" s="15">
        <v>0</v>
      </c>
      <c r="O9" s="58">
        <f t="shared" ref="O9" si="10">IF(L9=0,"0",N9/L9)</f>
        <v>0</v>
      </c>
      <c r="P9" s="39">
        <f t="shared" ref="P9" si="11">IF(L9=0,"0",(24-Q9))</f>
        <v>15</v>
      </c>
      <c r="Q9" s="40">
        <f t="shared" ref="Q9" si="12">SUM(R9:AA9)</f>
        <v>9</v>
      </c>
      <c r="R9" s="7"/>
      <c r="S9" s="6">
        <v>9</v>
      </c>
      <c r="T9" s="16"/>
      <c r="U9" s="16"/>
      <c r="V9" s="17"/>
      <c r="W9" s="5"/>
      <c r="X9" s="16"/>
      <c r="Y9" s="16"/>
      <c r="Z9" s="16"/>
      <c r="AA9" s="18"/>
      <c r="AB9" s="8">
        <f t="shared" ref="AB9" si="13">IF(J9=0,"0",(L9/J9))</f>
        <v>1</v>
      </c>
      <c r="AC9" s="9">
        <f t="shared" ref="AC9" si="14">IF(P9=0,"0",(P9/24))</f>
        <v>0.625</v>
      </c>
      <c r="AD9" s="10">
        <f t="shared" ref="AD9" si="15">AC9*AB9*(1-O9)</f>
        <v>0.625</v>
      </c>
      <c r="AE9" s="36">
        <f t="shared" si="6"/>
        <v>0.40705128205128205</v>
      </c>
      <c r="AF9" s="81">
        <f t="shared" ref="AF9" si="16">A9</f>
        <v>3</v>
      </c>
    </row>
    <row r="10" spans="1:32" ht="27" customHeight="1">
      <c r="A10" s="92">
        <v>4</v>
      </c>
      <c r="B10" s="11" t="s">
        <v>57</v>
      </c>
      <c r="C10" s="34" t="s">
        <v>116</v>
      </c>
      <c r="D10" s="52" t="s">
        <v>322</v>
      </c>
      <c r="E10" s="53" t="s">
        <v>312</v>
      </c>
      <c r="F10" s="30" t="s">
        <v>323</v>
      </c>
      <c r="G10" s="12">
        <v>1</v>
      </c>
      <c r="H10" s="13">
        <v>24</v>
      </c>
      <c r="I10" s="7">
        <v>60000</v>
      </c>
      <c r="J10" s="14">
        <v>360</v>
      </c>
      <c r="K10" s="15">
        <f>L10+3954</f>
        <v>4314</v>
      </c>
      <c r="L10" s="15">
        <v>360</v>
      </c>
      <c r="M10" s="15">
        <f t="shared" si="0"/>
        <v>360</v>
      </c>
      <c r="N10" s="15">
        <v>0</v>
      </c>
      <c r="O10" s="58">
        <f t="shared" si="1"/>
        <v>0</v>
      </c>
      <c r="P10" s="39">
        <f t="shared" si="2"/>
        <v>3</v>
      </c>
      <c r="Q10" s="40">
        <f t="shared" si="3"/>
        <v>21</v>
      </c>
      <c r="R10" s="7"/>
      <c r="S10" s="6">
        <v>21</v>
      </c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0.125</v>
      </c>
      <c r="AD10" s="10">
        <f t="shared" si="8"/>
        <v>0.125</v>
      </c>
      <c r="AE10" s="36">
        <f t="shared" si="6"/>
        <v>0.40705128205128205</v>
      </c>
      <c r="AF10" s="81">
        <f t="shared" si="7"/>
        <v>4</v>
      </c>
    </row>
    <row r="11" spans="1:32" ht="27" customHeight="1">
      <c r="A11" s="92">
        <v>5</v>
      </c>
      <c r="B11" s="11" t="s">
        <v>57</v>
      </c>
      <c r="C11" s="11" t="s">
        <v>112</v>
      </c>
      <c r="D11" s="52" t="s">
        <v>121</v>
      </c>
      <c r="E11" s="53" t="s">
        <v>188</v>
      </c>
      <c r="F11" s="30" t="s">
        <v>124</v>
      </c>
      <c r="G11" s="33">
        <v>1</v>
      </c>
      <c r="H11" s="35">
        <v>24</v>
      </c>
      <c r="I11" s="7">
        <v>115000</v>
      </c>
      <c r="J11" s="14">
        <v>3619</v>
      </c>
      <c r="K11" s="15">
        <f>L11+5338+5669+5744+4980+3619</f>
        <v>25350</v>
      </c>
      <c r="L11" s="15"/>
      <c r="M11" s="15">
        <f t="shared" si="0"/>
        <v>0</v>
      </c>
      <c r="N11" s="15">
        <v>0</v>
      </c>
      <c r="O11" s="58" t="str">
        <f t="shared" si="1"/>
        <v>0</v>
      </c>
      <c r="P11" s="39" t="str">
        <f t="shared" si="2"/>
        <v>0</v>
      </c>
      <c r="Q11" s="40">
        <f t="shared" si="3"/>
        <v>24</v>
      </c>
      <c r="R11" s="7"/>
      <c r="S11" s="6">
        <v>24</v>
      </c>
      <c r="T11" s="16"/>
      <c r="U11" s="16"/>
      <c r="V11" s="17"/>
      <c r="W11" s="5"/>
      <c r="X11" s="16"/>
      <c r="Y11" s="16"/>
      <c r="Z11" s="16"/>
      <c r="AA11" s="18"/>
      <c r="AB11" s="8">
        <f t="shared" si="4"/>
        <v>0</v>
      </c>
      <c r="AC11" s="9">
        <f t="shared" si="5"/>
        <v>0</v>
      </c>
      <c r="AD11" s="10">
        <f t="shared" si="8"/>
        <v>0</v>
      </c>
      <c r="AE11" s="36">
        <f t="shared" si="6"/>
        <v>0.40705128205128205</v>
      </c>
      <c r="AF11" s="81">
        <f t="shared" si="7"/>
        <v>5</v>
      </c>
    </row>
    <row r="12" spans="1:32" ht="27" customHeight="1">
      <c r="A12" s="92">
        <v>6</v>
      </c>
      <c r="B12" s="11" t="s">
        <v>57</v>
      </c>
      <c r="C12" s="11" t="s">
        <v>116</v>
      </c>
      <c r="D12" s="52" t="s">
        <v>147</v>
      </c>
      <c r="E12" s="53" t="s">
        <v>373</v>
      </c>
      <c r="F12" s="30" t="s">
        <v>286</v>
      </c>
      <c r="G12" s="33">
        <v>1</v>
      </c>
      <c r="H12" s="35">
        <v>24</v>
      </c>
      <c r="I12" s="7">
        <v>800</v>
      </c>
      <c r="J12" s="14">
        <v>900</v>
      </c>
      <c r="K12" s="15">
        <f>L12</f>
        <v>900</v>
      </c>
      <c r="L12" s="15">
        <v>900</v>
      </c>
      <c r="M12" s="15">
        <f t="shared" si="0"/>
        <v>900</v>
      </c>
      <c r="N12" s="15">
        <v>0</v>
      </c>
      <c r="O12" s="58">
        <f t="shared" si="1"/>
        <v>0</v>
      </c>
      <c r="P12" s="39">
        <f t="shared" si="2"/>
        <v>5</v>
      </c>
      <c r="Q12" s="40">
        <f t="shared" si="3"/>
        <v>19</v>
      </c>
      <c r="R12" s="7"/>
      <c r="S12" s="6"/>
      <c r="T12" s="16"/>
      <c r="U12" s="16"/>
      <c r="V12" s="17"/>
      <c r="W12" s="5">
        <v>19</v>
      </c>
      <c r="X12" s="16"/>
      <c r="Y12" s="16"/>
      <c r="Z12" s="16"/>
      <c r="AA12" s="18"/>
      <c r="AB12" s="8">
        <f t="shared" si="4"/>
        <v>1</v>
      </c>
      <c r="AC12" s="9">
        <f t="shared" si="5"/>
        <v>0.20833333333333334</v>
      </c>
      <c r="AD12" s="10">
        <f t="shared" si="8"/>
        <v>0.20833333333333334</v>
      </c>
      <c r="AE12" s="36">
        <f t="shared" si="6"/>
        <v>0.40705128205128205</v>
      </c>
      <c r="AF12" s="81">
        <f t="shared" si="7"/>
        <v>6</v>
      </c>
    </row>
    <row r="13" spans="1:32" ht="27" customHeight="1">
      <c r="A13" s="92">
        <v>6</v>
      </c>
      <c r="B13" s="11" t="s">
        <v>57</v>
      </c>
      <c r="C13" s="11" t="s">
        <v>127</v>
      </c>
      <c r="D13" s="52" t="s">
        <v>209</v>
      </c>
      <c r="E13" s="53" t="s">
        <v>374</v>
      </c>
      <c r="F13" s="30" t="s">
        <v>138</v>
      </c>
      <c r="G13" s="33">
        <v>1</v>
      </c>
      <c r="H13" s="35">
        <v>24</v>
      </c>
      <c r="I13" s="7">
        <v>500</v>
      </c>
      <c r="J13" s="14">
        <v>498</v>
      </c>
      <c r="K13" s="15">
        <f>L13</f>
        <v>498</v>
      </c>
      <c r="L13" s="15">
        <v>498</v>
      </c>
      <c r="M13" s="15">
        <f t="shared" ref="M13" si="17">L13-N13</f>
        <v>498</v>
      </c>
      <c r="N13" s="15">
        <v>0</v>
      </c>
      <c r="O13" s="58">
        <f t="shared" ref="O13" si="18">IF(L13=0,"0",N13/L13)</f>
        <v>0</v>
      </c>
      <c r="P13" s="39">
        <f t="shared" ref="P13" si="19">IF(L13=0,"0",(24-Q13))</f>
        <v>3</v>
      </c>
      <c r="Q13" s="40">
        <f t="shared" ref="Q13" si="20">SUM(R13:AA13)</f>
        <v>21</v>
      </c>
      <c r="R13" s="7"/>
      <c r="S13" s="6">
        <v>21</v>
      </c>
      <c r="T13" s="16"/>
      <c r="U13" s="16"/>
      <c r="V13" s="17"/>
      <c r="W13" s="5"/>
      <c r="X13" s="16"/>
      <c r="Y13" s="16"/>
      <c r="Z13" s="16"/>
      <c r="AA13" s="18"/>
      <c r="AB13" s="8">
        <f t="shared" ref="AB13" si="21">IF(J13=0,"0",(L13/J13))</f>
        <v>1</v>
      </c>
      <c r="AC13" s="9">
        <f t="shared" ref="AC13" si="22">IF(P13=0,"0",(P13/24))</f>
        <v>0.125</v>
      </c>
      <c r="AD13" s="10">
        <f t="shared" ref="AD13" si="23">AC13*AB13*(1-O13)</f>
        <v>0.125</v>
      </c>
      <c r="AE13" s="36">
        <f t="shared" si="6"/>
        <v>0.40705128205128205</v>
      </c>
      <c r="AF13" s="81">
        <f t="shared" ref="AF13" si="24">A13</f>
        <v>6</v>
      </c>
    </row>
    <row r="14" spans="1:32" ht="27" customHeight="1">
      <c r="A14" s="92">
        <v>6</v>
      </c>
      <c r="B14" s="11" t="s">
        <v>57</v>
      </c>
      <c r="C14" s="11" t="s">
        <v>112</v>
      </c>
      <c r="D14" s="52" t="s">
        <v>141</v>
      </c>
      <c r="E14" s="53" t="s">
        <v>375</v>
      </c>
      <c r="F14" s="30" t="s">
        <v>128</v>
      </c>
      <c r="G14" s="33">
        <v>2</v>
      </c>
      <c r="H14" s="35">
        <v>24</v>
      </c>
      <c r="I14" s="7">
        <v>10000</v>
      </c>
      <c r="J14" s="14">
        <v>6086</v>
      </c>
      <c r="K14" s="15">
        <f>L14</f>
        <v>6086</v>
      </c>
      <c r="L14" s="15">
        <f>3043*2</f>
        <v>6086</v>
      </c>
      <c r="M14" s="15">
        <f t="shared" ref="M14" si="25">L14-N14</f>
        <v>6086</v>
      </c>
      <c r="N14" s="15">
        <v>0</v>
      </c>
      <c r="O14" s="58">
        <f t="shared" ref="O14" si="26">IF(L14=0,"0",N14/L14)</f>
        <v>0</v>
      </c>
      <c r="P14" s="39">
        <f t="shared" ref="P14" si="27">IF(L14=0,"0",(24-Q14))</f>
        <v>14</v>
      </c>
      <c r="Q14" s="40">
        <f t="shared" ref="Q14" si="28">SUM(R14:AA14)</f>
        <v>10</v>
      </c>
      <c r="R14" s="7"/>
      <c r="S14" s="6"/>
      <c r="T14" s="16">
        <v>10</v>
      </c>
      <c r="U14" s="16"/>
      <c r="V14" s="17"/>
      <c r="W14" s="5"/>
      <c r="X14" s="16"/>
      <c r="Y14" s="16"/>
      <c r="Z14" s="16"/>
      <c r="AA14" s="18"/>
      <c r="AB14" s="8">
        <f t="shared" ref="AB14" si="29">IF(J14=0,"0",(L14/J14))</f>
        <v>1</v>
      </c>
      <c r="AC14" s="9">
        <f t="shared" ref="AC14" si="30">IF(P14=0,"0",(P14/24))</f>
        <v>0.58333333333333337</v>
      </c>
      <c r="AD14" s="10">
        <f t="shared" ref="AD14" si="31">AC14*AB14*(1-O14)</f>
        <v>0.58333333333333337</v>
      </c>
      <c r="AE14" s="36">
        <f t="shared" si="6"/>
        <v>0.40705128205128205</v>
      </c>
      <c r="AF14" s="81">
        <f t="shared" ref="AF14" si="32">A14</f>
        <v>6</v>
      </c>
    </row>
    <row r="15" spans="1:32" ht="27" customHeight="1">
      <c r="A15" s="92">
        <v>7</v>
      </c>
      <c r="B15" s="11" t="s">
        <v>57</v>
      </c>
      <c r="C15" s="34" t="s">
        <v>116</v>
      </c>
      <c r="D15" s="52" t="s">
        <v>115</v>
      </c>
      <c r="E15" s="53" t="s">
        <v>214</v>
      </c>
      <c r="F15" s="30" t="s">
        <v>235</v>
      </c>
      <c r="G15" s="12">
        <v>1</v>
      </c>
      <c r="H15" s="13">
        <v>22</v>
      </c>
      <c r="I15" s="31">
        <v>60000</v>
      </c>
      <c r="J15" s="5">
        <v>9324</v>
      </c>
      <c r="K15" s="15">
        <f>L15+7218+9738+8082+9034</f>
        <v>43396</v>
      </c>
      <c r="L15" s="15">
        <f>2334*2+2328*2</f>
        <v>9324</v>
      </c>
      <c r="M15" s="15">
        <f t="shared" si="0"/>
        <v>9324</v>
      </c>
      <c r="N15" s="15">
        <v>0</v>
      </c>
      <c r="O15" s="58">
        <f t="shared" si="1"/>
        <v>0</v>
      </c>
      <c r="P15" s="39">
        <f t="shared" si="2"/>
        <v>24</v>
      </c>
      <c r="Q15" s="40">
        <f t="shared" si="3"/>
        <v>0</v>
      </c>
      <c r="R15" s="7"/>
      <c r="S15" s="6"/>
      <c r="T15" s="16"/>
      <c r="U15" s="16"/>
      <c r="V15" s="17"/>
      <c r="W15" s="5"/>
      <c r="X15" s="16"/>
      <c r="Y15" s="16"/>
      <c r="Z15" s="16"/>
      <c r="AA15" s="18"/>
      <c r="AB15" s="8">
        <f t="shared" si="4"/>
        <v>1</v>
      </c>
      <c r="AC15" s="9">
        <f t="shared" si="5"/>
        <v>1</v>
      </c>
      <c r="AD15" s="10">
        <f t="shared" si="8"/>
        <v>1</v>
      </c>
      <c r="AE15" s="36">
        <f t="shared" si="6"/>
        <v>0.40705128205128205</v>
      </c>
      <c r="AF15" s="81">
        <f t="shared" si="7"/>
        <v>7</v>
      </c>
    </row>
    <row r="16" spans="1:32" ht="27" customHeight="1">
      <c r="A16" s="92">
        <v>8</v>
      </c>
      <c r="B16" s="11" t="s">
        <v>57</v>
      </c>
      <c r="C16" s="11" t="s">
        <v>127</v>
      </c>
      <c r="D16" s="52" t="s">
        <v>158</v>
      </c>
      <c r="E16" s="53" t="s">
        <v>196</v>
      </c>
      <c r="F16" s="30" t="s">
        <v>123</v>
      </c>
      <c r="G16" s="33">
        <v>1</v>
      </c>
      <c r="H16" s="35">
        <v>22</v>
      </c>
      <c r="I16" s="7">
        <v>3000</v>
      </c>
      <c r="J16" s="14">
        <v>3515</v>
      </c>
      <c r="K16" s="15">
        <f>L16</f>
        <v>3515</v>
      </c>
      <c r="L16" s="15">
        <f>941+2574</f>
        <v>3515</v>
      </c>
      <c r="M16" s="15">
        <f t="shared" si="0"/>
        <v>3515</v>
      </c>
      <c r="N16" s="15">
        <v>0</v>
      </c>
      <c r="O16" s="58">
        <f t="shared" si="1"/>
        <v>0</v>
      </c>
      <c r="P16" s="39">
        <f t="shared" si="2"/>
        <v>19</v>
      </c>
      <c r="Q16" s="40">
        <f t="shared" si="3"/>
        <v>5</v>
      </c>
      <c r="R16" s="7"/>
      <c r="S16" s="6"/>
      <c r="T16" s="16">
        <v>5</v>
      </c>
      <c r="U16" s="16"/>
      <c r="V16" s="17"/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0.79166666666666663</v>
      </c>
      <c r="AD16" s="10">
        <f t="shared" si="8"/>
        <v>0.79166666666666663</v>
      </c>
      <c r="AE16" s="36">
        <f t="shared" si="6"/>
        <v>0.40705128205128205</v>
      </c>
      <c r="AF16" s="81">
        <f t="shared" si="7"/>
        <v>8</v>
      </c>
    </row>
    <row r="17" spans="1:32" ht="27" customHeight="1">
      <c r="A17" s="99">
        <v>9</v>
      </c>
      <c r="B17" s="11" t="s">
        <v>57</v>
      </c>
      <c r="C17" s="34" t="s">
        <v>112</v>
      </c>
      <c r="D17" s="52" t="s">
        <v>115</v>
      </c>
      <c r="E17" s="53" t="s">
        <v>165</v>
      </c>
      <c r="F17" s="30" t="s">
        <v>167</v>
      </c>
      <c r="G17" s="33">
        <v>1</v>
      </c>
      <c r="H17" s="35">
        <v>50</v>
      </c>
      <c r="I17" s="7">
        <v>300</v>
      </c>
      <c r="J17" s="5">
        <v>391</v>
      </c>
      <c r="K17" s="15">
        <f>L17+300</f>
        <v>300</v>
      </c>
      <c r="L17" s="15"/>
      <c r="M17" s="15">
        <f t="shared" si="0"/>
        <v>0</v>
      </c>
      <c r="N17" s="15">
        <v>0</v>
      </c>
      <c r="O17" s="58" t="str">
        <f t="shared" si="1"/>
        <v>0</v>
      </c>
      <c r="P17" s="39" t="str">
        <f t="shared" si="2"/>
        <v>0</v>
      </c>
      <c r="Q17" s="40">
        <f t="shared" si="3"/>
        <v>24</v>
      </c>
      <c r="R17" s="7"/>
      <c r="S17" s="6"/>
      <c r="T17" s="16"/>
      <c r="U17" s="16"/>
      <c r="V17" s="17"/>
      <c r="W17" s="5"/>
      <c r="X17" s="16"/>
      <c r="Y17" s="16"/>
      <c r="Z17" s="16"/>
      <c r="AA17" s="18">
        <v>24</v>
      </c>
      <c r="AB17" s="8">
        <f t="shared" si="4"/>
        <v>0</v>
      </c>
      <c r="AC17" s="9">
        <f t="shared" si="5"/>
        <v>0</v>
      </c>
      <c r="AD17" s="10">
        <f t="shared" si="8"/>
        <v>0</v>
      </c>
      <c r="AE17" s="36">
        <f t="shared" si="6"/>
        <v>0.40705128205128205</v>
      </c>
      <c r="AF17" s="81">
        <f t="shared" si="7"/>
        <v>9</v>
      </c>
    </row>
    <row r="18" spans="1:32" ht="27" customHeight="1">
      <c r="A18" s="106">
        <v>10</v>
      </c>
      <c r="B18" s="11" t="s">
        <v>57</v>
      </c>
      <c r="C18" s="34" t="s">
        <v>127</v>
      </c>
      <c r="D18" s="52" t="s">
        <v>313</v>
      </c>
      <c r="E18" s="53" t="s">
        <v>324</v>
      </c>
      <c r="F18" s="30" t="s">
        <v>325</v>
      </c>
      <c r="G18" s="12">
        <v>4</v>
      </c>
      <c r="H18" s="13">
        <v>24</v>
      </c>
      <c r="I18" s="31">
        <v>200000</v>
      </c>
      <c r="J18" s="14">
        <v>32440</v>
      </c>
      <c r="K18" s="15">
        <f>L18+34980</f>
        <v>67420</v>
      </c>
      <c r="L18" s="15">
        <f>4516*4+3594*4</f>
        <v>32440</v>
      </c>
      <c r="M18" s="15">
        <f t="shared" si="0"/>
        <v>32440</v>
      </c>
      <c r="N18" s="15">
        <v>0</v>
      </c>
      <c r="O18" s="58">
        <f t="shared" si="1"/>
        <v>0</v>
      </c>
      <c r="P18" s="39">
        <f t="shared" si="2"/>
        <v>24</v>
      </c>
      <c r="Q18" s="40">
        <f t="shared" si="3"/>
        <v>0</v>
      </c>
      <c r="R18" s="7"/>
      <c r="S18" s="6"/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1</v>
      </c>
      <c r="AD18" s="10">
        <f t="shared" si="8"/>
        <v>1</v>
      </c>
      <c r="AE18" s="36">
        <f t="shared" si="6"/>
        <v>0.40705128205128205</v>
      </c>
      <c r="AF18" s="81">
        <f t="shared" si="7"/>
        <v>10</v>
      </c>
    </row>
    <row r="19" spans="1:32" ht="27" customHeight="1">
      <c r="A19" s="106">
        <v>11</v>
      </c>
      <c r="B19" s="11" t="s">
        <v>57</v>
      </c>
      <c r="C19" s="34" t="s">
        <v>112</v>
      </c>
      <c r="D19" s="52" t="s">
        <v>115</v>
      </c>
      <c r="E19" s="53" t="s">
        <v>224</v>
      </c>
      <c r="F19" s="30" t="s">
        <v>221</v>
      </c>
      <c r="G19" s="12">
        <v>1</v>
      </c>
      <c r="H19" s="13">
        <v>24</v>
      </c>
      <c r="I19" s="7">
        <v>200</v>
      </c>
      <c r="J19" s="14">
        <v>200</v>
      </c>
      <c r="K19" s="15">
        <f>L19</f>
        <v>200</v>
      </c>
      <c r="L19" s="15">
        <v>200</v>
      </c>
      <c r="M19" s="15">
        <f t="shared" ref="M19" si="33">L19-N19</f>
        <v>200</v>
      </c>
      <c r="N19" s="15">
        <v>0</v>
      </c>
      <c r="O19" s="58">
        <f t="shared" ref="O19" si="34">IF(L19=0,"0",N19/L19)</f>
        <v>0</v>
      </c>
      <c r="P19" s="39">
        <f t="shared" ref="P19" si="35">IF(L19=0,"0",(24-Q19))</f>
        <v>4</v>
      </c>
      <c r="Q19" s="40">
        <f t="shared" ref="Q19" si="36">SUM(R19:AA19)</f>
        <v>20</v>
      </c>
      <c r="R19" s="7"/>
      <c r="S19" s="6"/>
      <c r="T19" s="16"/>
      <c r="U19" s="16"/>
      <c r="V19" s="17"/>
      <c r="W19" s="5">
        <v>20</v>
      </c>
      <c r="X19" s="16"/>
      <c r="Y19" s="16"/>
      <c r="Z19" s="16"/>
      <c r="AA19" s="18"/>
      <c r="AB19" s="8">
        <f t="shared" ref="AB19" si="37">IF(J19=0,"0",(L19/J19))</f>
        <v>1</v>
      </c>
      <c r="AC19" s="9">
        <f t="shared" ref="AC19" si="38">IF(P19=0,"0",(P19/24))</f>
        <v>0.16666666666666666</v>
      </c>
      <c r="AD19" s="10">
        <f t="shared" ref="AD19" si="39">AC19*AB19*(1-O19)</f>
        <v>0.16666666666666666</v>
      </c>
      <c r="AE19" s="36">
        <f t="shared" si="6"/>
        <v>0.40705128205128205</v>
      </c>
      <c r="AF19" s="81">
        <f t="shared" ref="AF19" si="40">A19</f>
        <v>11</v>
      </c>
    </row>
    <row r="20" spans="1:32" ht="27" customHeight="1">
      <c r="A20" s="106">
        <v>11</v>
      </c>
      <c r="B20" s="11" t="s">
        <v>57</v>
      </c>
      <c r="C20" s="34" t="s">
        <v>127</v>
      </c>
      <c r="D20" s="52" t="s">
        <v>115</v>
      </c>
      <c r="E20" s="53" t="s">
        <v>346</v>
      </c>
      <c r="F20" s="30" t="s">
        <v>327</v>
      </c>
      <c r="G20" s="12">
        <v>2</v>
      </c>
      <c r="H20" s="13">
        <v>24</v>
      </c>
      <c r="I20" s="7">
        <v>3000</v>
      </c>
      <c r="J20" s="14">
        <v>4402</v>
      </c>
      <c r="K20" s="15">
        <f>L20</f>
        <v>4402</v>
      </c>
      <c r="L20" s="15">
        <f>2201*2</f>
        <v>4402</v>
      </c>
      <c r="M20" s="15">
        <f t="shared" si="0"/>
        <v>4402</v>
      </c>
      <c r="N20" s="15">
        <v>0</v>
      </c>
      <c r="O20" s="58">
        <f t="shared" si="1"/>
        <v>0</v>
      </c>
      <c r="P20" s="39">
        <f t="shared" si="2"/>
        <v>11</v>
      </c>
      <c r="Q20" s="40">
        <f t="shared" si="3"/>
        <v>13</v>
      </c>
      <c r="R20" s="7"/>
      <c r="S20" s="6"/>
      <c r="T20" s="16">
        <v>13</v>
      </c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0.45833333333333331</v>
      </c>
      <c r="AD20" s="10">
        <f t="shared" si="8"/>
        <v>0.45833333333333331</v>
      </c>
      <c r="AE20" s="36">
        <f t="shared" si="6"/>
        <v>0.40705128205128205</v>
      </c>
      <c r="AF20" s="81">
        <f t="shared" si="7"/>
        <v>11</v>
      </c>
    </row>
    <row r="21" spans="1:32" ht="27" customHeight="1">
      <c r="A21" s="106">
        <v>12</v>
      </c>
      <c r="B21" s="11" t="s">
        <v>57</v>
      </c>
      <c r="C21" s="34" t="s">
        <v>127</v>
      </c>
      <c r="D21" s="52" t="s">
        <v>129</v>
      </c>
      <c r="E21" s="53" t="s">
        <v>357</v>
      </c>
      <c r="F21" s="30" t="s">
        <v>155</v>
      </c>
      <c r="G21" s="12">
        <v>1</v>
      </c>
      <c r="H21" s="13">
        <v>24</v>
      </c>
      <c r="I21" s="7">
        <v>1500</v>
      </c>
      <c r="J21" s="14">
        <v>1650</v>
      </c>
      <c r="K21" s="15">
        <f>L21</f>
        <v>1650</v>
      </c>
      <c r="L21" s="15">
        <v>1650</v>
      </c>
      <c r="M21" s="15">
        <f t="shared" si="0"/>
        <v>1650</v>
      </c>
      <c r="N21" s="15">
        <v>0</v>
      </c>
      <c r="O21" s="58">
        <f t="shared" si="1"/>
        <v>0</v>
      </c>
      <c r="P21" s="39">
        <f t="shared" si="2"/>
        <v>9</v>
      </c>
      <c r="Q21" s="40">
        <f t="shared" si="3"/>
        <v>15</v>
      </c>
      <c r="R21" s="7"/>
      <c r="S21" s="6"/>
      <c r="T21" s="16"/>
      <c r="U21" s="16"/>
      <c r="V21" s="17"/>
      <c r="W21" s="5">
        <v>15</v>
      </c>
      <c r="X21" s="16"/>
      <c r="Y21" s="16"/>
      <c r="Z21" s="16"/>
      <c r="AA21" s="18"/>
      <c r="AB21" s="8">
        <f t="shared" si="4"/>
        <v>1</v>
      </c>
      <c r="AC21" s="9">
        <f t="shared" si="5"/>
        <v>0.375</v>
      </c>
      <c r="AD21" s="10">
        <f t="shared" si="8"/>
        <v>0.375</v>
      </c>
      <c r="AE21" s="36">
        <f t="shared" si="6"/>
        <v>0.40705128205128205</v>
      </c>
      <c r="AF21" s="81">
        <f t="shared" si="7"/>
        <v>12</v>
      </c>
    </row>
    <row r="22" spans="1:32" ht="27" customHeight="1">
      <c r="A22" s="92">
        <v>13</v>
      </c>
      <c r="B22" s="11" t="s">
        <v>57</v>
      </c>
      <c r="C22" s="34" t="s">
        <v>116</v>
      </c>
      <c r="D22" s="52" t="s">
        <v>115</v>
      </c>
      <c r="E22" s="53" t="s">
        <v>198</v>
      </c>
      <c r="F22" s="30" t="s">
        <v>138</v>
      </c>
      <c r="G22" s="12">
        <v>2</v>
      </c>
      <c r="H22" s="13">
        <v>22</v>
      </c>
      <c r="I22" s="31">
        <v>90000</v>
      </c>
      <c r="J22" s="5">
        <v>11012</v>
      </c>
      <c r="K22" s="15">
        <f>L22+9112+12392+12128+9906+11662</f>
        <v>66212</v>
      </c>
      <c r="L22" s="15">
        <f>2543*2+2963*2</f>
        <v>11012</v>
      </c>
      <c r="M22" s="15">
        <f t="shared" si="0"/>
        <v>11012</v>
      </c>
      <c r="N22" s="15">
        <v>0</v>
      </c>
      <c r="O22" s="58">
        <f t="shared" si="1"/>
        <v>0</v>
      </c>
      <c r="P22" s="39">
        <f t="shared" si="2"/>
        <v>24</v>
      </c>
      <c r="Q22" s="40">
        <f t="shared" si="3"/>
        <v>0</v>
      </c>
      <c r="R22" s="7"/>
      <c r="S22" s="6"/>
      <c r="T22" s="16"/>
      <c r="U22" s="16"/>
      <c r="V22" s="17"/>
      <c r="W22" s="5"/>
      <c r="X22" s="16"/>
      <c r="Y22" s="16"/>
      <c r="Z22" s="16"/>
      <c r="AA22" s="18"/>
      <c r="AB22" s="8">
        <f t="shared" si="4"/>
        <v>1</v>
      </c>
      <c r="AC22" s="9">
        <f t="shared" si="5"/>
        <v>1</v>
      </c>
      <c r="AD22" s="10">
        <f t="shared" si="8"/>
        <v>1</v>
      </c>
      <c r="AE22" s="36">
        <f t="shared" si="6"/>
        <v>0.40705128205128205</v>
      </c>
      <c r="AF22" s="81">
        <f t="shared" si="7"/>
        <v>13</v>
      </c>
    </row>
    <row r="23" spans="1:32" ht="27" customHeight="1">
      <c r="A23" s="92">
        <v>14</v>
      </c>
      <c r="B23" s="11" t="s">
        <v>57</v>
      </c>
      <c r="C23" s="11" t="s">
        <v>112</v>
      </c>
      <c r="D23" s="52" t="s">
        <v>115</v>
      </c>
      <c r="E23" s="53" t="s">
        <v>261</v>
      </c>
      <c r="F23" s="30" t="s">
        <v>124</v>
      </c>
      <c r="G23" s="33">
        <v>2</v>
      </c>
      <c r="H23" s="35">
        <v>24</v>
      </c>
      <c r="I23" s="7">
        <v>1000</v>
      </c>
      <c r="J23" s="14">
        <v>290</v>
      </c>
      <c r="K23" s="15">
        <f>L23+1060+290</f>
        <v>1350</v>
      </c>
      <c r="L23" s="15"/>
      <c r="M23" s="15">
        <f t="shared" si="0"/>
        <v>0</v>
      </c>
      <c r="N23" s="15">
        <v>0</v>
      </c>
      <c r="O23" s="58" t="str">
        <f t="shared" si="1"/>
        <v>0</v>
      </c>
      <c r="P23" s="39" t="str">
        <f t="shared" si="2"/>
        <v>0</v>
      </c>
      <c r="Q23" s="40">
        <f t="shared" si="3"/>
        <v>24</v>
      </c>
      <c r="R23" s="7"/>
      <c r="S23" s="6"/>
      <c r="T23" s="16"/>
      <c r="U23" s="16"/>
      <c r="V23" s="17"/>
      <c r="W23" s="5">
        <v>24</v>
      </c>
      <c r="X23" s="16"/>
      <c r="Y23" s="16"/>
      <c r="Z23" s="16"/>
      <c r="AA23" s="18"/>
      <c r="AB23" s="8">
        <f t="shared" si="4"/>
        <v>0</v>
      </c>
      <c r="AC23" s="9">
        <f t="shared" si="5"/>
        <v>0</v>
      </c>
      <c r="AD23" s="10">
        <f t="shared" si="8"/>
        <v>0</v>
      </c>
      <c r="AE23" s="36">
        <f t="shared" si="6"/>
        <v>0.40705128205128205</v>
      </c>
      <c r="AF23" s="81">
        <f t="shared" si="7"/>
        <v>14</v>
      </c>
    </row>
    <row r="24" spans="1:32" ht="27" customHeight="1">
      <c r="A24" s="106">
        <v>15</v>
      </c>
      <c r="B24" s="11" t="s">
        <v>57</v>
      </c>
      <c r="C24" s="11" t="s">
        <v>112</v>
      </c>
      <c r="D24" s="52" t="s">
        <v>115</v>
      </c>
      <c r="E24" s="53" t="s">
        <v>148</v>
      </c>
      <c r="F24" s="30" t="s">
        <v>138</v>
      </c>
      <c r="G24" s="33">
        <v>2</v>
      </c>
      <c r="H24" s="35">
        <v>24</v>
      </c>
      <c r="I24" s="7">
        <v>190000</v>
      </c>
      <c r="J24" s="14">
        <v>8544</v>
      </c>
      <c r="K24" s="15">
        <f>L24+2429+7472+8688+7444+11036+10988+11010+10896+8170+1188</f>
        <v>87865</v>
      </c>
      <c r="L24" s="15">
        <f>2709*2+1563*2</f>
        <v>8544</v>
      </c>
      <c r="M24" s="15">
        <f t="shared" si="0"/>
        <v>8544</v>
      </c>
      <c r="N24" s="15">
        <v>0</v>
      </c>
      <c r="O24" s="58">
        <f t="shared" si="1"/>
        <v>0</v>
      </c>
      <c r="P24" s="39">
        <f t="shared" si="2"/>
        <v>20</v>
      </c>
      <c r="Q24" s="40">
        <f t="shared" si="3"/>
        <v>4</v>
      </c>
      <c r="R24" s="7"/>
      <c r="S24" s="6">
        <v>4</v>
      </c>
      <c r="T24" s="16"/>
      <c r="U24" s="16"/>
      <c r="V24" s="17"/>
      <c r="W24" s="5"/>
      <c r="X24" s="16"/>
      <c r="Y24" s="16"/>
      <c r="Z24" s="16"/>
      <c r="AA24" s="18"/>
      <c r="AB24" s="8">
        <f t="shared" si="4"/>
        <v>1</v>
      </c>
      <c r="AC24" s="9">
        <f t="shared" si="5"/>
        <v>0.83333333333333337</v>
      </c>
      <c r="AD24" s="10">
        <f t="shared" si="8"/>
        <v>0.83333333333333337</v>
      </c>
      <c r="AE24" s="36">
        <f t="shared" si="6"/>
        <v>0.40705128205128205</v>
      </c>
      <c r="AF24" s="81">
        <f t="shared" si="7"/>
        <v>15</v>
      </c>
    </row>
    <row r="25" spans="1:32" ht="26.25" customHeight="1">
      <c r="A25" s="92">
        <v>16</v>
      </c>
      <c r="B25" s="11" t="s">
        <v>57</v>
      </c>
      <c r="C25" s="11" t="s">
        <v>113</v>
      </c>
      <c r="D25" s="52"/>
      <c r="E25" s="53" t="s">
        <v>160</v>
      </c>
      <c r="F25" s="12" t="s">
        <v>114</v>
      </c>
      <c r="G25" s="12">
        <v>4</v>
      </c>
      <c r="H25" s="35">
        <v>20</v>
      </c>
      <c r="I25" s="7">
        <v>2000000</v>
      </c>
      <c r="J25" s="14">
        <v>63452</v>
      </c>
      <c r="K25" s="15">
        <f>L25+29876+62940+54476+54396+57856</f>
        <v>322996</v>
      </c>
      <c r="L25" s="15">
        <f>7919*4+7944*4</f>
        <v>63452</v>
      </c>
      <c r="M25" s="15">
        <f t="shared" si="0"/>
        <v>63452</v>
      </c>
      <c r="N25" s="15">
        <v>0</v>
      </c>
      <c r="O25" s="58">
        <f t="shared" si="1"/>
        <v>0</v>
      </c>
      <c r="P25" s="39">
        <f t="shared" si="2"/>
        <v>24</v>
      </c>
      <c r="Q25" s="40">
        <f t="shared" si="3"/>
        <v>0</v>
      </c>
      <c r="R25" s="7"/>
      <c r="S25" s="6"/>
      <c r="T25" s="16"/>
      <c r="U25" s="16"/>
      <c r="V25" s="17"/>
      <c r="W25" s="5"/>
      <c r="X25" s="16"/>
      <c r="Y25" s="16"/>
      <c r="Z25" s="16"/>
      <c r="AA25" s="18"/>
      <c r="AB25" s="8">
        <f t="shared" si="4"/>
        <v>1</v>
      </c>
      <c r="AC25" s="9">
        <f t="shared" si="5"/>
        <v>1</v>
      </c>
      <c r="AD25" s="10">
        <f t="shared" si="8"/>
        <v>1</v>
      </c>
      <c r="AE25" s="36">
        <f t="shared" si="6"/>
        <v>0.40705128205128205</v>
      </c>
      <c r="AF25" s="81">
        <f t="shared" si="7"/>
        <v>16</v>
      </c>
    </row>
    <row r="26" spans="1:32" ht="21.75" customHeight="1">
      <c r="A26" s="92">
        <v>31</v>
      </c>
      <c r="B26" s="11" t="s">
        <v>57</v>
      </c>
      <c r="C26" s="11" t="s">
        <v>191</v>
      </c>
      <c r="D26" s="52"/>
      <c r="E26" s="53" t="s">
        <v>192</v>
      </c>
      <c r="F26" s="12" t="s">
        <v>193</v>
      </c>
      <c r="G26" s="12">
        <v>30</v>
      </c>
      <c r="H26" s="35">
        <v>20</v>
      </c>
      <c r="I26" s="7">
        <v>2000000</v>
      </c>
      <c r="J26" s="14">
        <v>492180</v>
      </c>
      <c r="K26" s="15">
        <f>L26+353460+498300+465060+421290</f>
        <v>2230290</v>
      </c>
      <c r="L26" s="15">
        <f>9500*30+6906*30</f>
        <v>492180</v>
      </c>
      <c r="M26" s="15">
        <f t="shared" si="0"/>
        <v>492180</v>
      </c>
      <c r="N26" s="15">
        <v>0</v>
      </c>
      <c r="O26" s="58">
        <f t="shared" si="1"/>
        <v>0</v>
      </c>
      <c r="P26" s="39">
        <f t="shared" si="2"/>
        <v>24</v>
      </c>
      <c r="Q26" s="40">
        <f t="shared" si="3"/>
        <v>0</v>
      </c>
      <c r="R26" s="7"/>
      <c r="S26" s="6"/>
      <c r="T26" s="16"/>
      <c r="U26" s="16"/>
      <c r="V26" s="17"/>
      <c r="W26" s="5"/>
      <c r="X26" s="16"/>
      <c r="Y26" s="16"/>
      <c r="Z26" s="16"/>
      <c r="AA26" s="18"/>
      <c r="AB26" s="8">
        <f t="shared" si="4"/>
        <v>1</v>
      </c>
      <c r="AC26" s="9">
        <f t="shared" si="5"/>
        <v>1</v>
      </c>
      <c r="AD26" s="10">
        <f t="shared" si="8"/>
        <v>1</v>
      </c>
      <c r="AE26" s="36">
        <f t="shared" si="6"/>
        <v>0.40705128205128205</v>
      </c>
      <c r="AF26" s="81">
        <f t="shared" si="7"/>
        <v>31</v>
      </c>
    </row>
    <row r="27" spans="1:32" ht="21.75" customHeight="1">
      <c r="A27" s="92">
        <v>32</v>
      </c>
      <c r="B27" s="11" t="s">
        <v>57</v>
      </c>
      <c r="C27" s="11"/>
      <c r="D27" s="52"/>
      <c r="E27" s="53"/>
      <c r="F27" s="12"/>
      <c r="G27" s="12"/>
      <c r="H27" s="35">
        <v>20</v>
      </c>
      <c r="I27" s="7"/>
      <c r="J27" s="14">
        <v>0</v>
      </c>
      <c r="K27" s="15">
        <f t="shared" ref="K27" si="41">L27</f>
        <v>0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24</v>
      </c>
      <c r="R27" s="7"/>
      <c r="S27" s="6"/>
      <c r="T27" s="16"/>
      <c r="U27" s="16"/>
      <c r="V27" s="17"/>
      <c r="W27" s="5">
        <v>24</v>
      </c>
      <c r="X27" s="16"/>
      <c r="Y27" s="16"/>
      <c r="Z27" s="16"/>
      <c r="AA27" s="18"/>
      <c r="AB27" s="8" t="str">
        <f t="shared" si="4"/>
        <v>0</v>
      </c>
      <c r="AC27" s="9">
        <f t="shared" si="5"/>
        <v>0</v>
      </c>
      <c r="AD27" s="10">
        <f t="shared" si="8"/>
        <v>0</v>
      </c>
      <c r="AE27" s="36">
        <f t="shared" si="6"/>
        <v>0.40705128205128205</v>
      </c>
      <c r="AF27" s="81">
        <f t="shared" si="7"/>
        <v>32</v>
      </c>
    </row>
    <row r="28" spans="1:32" ht="21.75" customHeight="1">
      <c r="A28" s="92">
        <v>33</v>
      </c>
      <c r="B28" s="11" t="s">
        <v>57</v>
      </c>
      <c r="C28" s="11" t="s">
        <v>116</v>
      </c>
      <c r="D28" s="52" t="s">
        <v>147</v>
      </c>
      <c r="E28" s="53" t="s">
        <v>183</v>
      </c>
      <c r="F28" s="12" t="s">
        <v>124</v>
      </c>
      <c r="G28" s="12">
        <v>4</v>
      </c>
      <c r="H28" s="35">
        <v>20</v>
      </c>
      <c r="I28" s="7">
        <v>36000</v>
      </c>
      <c r="J28" s="14">
        <v>31996</v>
      </c>
      <c r="K28" s="15">
        <f>L28+20368+29324+31996</f>
        <v>81688</v>
      </c>
      <c r="L28" s="15"/>
      <c r="M28" s="15">
        <f t="shared" si="0"/>
        <v>0</v>
      </c>
      <c r="N28" s="15">
        <v>0</v>
      </c>
      <c r="O28" s="58" t="str">
        <f t="shared" si="1"/>
        <v>0</v>
      </c>
      <c r="P28" s="39" t="str">
        <f t="shared" si="2"/>
        <v>0</v>
      </c>
      <c r="Q28" s="40">
        <f t="shared" si="3"/>
        <v>24</v>
      </c>
      <c r="R28" s="7"/>
      <c r="S28" s="6"/>
      <c r="T28" s="16"/>
      <c r="U28" s="16"/>
      <c r="V28" s="114"/>
      <c r="W28" s="5">
        <v>24</v>
      </c>
      <c r="X28" s="16"/>
      <c r="Y28" s="16"/>
      <c r="Z28" s="16"/>
      <c r="AA28" s="18"/>
      <c r="AB28" s="8">
        <f t="shared" si="4"/>
        <v>0</v>
      </c>
      <c r="AC28" s="9">
        <f t="shared" si="5"/>
        <v>0</v>
      </c>
      <c r="AD28" s="10">
        <f t="shared" si="8"/>
        <v>0</v>
      </c>
      <c r="AE28" s="36">
        <f t="shared" si="6"/>
        <v>0.40705128205128205</v>
      </c>
      <c r="AF28" s="81">
        <f t="shared" si="7"/>
        <v>33</v>
      </c>
    </row>
    <row r="29" spans="1:32" ht="21.75" customHeight="1">
      <c r="A29" s="92">
        <v>34</v>
      </c>
      <c r="B29" s="11" t="s">
        <v>57</v>
      </c>
      <c r="C29" s="11" t="s">
        <v>116</v>
      </c>
      <c r="D29" s="52" t="s">
        <v>129</v>
      </c>
      <c r="E29" s="53" t="s">
        <v>172</v>
      </c>
      <c r="F29" s="12" t="s">
        <v>125</v>
      </c>
      <c r="G29" s="12">
        <v>4</v>
      </c>
      <c r="H29" s="35">
        <v>20</v>
      </c>
      <c r="I29" s="7">
        <v>36000</v>
      </c>
      <c r="J29" s="14">
        <v>28802</v>
      </c>
      <c r="K29" s="15">
        <f>L29+13760+25860+25496+28600+28802</f>
        <v>122518</v>
      </c>
      <c r="L29" s="15"/>
      <c r="M29" s="15">
        <f t="shared" si="0"/>
        <v>0</v>
      </c>
      <c r="N29" s="15">
        <v>0</v>
      </c>
      <c r="O29" s="58" t="str">
        <f t="shared" si="1"/>
        <v>0</v>
      </c>
      <c r="P29" s="39" t="str">
        <f t="shared" si="2"/>
        <v>0</v>
      </c>
      <c r="Q29" s="40">
        <f t="shared" si="3"/>
        <v>24</v>
      </c>
      <c r="R29" s="7"/>
      <c r="S29" s="6"/>
      <c r="T29" s="16"/>
      <c r="U29" s="16"/>
      <c r="V29" s="114"/>
      <c r="W29" s="5">
        <v>24</v>
      </c>
      <c r="X29" s="16"/>
      <c r="Y29" s="16"/>
      <c r="Z29" s="16"/>
      <c r="AA29" s="18"/>
      <c r="AB29" s="8">
        <f t="shared" si="4"/>
        <v>0</v>
      </c>
      <c r="AC29" s="9">
        <f t="shared" si="5"/>
        <v>0</v>
      </c>
      <c r="AD29" s="10">
        <f t="shared" si="8"/>
        <v>0</v>
      </c>
      <c r="AE29" s="36">
        <f t="shared" si="6"/>
        <v>0.40705128205128205</v>
      </c>
      <c r="AF29" s="81">
        <f t="shared" si="7"/>
        <v>34</v>
      </c>
    </row>
    <row r="30" spans="1:32" ht="21.75" customHeight="1">
      <c r="A30" s="92">
        <v>35</v>
      </c>
      <c r="B30" s="11" t="s">
        <v>57</v>
      </c>
      <c r="C30" s="11" t="s">
        <v>116</v>
      </c>
      <c r="D30" s="52" t="s">
        <v>121</v>
      </c>
      <c r="E30" s="53" t="s">
        <v>126</v>
      </c>
      <c r="F30" s="12" t="s">
        <v>125</v>
      </c>
      <c r="G30" s="12">
        <v>4</v>
      </c>
      <c r="H30" s="35">
        <v>20</v>
      </c>
      <c r="I30" s="7">
        <v>36000</v>
      </c>
      <c r="J30" s="14">
        <v>26944</v>
      </c>
      <c r="K30" s="15">
        <f>L30+24592+26944+21716</f>
        <v>73252</v>
      </c>
      <c r="L30" s="15"/>
      <c r="M30" s="15">
        <f t="shared" si="0"/>
        <v>0</v>
      </c>
      <c r="N30" s="15">
        <v>0</v>
      </c>
      <c r="O30" s="58" t="str">
        <f t="shared" si="1"/>
        <v>0</v>
      </c>
      <c r="P30" s="39" t="str">
        <f t="shared" si="2"/>
        <v>0</v>
      </c>
      <c r="Q30" s="40">
        <f t="shared" si="3"/>
        <v>24</v>
      </c>
      <c r="R30" s="7"/>
      <c r="S30" s="6"/>
      <c r="T30" s="16"/>
      <c r="U30" s="16"/>
      <c r="V30" s="114"/>
      <c r="W30" s="5">
        <v>24</v>
      </c>
      <c r="X30" s="16"/>
      <c r="Y30" s="16"/>
      <c r="Z30" s="16"/>
      <c r="AA30" s="18"/>
      <c r="AB30" s="8">
        <f t="shared" si="4"/>
        <v>0</v>
      </c>
      <c r="AC30" s="9">
        <f t="shared" si="5"/>
        <v>0</v>
      </c>
      <c r="AD30" s="10">
        <f t="shared" si="8"/>
        <v>0</v>
      </c>
      <c r="AE30" s="36">
        <f t="shared" si="6"/>
        <v>0.40705128205128205</v>
      </c>
      <c r="AF30" s="81">
        <f t="shared" si="7"/>
        <v>35</v>
      </c>
    </row>
    <row r="31" spans="1:32" ht="21.75" customHeight="1" thickBot="1">
      <c r="A31" s="92">
        <v>36</v>
      </c>
      <c r="B31" s="11" t="s">
        <v>57</v>
      </c>
      <c r="C31" s="11" t="s">
        <v>116</v>
      </c>
      <c r="D31" s="52" t="s">
        <v>115</v>
      </c>
      <c r="E31" s="53" t="s">
        <v>174</v>
      </c>
      <c r="F31" s="12" t="s">
        <v>138</v>
      </c>
      <c r="G31" s="12">
        <v>3</v>
      </c>
      <c r="H31" s="35">
        <v>20</v>
      </c>
      <c r="I31" s="7">
        <v>36000</v>
      </c>
      <c r="J31" s="14">
        <v>9948</v>
      </c>
      <c r="K31" s="15">
        <f>L31+20295+19566+19965+9948</f>
        <v>69774</v>
      </c>
      <c r="L31" s="15"/>
      <c r="M31" s="15">
        <f t="shared" si="0"/>
        <v>0</v>
      </c>
      <c r="N31" s="15">
        <v>0</v>
      </c>
      <c r="O31" s="58" t="str">
        <f t="shared" si="1"/>
        <v>0</v>
      </c>
      <c r="P31" s="39" t="str">
        <f t="shared" si="2"/>
        <v>0</v>
      </c>
      <c r="Q31" s="40">
        <f t="shared" si="3"/>
        <v>13</v>
      </c>
      <c r="R31" s="7"/>
      <c r="S31" s="6"/>
      <c r="T31" s="16"/>
      <c r="U31" s="16"/>
      <c r="V31" s="114"/>
      <c r="W31" s="5">
        <v>13</v>
      </c>
      <c r="X31" s="16"/>
      <c r="Y31" s="16"/>
      <c r="Z31" s="16"/>
      <c r="AA31" s="18"/>
      <c r="AB31" s="8">
        <f t="shared" si="4"/>
        <v>0</v>
      </c>
      <c r="AC31" s="9">
        <f t="shared" si="5"/>
        <v>0</v>
      </c>
      <c r="AD31" s="10">
        <f t="shared" si="8"/>
        <v>0</v>
      </c>
      <c r="AE31" s="36">
        <f t="shared" si="6"/>
        <v>0.40705128205128205</v>
      </c>
      <c r="AF31" s="81">
        <f t="shared" si="7"/>
        <v>36</v>
      </c>
    </row>
    <row r="32" spans="1:32" ht="19.5" thickBot="1">
      <c r="A32" s="435" t="s">
        <v>34</v>
      </c>
      <c r="B32" s="436"/>
      <c r="C32" s="436"/>
      <c r="D32" s="436"/>
      <c r="E32" s="436"/>
      <c r="F32" s="436"/>
      <c r="G32" s="436"/>
      <c r="H32" s="437"/>
      <c r="I32" s="22">
        <f t="shared" ref="I32:N32" si="42">SUM(I6:I31)</f>
        <v>5199300</v>
      </c>
      <c r="J32" s="19">
        <f t="shared" si="42"/>
        <v>765895</v>
      </c>
      <c r="K32" s="20">
        <f t="shared" si="42"/>
        <v>3421835</v>
      </c>
      <c r="L32" s="21">
        <f t="shared" si="42"/>
        <v>660386</v>
      </c>
      <c r="M32" s="20">
        <f t="shared" si="42"/>
        <v>660386</v>
      </c>
      <c r="N32" s="21">
        <f t="shared" si="42"/>
        <v>0</v>
      </c>
      <c r="O32" s="41">
        <f t="shared" si="1"/>
        <v>0</v>
      </c>
      <c r="P32" s="42">
        <f t="shared" ref="P32:AA32" si="43">SUM(P6:P31)</f>
        <v>254</v>
      </c>
      <c r="Q32" s="43">
        <f t="shared" si="43"/>
        <v>359</v>
      </c>
      <c r="R32" s="23">
        <f t="shared" si="43"/>
        <v>0</v>
      </c>
      <c r="S32" s="24">
        <f t="shared" si="43"/>
        <v>120</v>
      </c>
      <c r="T32" s="24">
        <f t="shared" si="43"/>
        <v>28</v>
      </c>
      <c r="U32" s="24">
        <f t="shared" si="43"/>
        <v>0</v>
      </c>
      <c r="V32" s="25">
        <f t="shared" si="43"/>
        <v>0</v>
      </c>
      <c r="W32" s="26">
        <f t="shared" si="43"/>
        <v>187</v>
      </c>
      <c r="X32" s="27">
        <f t="shared" si="43"/>
        <v>0</v>
      </c>
      <c r="Y32" s="27">
        <f t="shared" si="43"/>
        <v>0</v>
      </c>
      <c r="Z32" s="27">
        <f t="shared" si="43"/>
        <v>0</v>
      </c>
      <c r="AA32" s="27">
        <f t="shared" si="43"/>
        <v>24</v>
      </c>
      <c r="AB32" s="28">
        <f>AVERAGE(AB6:AB31)</f>
        <v>0.68</v>
      </c>
      <c r="AC32" s="4">
        <f>AVERAGE(AC6:AC31)</f>
        <v>0.40705128205128205</v>
      </c>
      <c r="AD32" s="4">
        <f>AVERAGE(AD6:AD31)</f>
        <v>0.40705128205128205</v>
      </c>
      <c r="AE32" s="29"/>
    </row>
    <row r="33" spans="1:32">
      <c r="T33" s="50" t="s">
        <v>130</v>
      </c>
    </row>
    <row r="34" spans="1:32" ht="18.75">
      <c r="A34" s="2"/>
      <c r="B34" s="2" t="s">
        <v>35</v>
      </c>
      <c r="C34" s="2"/>
      <c r="D34" s="2"/>
      <c r="E34" s="2"/>
      <c r="F34" s="2"/>
      <c r="G34" s="2"/>
      <c r="H34" s="3"/>
      <c r="I34" s="3"/>
      <c r="J34" s="2"/>
      <c r="K34" s="2"/>
      <c r="L34" s="2"/>
      <c r="M34" s="2"/>
      <c r="N34" s="2" t="s">
        <v>36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1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2">
      <c r="A40" s="49"/>
      <c r="B40" s="49" t="s">
        <v>131</v>
      </c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</row>
    <row r="41" spans="1:32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</row>
    <row r="42" spans="1:3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</row>
    <row r="43" spans="1:32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82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14.2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F45" s="50"/>
    </row>
    <row r="46" spans="1:32" ht="14.2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27">
      <c r="A49" s="59"/>
      <c r="B49" s="59"/>
      <c r="C49" s="59"/>
      <c r="D49" s="59"/>
      <c r="E49" s="59"/>
      <c r="F49" s="37"/>
      <c r="G49" s="37"/>
      <c r="H49" s="38"/>
      <c r="I49" s="38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F49" s="50"/>
    </row>
    <row r="50" spans="1:32" ht="29.25" customHeight="1">
      <c r="A50" s="60"/>
      <c r="B50" s="60"/>
      <c r="C50" s="61"/>
      <c r="D50" s="61"/>
      <c r="E50" s="61"/>
      <c r="F50" s="60"/>
      <c r="G50" s="60"/>
      <c r="H50" s="60"/>
      <c r="I50" s="60"/>
      <c r="J50" s="60"/>
      <c r="K50" s="60"/>
      <c r="L50" s="60"/>
      <c r="M50" s="61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29.25" customHeight="1">
      <c r="A54" s="60"/>
      <c r="B54" s="60"/>
      <c r="C54" s="62"/>
      <c r="D54" s="61"/>
      <c r="E54" s="61"/>
      <c r="F54" s="60"/>
      <c r="G54" s="60"/>
      <c r="H54" s="60"/>
      <c r="I54" s="60"/>
      <c r="J54" s="60"/>
      <c r="K54" s="60"/>
      <c r="L54" s="60"/>
      <c r="M54" s="62"/>
      <c r="N54" s="60"/>
      <c r="O54" s="60"/>
      <c r="P54" s="63"/>
      <c r="Q54" s="63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0"/>
      <c r="AC54" s="60"/>
      <c r="AD54" s="60"/>
      <c r="AF54" s="50"/>
    </row>
    <row r="55" spans="1:32" ht="29.25" customHeight="1">
      <c r="A55" s="60"/>
      <c r="B55" s="60"/>
      <c r="C55" s="62"/>
      <c r="D55" s="61"/>
      <c r="E55" s="61"/>
      <c r="F55" s="60"/>
      <c r="G55" s="60"/>
      <c r="H55" s="60"/>
      <c r="I55" s="60"/>
      <c r="J55" s="60"/>
      <c r="K55" s="60"/>
      <c r="L55" s="60"/>
      <c r="M55" s="62"/>
      <c r="N55" s="60"/>
      <c r="O55" s="60"/>
      <c r="P55" s="63"/>
      <c r="Q55" s="63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0"/>
      <c r="AC55" s="60"/>
      <c r="AD55" s="60"/>
      <c r="AF55" s="50"/>
    </row>
    <row r="56" spans="1:32" ht="29.25" customHeight="1">
      <c r="A56" s="60"/>
      <c r="B56" s="60"/>
      <c r="C56" s="62"/>
      <c r="D56" s="61"/>
      <c r="E56" s="61"/>
      <c r="F56" s="60"/>
      <c r="G56" s="60"/>
      <c r="H56" s="60"/>
      <c r="I56" s="60"/>
      <c r="J56" s="60"/>
      <c r="K56" s="60"/>
      <c r="L56" s="60"/>
      <c r="M56" s="62"/>
      <c r="N56" s="60"/>
      <c r="O56" s="60"/>
      <c r="P56" s="63"/>
      <c r="Q56" s="63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0"/>
      <c r="AC56" s="60"/>
      <c r="AD56" s="60"/>
      <c r="AF56" s="50"/>
    </row>
    <row r="57" spans="1:32" ht="29.25" customHeight="1">
      <c r="A57" s="60"/>
      <c r="B57" s="60"/>
      <c r="C57" s="62"/>
      <c r="D57" s="61"/>
      <c r="E57" s="61"/>
      <c r="F57" s="60"/>
      <c r="G57" s="60"/>
      <c r="H57" s="60"/>
      <c r="I57" s="60"/>
      <c r="J57" s="60"/>
      <c r="K57" s="60"/>
      <c r="L57" s="60"/>
      <c r="M57" s="62"/>
      <c r="N57" s="60"/>
      <c r="O57" s="60"/>
      <c r="P57" s="63"/>
      <c r="Q57" s="63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0"/>
      <c r="AC57" s="60"/>
      <c r="AD57" s="60"/>
      <c r="AF57" s="50"/>
    </row>
    <row r="58" spans="1:32" ht="14.25" customHeight="1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F58" s="50"/>
    </row>
    <row r="59" spans="1:32" ht="36" thickBot="1">
      <c r="A59" s="438" t="s">
        <v>45</v>
      </c>
      <c r="B59" s="438"/>
      <c r="C59" s="438"/>
      <c r="D59" s="438"/>
      <c r="E59" s="438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F59" s="50"/>
    </row>
    <row r="60" spans="1:32" ht="26.25" thickBot="1">
      <c r="A60" s="439" t="s">
        <v>376</v>
      </c>
      <c r="B60" s="440"/>
      <c r="C60" s="440"/>
      <c r="D60" s="440"/>
      <c r="E60" s="440"/>
      <c r="F60" s="440"/>
      <c r="G60" s="440"/>
      <c r="H60" s="440"/>
      <c r="I60" s="440"/>
      <c r="J60" s="440"/>
      <c r="K60" s="440"/>
      <c r="L60" s="440"/>
      <c r="M60" s="441"/>
      <c r="N60" s="442" t="s">
        <v>381</v>
      </c>
      <c r="O60" s="443"/>
      <c r="P60" s="443"/>
      <c r="Q60" s="443"/>
      <c r="R60" s="443"/>
      <c r="S60" s="443"/>
      <c r="T60" s="443"/>
      <c r="U60" s="443"/>
      <c r="V60" s="443"/>
      <c r="W60" s="443"/>
      <c r="X60" s="443"/>
      <c r="Y60" s="443"/>
      <c r="Z60" s="443"/>
      <c r="AA60" s="443"/>
      <c r="AB60" s="443"/>
      <c r="AC60" s="443"/>
      <c r="AD60" s="444"/>
    </row>
    <row r="61" spans="1:32" ht="27" customHeight="1">
      <c r="A61" s="445" t="s">
        <v>2</v>
      </c>
      <c r="B61" s="446"/>
      <c r="C61" s="183" t="s">
        <v>46</v>
      </c>
      <c r="D61" s="183" t="s">
        <v>47</v>
      </c>
      <c r="E61" s="183" t="s">
        <v>107</v>
      </c>
      <c r="F61" s="447" t="s">
        <v>106</v>
      </c>
      <c r="G61" s="448"/>
      <c r="H61" s="448"/>
      <c r="I61" s="448"/>
      <c r="J61" s="448"/>
      <c r="K61" s="448"/>
      <c r="L61" s="448"/>
      <c r="M61" s="449"/>
      <c r="N61" s="67" t="s">
        <v>110</v>
      </c>
      <c r="O61" s="183" t="s">
        <v>46</v>
      </c>
      <c r="P61" s="447" t="s">
        <v>47</v>
      </c>
      <c r="Q61" s="450"/>
      <c r="R61" s="447" t="s">
        <v>38</v>
      </c>
      <c r="S61" s="448"/>
      <c r="T61" s="448"/>
      <c r="U61" s="450"/>
      <c r="V61" s="447" t="s">
        <v>48</v>
      </c>
      <c r="W61" s="448"/>
      <c r="X61" s="448"/>
      <c r="Y61" s="448"/>
      <c r="Z61" s="448"/>
      <c r="AA61" s="448"/>
      <c r="AB61" s="448"/>
      <c r="AC61" s="448"/>
      <c r="AD61" s="449"/>
    </row>
    <row r="62" spans="1:32" ht="27" customHeight="1">
      <c r="A62" s="429" t="s">
        <v>127</v>
      </c>
      <c r="B62" s="420"/>
      <c r="C62" s="179" t="s">
        <v>152</v>
      </c>
      <c r="D62" s="179"/>
      <c r="E62" s="179" t="s">
        <v>196</v>
      </c>
      <c r="F62" s="417" t="s">
        <v>122</v>
      </c>
      <c r="G62" s="418"/>
      <c r="H62" s="418"/>
      <c r="I62" s="418"/>
      <c r="J62" s="418"/>
      <c r="K62" s="418"/>
      <c r="L62" s="418"/>
      <c r="M62" s="419"/>
      <c r="N62" s="182" t="s">
        <v>116</v>
      </c>
      <c r="O62" s="176" t="s">
        <v>154</v>
      </c>
      <c r="P62" s="430" t="s">
        <v>284</v>
      </c>
      <c r="Q62" s="431"/>
      <c r="R62" s="430" t="s">
        <v>312</v>
      </c>
      <c r="S62" s="432"/>
      <c r="T62" s="432"/>
      <c r="U62" s="431"/>
      <c r="V62" s="417" t="s">
        <v>153</v>
      </c>
      <c r="W62" s="418"/>
      <c r="X62" s="418"/>
      <c r="Y62" s="418"/>
      <c r="Z62" s="418"/>
      <c r="AA62" s="418"/>
      <c r="AB62" s="418"/>
      <c r="AC62" s="418"/>
      <c r="AD62" s="419"/>
    </row>
    <row r="63" spans="1:32" ht="27" customHeight="1">
      <c r="A63" s="429" t="s">
        <v>127</v>
      </c>
      <c r="B63" s="420"/>
      <c r="C63" s="179" t="s">
        <v>204</v>
      </c>
      <c r="D63" s="179" t="s">
        <v>129</v>
      </c>
      <c r="E63" s="179" t="s">
        <v>357</v>
      </c>
      <c r="F63" s="417" t="s">
        <v>377</v>
      </c>
      <c r="G63" s="418"/>
      <c r="H63" s="418"/>
      <c r="I63" s="418"/>
      <c r="J63" s="418"/>
      <c r="K63" s="418"/>
      <c r="L63" s="418"/>
      <c r="M63" s="419"/>
      <c r="N63" s="182" t="s">
        <v>112</v>
      </c>
      <c r="O63" s="176" t="s">
        <v>150</v>
      </c>
      <c r="P63" s="430" t="s">
        <v>121</v>
      </c>
      <c r="Q63" s="431"/>
      <c r="R63" s="430" t="s">
        <v>188</v>
      </c>
      <c r="S63" s="432"/>
      <c r="T63" s="432"/>
      <c r="U63" s="431"/>
      <c r="V63" s="417" t="s">
        <v>153</v>
      </c>
      <c r="W63" s="418"/>
      <c r="X63" s="418"/>
      <c r="Y63" s="418"/>
      <c r="Z63" s="418"/>
      <c r="AA63" s="418"/>
      <c r="AB63" s="418"/>
      <c r="AC63" s="418"/>
      <c r="AD63" s="419"/>
    </row>
    <row r="64" spans="1:32" ht="27" customHeight="1">
      <c r="A64" s="429" t="s">
        <v>127</v>
      </c>
      <c r="B64" s="420"/>
      <c r="C64" s="179" t="s">
        <v>336</v>
      </c>
      <c r="D64" s="179" t="s">
        <v>284</v>
      </c>
      <c r="E64" s="179" t="s">
        <v>378</v>
      </c>
      <c r="F64" s="417" t="s">
        <v>379</v>
      </c>
      <c r="G64" s="418"/>
      <c r="H64" s="418"/>
      <c r="I64" s="418"/>
      <c r="J64" s="418"/>
      <c r="K64" s="418"/>
      <c r="L64" s="418"/>
      <c r="M64" s="419"/>
      <c r="N64" s="182" t="s">
        <v>127</v>
      </c>
      <c r="O64" s="176" t="s">
        <v>204</v>
      </c>
      <c r="P64" s="430" t="s">
        <v>129</v>
      </c>
      <c r="Q64" s="431"/>
      <c r="R64" s="430" t="s">
        <v>357</v>
      </c>
      <c r="S64" s="432"/>
      <c r="T64" s="432"/>
      <c r="U64" s="431"/>
      <c r="V64" s="417" t="s">
        <v>153</v>
      </c>
      <c r="W64" s="418"/>
      <c r="X64" s="418"/>
      <c r="Y64" s="418"/>
      <c r="Z64" s="418"/>
      <c r="AA64" s="418"/>
      <c r="AB64" s="418"/>
      <c r="AC64" s="418"/>
      <c r="AD64" s="419"/>
    </row>
    <row r="65" spans="1:32" ht="27" customHeight="1">
      <c r="A65" s="429" t="s">
        <v>335</v>
      </c>
      <c r="B65" s="420"/>
      <c r="C65" s="179" t="s">
        <v>337</v>
      </c>
      <c r="D65" s="179" t="s">
        <v>322</v>
      </c>
      <c r="E65" s="179" t="s">
        <v>338</v>
      </c>
      <c r="F65" s="417" t="s">
        <v>380</v>
      </c>
      <c r="G65" s="418"/>
      <c r="H65" s="418"/>
      <c r="I65" s="418"/>
      <c r="J65" s="418"/>
      <c r="K65" s="418"/>
      <c r="L65" s="418"/>
      <c r="M65" s="419"/>
      <c r="N65" s="182" t="s">
        <v>127</v>
      </c>
      <c r="O65" s="176" t="s">
        <v>383</v>
      </c>
      <c r="P65" s="430"/>
      <c r="Q65" s="431"/>
      <c r="R65" s="430" t="s">
        <v>382</v>
      </c>
      <c r="S65" s="432"/>
      <c r="T65" s="432"/>
      <c r="U65" s="431"/>
      <c r="V65" s="417" t="s">
        <v>153</v>
      </c>
      <c r="W65" s="418"/>
      <c r="X65" s="418"/>
      <c r="Y65" s="418"/>
      <c r="Z65" s="418"/>
      <c r="AA65" s="418"/>
      <c r="AB65" s="418"/>
      <c r="AC65" s="418"/>
      <c r="AD65" s="419"/>
    </row>
    <row r="66" spans="1:32" ht="27" customHeight="1">
      <c r="A66" s="429" t="s">
        <v>341</v>
      </c>
      <c r="B66" s="420"/>
      <c r="C66" s="179" t="s">
        <v>187</v>
      </c>
      <c r="D66" s="179" t="s">
        <v>343</v>
      </c>
      <c r="E66" s="179" t="s">
        <v>339</v>
      </c>
      <c r="F66" s="417" t="s">
        <v>122</v>
      </c>
      <c r="G66" s="418"/>
      <c r="H66" s="418"/>
      <c r="I66" s="418"/>
      <c r="J66" s="418"/>
      <c r="K66" s="418"/>
      <c r="L66" s="418"/>
      <c r="M66" s="419"/>
      <c r="N66" s="182" t="s">
        <v>112</v>
      </c>
      <c r="O66" s="176" t="s">
        <v>187</v>
      </c>
      <c r="P66" s="430" t="s">
        <v>121</v>
      </c>
      <c r="Q66" s="431"/>
      <c r="R66" s="430" t="s">
        <v>384</v>
      </c>
      <c r="S66" s="432"/>
      <c r="T66" s="432"/>
      <c r="U66" s="431"/>
      <c r="V66" s="417" t="s">
        <v>122</v>
      </c>
      <c r="W66" s="418"/>
      <c r="X66" s="418"/>
      <c r="Y66" s="418"/>
      <c r="Z66" s="418"/>
      <c r="AA66" s="418"/>
      <c r="AB66" s="418"/>
      <c r="AC66" s="418"/>
      <c r="AD66" s="419"/>
    </row>
    <row r="67" spans="1:32" ht="27" customHeight="1">
      <c r="A67" s="429" t="s">
        <v>127</v>
      </c>
      <c r="B67" s="420"/>
      <c r="C67" s="188" t="s">
        <v>187</v>
      </c>
      <c r="D67" s="188" t="s">
        <v>115</v>
      </c>
      <c r="E67" s="188" t="s">
        <v>346</v>
      </c>
      <c r="F67" s="417" t="s">
        <v>122</v>
      </c>
      <c r="G67" s="418"/>
      <c r="H67" s="418"/>
      <c r="I67" s="418"/>
      <c r="J67" s="418"/>
      <c r="K67" s="418"/>
      <c r="L67" s="418"/>
      <c r="M67" s="419"/>
      <c r="N67" s="182" t="s">
        <v>387</v>
      </c>
      <c r="O67" s="176" t="s">
        <v>388</v>
      </c>
      <c r="P67" s="430" t="s">
        <v>389</v>
      </c>
      <c r="Q67" s="431"/>
      <c r="R67" s="430" t="s">
        <v>385</v>
      </c>
      <c r="S67" s="432"/>
      <c r="T67" s="432"/>
      <c r="U67" s="431"/>
      <c r="V67" s="417" t="s">
        <v>122</v>
      </c>
      <c r="W67" s="418"/>
      <c r="X67" s="418"/>
      <c r="Y67" s="418"/>
      <c r="Z67" s="418"/>
      <c r="AA67" s="418"/>
      <c r="AB67" s="418"/>
      <c r="AC67" s="418"/>
      <c r="AD67" s="419"/>
    </row>
    <row r="68" spans="1:32" ht="27" customHeight="1">
      <c r="A68" s="429" t="s">
        <v>112</v>
      </c>
      <c r="B68" s="420"/>
      <c r="C68" s="188" t="s">
        <v>316</v>
      </c>
      <c r="D68" s="188" t="s">
        <v>115</v>
      </c>
      <c r="E68" s="188" t="s">
        <v>148</v>
      </c>
      <c r="F68" s="417" t="s">
        <v>153</v>
      </c>
      <c r="G68" s="418"/>
      <c r="H68" s="418"/>
      <c r="I68" s="418"/>
      <c r="J68" s="418"/>
      <c r="K68" s="418"/>
      <c r="L68" s="418"/>
      <c r="M68" s="419"/>
      <c r="N68" s="182" t="s">
        <v>387</v>
      </c>
      <c r="O68" s="176" t="s">
        <v>388</v>
      </c>
      <c r="P68" s="430" t="s">
        <v>389</v>
      </c>
      <c r="Q68" s="431"/>
      <c r="R68" s="430" t="s">
        <v>386</v>
      </c>
      <c r="S68" s="432"/>
      <c r="T68" s="432"/>
      <c r="U68" s="431"/>
      <c r="V68" s="417" t="s">
        <v>122</v>
      </c>
      <c r="W68" s="418"/>
      <c r="X68" s="418"/>
      <c r="Y68" s="418"/>
      <c r="Z68" s="418"/>
      <c r="AA68" s="418"/>
      <c r="AB68" s="418"/>
      <c r="AC68" s="418"/>
      <c r="AD68" s="419"/>
    </row>
    <row r="69" spans="1:32" ht="27" customHeight="1">
      <c r="A69" s="415"/>
      <c r="B69" s="416"/>
      <c r="C69" s="178"/>
      <c r="D69" s="178"/>
      <c r="E69" s="191"/>
      <c r="F69" s="473"/>
      <c r="G69" s="474"/>
      <c r="H69" s="474"/>
      <c r="I69" s="474"/>
      <c r="J69" s="474"/>
      <c r="K69" s="474"/>
      <c r="L69" s="474"/>
      <c r="M69" s="475"/>
      <c r="N69" s="182"/>
      <c r="O69" s="176"/>
      <c r="P69" s="430"/>
      <c r="Q69" s="431"/>
      <c r="R69" s="430"/>
      <c r="S69" s="432"/>
      <c r="T69" s="432"/>
      <c r="U69" s="431"/>
      <c r="V69" s="417"/>
      <c r="W69" s="418"/>
      <c r="X69" s="418"/>
      <c r="Y69" s="418"/>
      <c r="Z69" s="418"/>
      <c r="AA69" s="418"/>
      <c r="AB69" s="418"/>
      <c r="AC69" s="418"/>
      <c r="AD69" s="419"/>
    </row>
    <row r="70" spans="1:32" ht="27" customHeight="1">
      <c r="A70" s="415"/>
      <c r="B70" s="416"/>
      <c r="C70" s="178"/>
      <c r="D70" s="178"/>
      <c r="E70" s="179"/>
      <c r="F70" s="417"/>
      <c r="G70" s="418"/>
      <c r="H70" s="418"/>
      <c r="I70" s="418"/>
      <c r="J70" s="418"/>
      <c r="K70" s="418"/>
      <c r="L70" s="418"/>
      <c r="M70" s="419"/>
      <c r="N70" s="182"/>
      <c r="O70" s="176"/>
      <c r="P70" s="420"/>
      <c r="Q70" s="420"/>
      <c r="R70" s="420"/>
      <c r="S70" s="420"/>
      <c r="T70" s="420"/>
      <c r="U70" s="420"/>
      <c r="V70" s="417"/>
      <c r="W70" s="418"/>
      <c r="X70" s="418"/>
      <c r="Y70" s="418"/>
      <c r="Z70" s="418"/>
      <c r="AA70" s="418"/>
      <c r="AB70" s="418"/>
      <c r="AC70" s="418"/>
      <c r="AD70" s="419"/>
      <c r="AF70" s="81">
        <f>8*3000</f>
        <v>24000</v>
      </c>
    </row>
    <row r="71" spans="1:32" ht="27" customHeight="1" thickBot="1">
      <c r="A71" s="421" t="s">
        <v>341</v>
      </c>
      <c r="B71" s="422"/>
      <c r="C71" s="180" t="s">
        <v>354</v>
      </c>
      <c r="D71" s="181" t="s">
        <v>343</v>
      </c>
      <c r="E71" s="180" t="s">
        <v>353</v>
      </c>
      <c r="F71" s="423" t="s">
        <v>355</v>
      </c>
      <c r="G71" s="424"/>
      <c r="H71" s="424"/>
      <c r="I71" s="424"/>
      <c r="J71" s="424"/>
      <c r="K71" s="424"/>
      <c r="L71" s="424"/>
      <c r="M71" s="425"/>
      <c r="N71" s="105"/>
      <c r="O71" s="97"/>
      <c r="P71" s="426"/>
      <c r="Q71" s="426"/>
      <c r="R71" s="426"/>
      <c r="S71" s="426"/>
      <c r="T71" s="426"/>
      <c r="U71" s="426"/>
      <c r="V71" s="427"/>
      <c r="W71" s="427"/>
      <c r="X71" s="427"/>
      <c r="Y71" s="427"/>
      <c r="Z71" s="427"/>
      <c r="AA71" s="427"/>
      <c r="AB71" s="427"/>
      <c r="AC71" s="427"/>
      <c r="AD71" s="428"/>
      <c r="AF71" s="81">
        <f>16*3000</f>
        <v>48000</v>
      </c>
    </row>
    <row r="72" spans="1:32" ht="27.75" thickBot="1">
      <c r="A72" s="413" t="s">
        <v>390</v>
      </c>
      <c r="B72" s="413"/>
      <c r="C72" s="413"/>
      <c r="D72" s="413"/>
      <c r="E72" s="413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F72" s="81">
        <v>24000</v>
      </c>
    </row>
    <row r="73" spans="1:32" ht="29.25" customHeight="1" thickBot="1">
      <c r="A73" s="414" t="s">
        <v>111</v>
      </c>
      <c r="B73" s="411"/>
      <c r="C73" s="177" t="s">
        <v>2</v>
      </c>
      <c r="D73" s="177" t="s">
        <v>37</v>
      </c>
      <c r="E73" s="177" t="s">
        <v>3</v>
      </c>
      <c r="F73" s="411" t="s">
        <v>109</v>
      </c>
      <c r="G73" s="411"/>
      <c r="H73" s="411"/>
      <c r="I73" s="411"/>
      <c r="J73" s="411"/>
      <c r="K73" s="411" t="s">
        <v>39</v>
      </c>
      <c r="L73" s="411"/>
      <c r="M73" s="177" t="s">
        <v>40</v>
      </c>
      <c r="N73" s="411" t="s">
        <v>41</v>
      </c>
      <c r="O73" s="411"/>
      <c r="P73" s="408" t="s">
        <v>42</v>
      </c>
      <c r="Q73" s="410"/>
      <c r="R73" s="408" t="s">
        <v>43</v>
      </c>
      <c r="S73" s="409"/>
      <c r="T73" s="409"/>
      <c r="U73" s="409"/>
      <c r="V73" s="409"/>
      <c r="W73" s="409"/>
      <c r="X73" s="409"/>
      <c r="Y73" s="409"/>
      <c r="Z73" s="409"/>
      <c r="AA73" s="410"/>
      <c r="AB73" s="411" t="s">
        <v>44</v>
      </c>
      <c r="AC73" s="411"/>
      <c r="AD73" s="412"/>
      <c r="AF73" s="81">
        <f>SUM(AF70:AF72)</f>
        <v>96000</v>
      </c>
    </row>
    <row r="74" spans="1:32" ht="25.5" customHeight="1">
      <c r="A74" s="399">
        <v>1</v>
      </c>
      <c r="B74" s="400"/>
      <c r="C74" s="98" t="s">
        <v>113</v>
      </c>
      <c r="D74" s="172"/>
      <c r="E74" s="175"/>
      <c r="F74" s="401" t="s">
        <v>391</v>
      </c>
      <c r="G74" s="391"/>
      <c r="H74" s="391"/>
      <c r="I74" s="391"/>
      <c r="J74" s="391"/>
      <c r="K74" s="391" t="s">
        <v>114</v>
      </c>
      <c r="L74" s="391"/>
      <c r="M74" s="51" t="s">
        <v>272</v>
      </c>
      <c r="N74" s="402" t="s">
        <v>187</v>
      </c>
      <c r="O74" s="402"/>
      <c r="P74" s="403">
        <v>1000</v>
      </c>
      <c r="Q74" s="403"/>
      <c r="R74" s="404"/>
      <c r="S74" s="404"/>
      <c r="T74" s="404"/>
      <c r="U74" s="404"/>
      <c r="V74" s="404"/>
      <c r="W74" s="404"/>
      <c r="X74" s="404"/>
      <c r="Y74" s="404"/>
      <c r="Z74" s="404"/>
      <c r="AA74" s="404"/>
      <c r="AB74" s="391"/>
      <c r="AC74" s="391"/>
      <c r="AD74" s="392"/>
      <c r="AF74" s="50"/>
    </row>
    <row r="75" spans="1:32" ht="25.5" customHeight="1">
      <c r="A75" s="399">
        <v>2</v>
      </c>
      <c r="B75" s="400"/>
      <c r="C75" s="98" t="s">
        <v>393</v>
      </c>
      <c r="D75" s="172"/>
      <c r="E75" s="175" t="s">
        <v>394</v>
      </c>
      <c r="F75" s="401" t="s">
        <v>392</v>
      </c>
      <c r="G75" s="391"/>
      <c r="H75" s="391"/>
      <c r="I75" s="391"/>
      <c r="J75" s="391"/>
      <c r="K75" s="391" t="s">
        <v>395</v>
      </c>
      <c r="L75" s="391"/>
      <c r="M75" s="51" t="s">
        <v>396</v>
      </c>
      <c r="N75" s="402" t="s">
        <v>397</v>
      </c>
      <c r="O75" s="402"/>
      <c r="P75" s="403">
        <v>100</v>
      </c>
      <c r="Q75" s="403"/>
      <c r="R75" s="404"/>
      <c r="S75" s="404"/>
      <c r="T75" s="404"/>
      <c r="U75" s="404"/>
      <c r="V75" s="404"/>
      <c r="W75" s="404"/>
      <c r="X75" s="404"/>
      <c r="Y75" s="404"/>
      <c r="Z75" s="404"/>
      <c r="AA75" s="404"/>
      <c r="AB75" s="391"/>
      <c r="AC75" s="391"/>
      <c r="AD75" s="392"/>
      <c r="AF75" s="50"/>
    </row>
    <row r="76" spans="1:32" ht="25.5" customHeight="1">
      <c r="A76" s="399">
        <v>3</v>
      </c>
      <c r="B76" s="400"/>
      <c r="C76" s="98"/>
      <c r="D76" s="172"/>
      <c r="E76" s="175"/>
      <c r="F76" s="401"/>
      <c r="G76" s="391"/>
      <c r="H76" s="391"/>
      <c r="I76" s="391"/>
      <c r="J76" s="391"/>
      <c r="K76" s="391"/>
      <c r="L76" s="391"/>
      <c r="M76" s="51"/>
      <c r="N76" s="402"/>
      <c r="O76" s="402"/>
      <c r="P76" s="403"/>
      <c r="Q76" s="403"/>
      <c r="R76" s="404"/>
      <c r="S76" s="404"/>
      <c r="T76" s="404"/>
      <c r="U76" s="404"/>
      <c r="V76" s="404"/>
      <c r="W76" s="404"/>
      <c r="X76" s="404"/>
      <c r="Y76" s="404"/>
      <c r="Z76" s="404"/>
      <c r="AA76" s="404"/>
      <c r="AB76" s="391"/>
      <c r="AC76" s="391"/>
      <c r="AD76" s="392"/>
      <c r="AF76" s="50"/>
    </row>
    <row r="77" spans="1:32" ht="25.5" customHeight="1">
      <c r="A77" s="399">
        <v>4</v>
      </c>
      <c r="B77" s="400"/>
      <c r="C77" s="98"/>
      <c r="D77" s="172"/>
      <c r="E77" s="175"/>
      <c r="F77" s="405"/>
      <c r="G77" s="406"/>
      <c r="H77" s="406"/>
      <c r="I77" s="406"/>
      <c r="J77" s="407"/>
      <c r="K77" s="391"/>
      <c r="L77" s="391"/>
      <c r="M77" s="51"/>
      <c r="N77" s="402"/>
      <c r="O77" s="402"/>
      <c r="P77" s="403"/>
      <c r="Q77" s="403"/>
      <c r="R77" s="404"/>
      <c r="S77" s="404"/>
      <c r="T77" s="404"/>
      <c r="U77" s="404"/>
      <c r="V77" s="404"/>
      <c r="W77" s="404"/>
      <c r="X77" s="404"/>
      <c r="Y77" s="404"/>
      <c r="Z77" s="404"/>
      <c r="AA77" s="404"/>
      <c r="AB77" s="391"/>
      <c r="AC77" s="391"/>
      <c r="AD77" s="392"/>
      <c r="AF77" s="50"/>
    </row>
    <row r="78" spans="1:32" ht="25.5" customHeight="1">
      <c r="A78" s="399">
        <v>5</v>
      </c>
      <c r="B78" s="400"/>
      <c r="C78" s="98"/>
      <c r="D78" s="172"/>
      <c r="E78" s="175"/>
      <c r="F78" s="405"/>
      <c r="G78" s="406"/>
      <c r="H78" s="406"/>
      <c r="I78" s="406"/>
      <c r="J78" s="407"/>
      <c r="K78" s="391"/>
      <c r="L78" s="391"/>
      <c r="M78" s="51"/>
      <c r="N78" s="402"/>
      <c r="O78" s="402"/>
      <c r="P78" s="403"/>
      <c r="Q78" s="403"/>
      <c r="R78" s="404"/>
      <c r="S78" s="404"/>
      <c r="T78" s="404"/>
      <c r="U78" s="404"/>
      <c r="V78" s="404"/>
      <c r="W78" s="404"/>
      <c r="X78" s="404"/>
      <c r="Y78" s="404"/>
      <c r="Z78" s="404"/>
      <c r="AA78" s="404"/>
      <c r="AB78" s="391"/>
      <c r="AC78" s="391"/>
      <c r="AD78" s="392"/>
      <c r="AF78" s="50"/>
    </row>
    <row r="79" spans="1:32" ht="25.5" customHeight="1">
      <c r="A79" s="399">
        <v>6</v>
      </c>
      <c r="B79" s="400"/>
      <c r="C79" s="98"/>
      <c r="D79" s="172"/>
      <c r="E79" s="175"/>
      <c r="F79" s="405"/>
      <c r="G79" s="406"/>
      <c r="H79" s="406"/>
      <c r="I79" s="406"/>
      <c r="J79" s="407"/>
      <c r="K79" s="391"/>
      <c r="L79" s="391"/>
      <c r="M79" s="51"/>
      <c r="N79" s="402"/>
      <c r="O79" s="402"/>
      <c r="P79" s="403"/>
      <c r="Q79" s="403"/>
      <c r="R79" s="404"/>
      <c r="S79" s="404"/>
      <c r="T79" s="404"/>
      <c r="U79" s="404"/>
      <c r="V79" s="404"/>
      <c r="W79" s="404"/>
      <c r="X79" s="404"/>
      <c r="Y79" s="404"/>
      <c r="Z79" s="404"/>
      <c r="AA79" s="404"/>
      <c r="AB79" s="391"/>
      <c r="AC79" s="391"/>
      <c r="AD79" s="392"/>
      <c r="AF79" s="50"/>
    </row>
    <row r="80" spans="1:32" ht="25.5" customHeight="1">
      <c r="A80" s="399">
        <v>7</v>
      </c>
      <c r="B80" s="400"/>
      <c r="C80" s="98"/>
      <c r="D80" s="172"/>
      <c r="E80" s="175"/>
      <c r="F80" s="405"/>
      <c r="G80" s="406"/>
      <c r="H80" s="406"/>
      <c r="I80" s="406"/>
      <c r="J80" s="407"/>
      <c r="K80" s="391"/>
      <c r="L80" s="391"/>
      <c r="M80" s="51"/>
      <c r="N80" s="402"/>
      <c r="O80" s="402"/>
      <c r="P80" s="403"/>
      <c r="Q80" s="403"/>
      <c r="R80" s="404"/>
      <c r="S80" s="404"/>
      <c r="T80" s="404"/>
      <c r="U80" s="404"/>
      <c r="V80" s="404"/>
      <c r="W80" s="404"/>
      <c r="X80" s="404"/>
      <c r="Y80" s="404"/>
      <c r="Z80" s="404"/>
      <c r="AA80" s="404"/>
      <c r="AB80" s="391"/>
      <c r="AC80" s="391"/>
      <c r="AD80" s="392"/>
      <c r="AF80" s="50"/>
    </row>
    <row r="81" spans="1:32" ht="25.5" customHeight="1">
      <c r="A81" s="399">
        <v>8</v>
      </c>
      <c r="B81" s="400"/>
      <c r="C81" s="98"/>
      <c r="D81" s="172"/>
      <c r="E81" s="175"/>
      <c r="F81" s="401"/>
      <c r="G81" s="391"/>
      <c r="H81" s="391"/>
      <c r="I81" s="391"/>
      <c r="J81" s="391"/>
      <c r="K81" s="391"/>
      <c r="L81" s="391"/>
      <c r="M81" s="51"/>
      <c r="N81" s="402"/>
      <c r="O81" s="402"/>
      <c r="P81" s="403"/>
      <c r="Q81" s="403"/>
      <c r="R81" s="404"/>
      <c r="S81" s="404"/>
      <c r="T81" s="404"/>
      <c r="U81" s="404"/>
      <c r="V81" s="404"/>
      <c r="W81" s="404"/>
      <c r="X81" s="404"/>
      <c r="Y81" s="404"/>
      <c r="Z81" s="404"/>
      <c r="AA81" s="404"/>
      <c r="AB81" s="391"/>
      <c r="AC81" s="391"/>
      <c r="AD81" s="392"/>
      <c r="AF81" s="50"/>
    </row>
    <row r="82" spans="1:32" ht="25.5" customHeight="1">
      <c r="A82" s="399">
        <v>9</v>
      </c>
      <c r="B82" s="400"/>
      <c r="C82" s="98"/>
      <c r="D82" s="172"/>
      <c r="E82" s="175"/>
      <c r="F82" s="401"/>
      <c r="G82" s="391"/>
      <c r="H82" s="391"/>
      <c r="I82" s="391"/>
      <c r="J82" s="391"/>
      <c r="K82" s="391"/>
      <c r="L82" s="391"/>
      <c r="M82" s="51"/>
      <c r="N82" s="402"/>
      <c r="O82" s="402"/>
      <c r="P82" s="403"/>
      <c r="Q82" s="403"/>
      <c r="R82" s="404"/>
      <c r="S82" s="404"/>
      <c r="T82" s="404"/>
      <c r="U82" s="404"/>
      <c r="V82" s="404"/>
      <c r="W82" s="404"/>
      <c r="X82" s="404"/>
      <c r="Y82" s="404"/>
      <c r="Z82" s="404"/>
      <c r="AA82" s="404"/>
      <c r="AB82" s="391"/>
      <c r="AC82" s="391"/>
      <c r="AD82" s="392"/>
      <c r="AF82" s="50"/>
    </row>
    <row r="83" spans="1:32" ht="25.5" customHeight="1">
      <c r="A83" s="399">
        <v>10</v>
      </c>
      <c r="B83" s="400"/>
      <c r="C83" s="98"/>
      <c r="D83" s="172"/>
      <c r="E83" s="175"/>
      <c r="F83" s="401"/>
      <c r="G83" s="391"/>
      <c r="H83" s="391"/>
      <c r="I83" s="391"/>
      <c r="J83" s="391"/>
      <c r="K83" s="391"/>
      <c r="L83" s="391"/>
      <c r="M83" s="51"/>
      <c r="N83" s="402"/>
      <c r="O83" s="402"/>
      <c r="P83" s="403"/>
      <c r="Q83" s="403"/>
      <c r="R83" s="404"/>
      <c r="S83" s="404"/>
      <c r="T83" s="404"/>
      <c r="U83" s="404"/>
      <c r="V83" s="404"/>
      <c r="W83" s="404"/>
      <c r="X83" s="404"/>
      <c r="Y83" s="404"/>
      <c r="Z83" s="404"/>
      <c r="AA83" s="404"/>
      <c r="AB83" s="391"/>
      <c r="AC83" s="391"/>
      <c r="AD83" s="392"/>
      <c r="AF83" s="50"/>
    </row>
    <row r="84" spans="1:32" ht="26.25" customHeight="1" thickBot="1">
      <c r="A84" s="371" t="s">
        <v>398</v>
      </c>
      <c r="B84" s="371"/>
      <c r="C84" s="371"/>
      <c r="D84" s="371"/>
      <c r="E84" s="371"/>
      <c r="F84" s="37"/>
      <c r="G84" s="37"/>
      <c r="H84" s="38"/>
      <c r="I84" s="38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F84" s="50"/>
    </row>
    <row r="85" spans="1:32" ht="23.25" thickBot="1">
      <c r="A85" s="393" t="s">
        <v>111</v>
      </c>
      <c r="B85" s="394"/>
      <c r="C85" s="174" t="s">
        <v>2</v>
      </c>
      <c r="D85" s="174" t="s">
        <v>37</v>
      </c>
      <c r="E85" s="174" t="s">
        <v>120</v>
      </c>
      <c r="F85" s="373" t="s">
        <v>38</v>
      </c>
      <c r="G85" s="373"/>
      <c r="H85" s="373"/>
      <c r="I85" s="373"/>
      <c r="J85" s="373"/>
      <c r="K85" s="395" t="s">
        <v>58</v>
      </c>
      <c r="L85" s="396"/>
      <c r="M85" s="396"/>
      <c r="N85" s="396"/>
      <c r="O85" s="396"/>
      <c r="P85" s="396"/>
      <c r="Q85" s="396"/>
      <c r="R85" s="396"/>
      <c r="S85" s="397"/>
      <c r="T85" s="373" t="s">
        <v>49</v>
      </c>
      <c r="U85" s="373"/>
      <c r="V85" s="395" t="s">
        <v>50</v>
      </c>
      <c r="W85" s="397"/>
      <c r="X85" s="396" t="s">
        <v>51</v>
      </c>
      <c r="Y85" s="396"/>
      <c r="Z85" s="396"/>
      <c r="AA85" s="396"/>
      <c r="AB85" s="396"/>
      <c r="AC85" s="396"/>
      <c r="AD85" s="398"/>
      <c r="AF85" s="50"/>
    </row>
    <row r="86" spans="1:32" ht="33.75" customHeight="1">
      <c r="A86" s="365">
        <v>1</v>
      </c>
      <c r="B86" s="366"/>
      <c r="C86" s="173"/>
      <c r="D86" s="173"/>
      <c r="E86" s="65"/>
      <c r="F86" s="380"/>
      <c r="G86" s="381"/>
      <c r="H86" s="381"/>
      <c r="I86" s="381"/>
      <c r="J86" s="382"/>
      <c r="K86" s="383"/>
      <c r="L86" s="384"/>
      <c r="M86" s="384"/>
      <c r="N86" s="384"/>
      <c r="O86" s="384"/>
      <c r="P86" s="384"/>
      <c r="Q86" s="384"/>
      <c r="R86" s="384"/>
      <c r="S86" s="385"/>
      <c r="T86" s="386"/>
      <c r="U86" s="387"/>
      <c r="V86" s="388"/>
      <c r="W86" s="388"/>
      <c r="X86" s="389"/>
      <c r="Y86" s="389"/>
      <c r="Z86" s="389"/>
      <c r="AA86" s="389"/>
      <c r="AB86" s="389"/>
      <c r="AC86" s="389"/>
      <c r="AD86" s="390"/>
      <c r="AF86" s="50"/>
    </row>
    <row r="87" spans="1:32" ht="30" customHeight="1">
      <c r="A87" s="358">
        <f>A86+1</f>
        <v>2</v>
      </c>
      <c r="B87" s="359"/>
      <c r="C87" s="172"/>
      <c r="D87" s="172"/>
      <c r="E87" s="32"/>
      <c r="F87" s="359"/>
      <c r="G87" s="359"/>
      <c r="H87" s="359"/>
      <c r="I87" s="359"/>
      <c r="J87" s="359"/>
      <c r="K87" s="374"/>
      <c r="L87" s="375"/>
      <c r="M87" s="375"/>
      <c r="N87" s="375"/>
      <c r="O87" s="375"/>
      <c r="P87" s="375"/>
      <c r="Q87" s="375"/>
      <c r="R87" s="375"/>
      <c r="S87" s="376"/>
      <c r="T87" s="377"/>
      <c r="U87" s="377"/>
      <c r="V87" s="377"/>
      <c r="W87" s="377"/>
      <c r="X87" s="378"/>
      <c r="Y87" s="378"/>
      <c r="Z87" s="378"/>
      <c r="AA87" s="378"/>
      <c r="AB87" s="378"/>
      <c r="AC87" s="378"/>
      <c r="AD87" s="379"/>
      <c r="AF87" s="50"/>
    </row>
    <row r="88" spans="1:32" ht="30" customHeight="1">
      <c r="A88" s="358">
        <f t="shared" ref="A88:A92" si="44">A87+1</f>
        <v>3</v>
      </c>
      <c r="B88" s="359"/>
      <c r="C88" s="172"/>
      <c r="D88" s="172"/>
      <c r="E88" s="32"/>
      <c r="F88" s="359"/>
      <c r="G88" s="359"/>
      <c r="H88" s="359"/>
      <c r="I88" s="359"/>
      <c r="J88" s="359"/>
      <c r="K88" s="374"/>
      <c r="L88" s="375"/>
      <c r="M88" s="375"/>
      <c r="N88" s="375"/>
      <c r="O88" s="375"/>
      <c r="P88" s="375"/>
      <c r="Q88" s="375"/>
      <c r="R88" s="375"/>
      <c r="S88" s="376"/>
      <c r="T88" s="377"/>
      <c r="U88" s="377"/>
      <c r="V88" s="377"/>
      <c r="W88" s="377"/>
      <c r="X88" s="378"/>
      <c r="Y88" s="378"/>
      <c r="Z88" s="378"/>
      <c r="AA88" s="378"/>
      <c r="AB88" s="378"/>
      <c r="AC88" s="378"/>
      <c r="AD88" s="379"/>
      <c r="AF88" s="50"/>
    </row>
    <row r="89" spans="1:32" ht="30" customHeight="1">
      <c r="A89" s="358">
        <f t="shared" si="44"/>
        <v>4</v>
      </c>
      <c r="B89" s="359"/>
      <c r="C89" s="172"/>
      <c r="D89" s="172"/>
      <c r="E89" s="32"/>
      <c r="F89" s="359"/>
      <c r="G89" s="359"/>
      <c r="H89" s="359"/>
      <c r="I89" s="359"/>
      <c r="J89" s="359"/>
      <c r="K89" s="374"/>
      <c r="L89" s="375"/>
      <c r="M89" s="375"/>
      <c r="N89" s="375"/>
      <c r="O89" s="375"/>
      <c r="P89" s="375"/>
      <c r="Q89" s="375"/>
      <c r="R89" s="375"/>
      <c r="S89" s="376"/>
      <c r="T89" s="377"/>
      <c r="U89" s="377"/>
      <c r="V89" s="377"/>
      <c r="W89" s="377"/>
      <c r="X89" s="378"/>
      <c r="Y89" s="378"/>
      <c r="Z89" s="378"/>
      <c r="AA89" s="378"/>
      <c r="AB89" s="378"/>
      <c r="AC89" s="378"/>
      <c r="AD89" s="379"/>
      <c r="AF89" s="50"/>
    </row>
    <row r="90" spans="1:32" ht="30" customHeight="1">
      <c r="A90" s="358">
        <f t="shared" si="44"/>
        <v>5</v>
      </c>
      <c r="B90" s="359"/>
      <c r="C90" s="172"/>
      <c r="D90" s="172"/>
      <c r="E90" s="32"/>
      <c r="F90" s="359"/>
      <c r="G90" s="359"/>
      <c r="H90" s="359"/>
      <c r="I90" s="359"/>
      <c r="J90" s="359"/>
      <c r="K90" s="374"/>
      <c r="L90" s="375"/>
      <c r="M90" s="375"/>
      <c r="N90" s="375"/>
      <c r="O90" s="375"/>
      <c r="P90" s="375"/>
      <c r="Q90" s="375"/>
      <c r="R90" s="375"/>
      <c r="S90" s="376"/>
      <c r="T90" s="377"/>
      <c r="U90" s="377"/>
      <c r="V90" s="377"/>
      <c r="W90" s="377"/>
      <c r="X90" s="378"/>
      <c r="Y90" s="378"/>
      <c r="Z90" s="378"/>
      <c r="AA90" s="378"/>
      <c r="AB90" s="378"/>
      <c r="AC90" s="378"/>
      <c r="AD90" s="379"/>
      <c r="AF90" s="50"/>
    </row>
    <row r="91" spans="1:32" ht="30" customHeight="1">
      <c r="A91" s="358">
        <f t="shared" si="44"/>
        <v>6</v>
      </c>
      <c r="B91" s="359"/>
      <c r="C91" s="172"/>
      <c r="D91" s="172"/>
      <c r="E91" s="32"/>
      <c r="F91" s="359"/>
      <c r="G91" s="359"/>
      <c r="H91" s="359"/>
      <c r="I91" s="359"/>
      <c r="J91" s="359"/>
      <c r="K91" s="374"/>
      <c r="L91" s="375"/>
      <c r="M91" s="375"/>
      <c r="N91" s="375"/>
      <c r="O91" s="375"/>
      <c r="P91" s="375"/>
      <c r="Q91" s="375"/>
      <c r="R91" s="375"/>
      <c r="S91" s="376"/>
      <c r="T91" s="377"/>
      <c r="U91" s="377"/>
      <c r="V91" s="377"/>
      <c r="W91" s="377"/>
      <c r="X91" s="378"/>
      <c r="Y91" s="378"/>
      <c r="Z91" s="378"/>
      <c r="AA91" s="378"/>
      <c r="AB91" s="378"/>
      <c r="AC91" s="378"/>
      <c r="AD91" s="379"/>
      <c r="AF91" s="50"/>
    </row>
    <row r="92" spans="1:32" ht="30" customHeight="1">
      <c r="A92" s="358">
        <f t="shared" si="44"/>
        <v>7</v>
      </c>
      <c r="B92" s="359"/>
      <c r="C92" s="172"/>
      <c r="D92" s="172"/>
      <c r="E92" s="32"/>
      <c r="F92" s="359"/>
      <c r="G92" s="359"/>
      <c r="H92" s="359"/>
      <c r="I92" s="359"/>
      <c r="J92" s="359"/>
      <c r="K92" s="374"/>
      <c r="L92" s="375"/>
      <c r="M92" s="375"/>
      <c r="N92" s="375"/>
      <c r="O92" s="375"/>
      <c r="P92" s="375"/>
      <c r="Q92" s="375"/>
      <c r="R92" s="375"/>
      <c r="S92" s="376"/>
      <c r="T92" s="377"/>
      <c r="U92" s="377"/>
      <c r="V92" s="377"/>
      <c r="W92" s="377"/>
      <c r="X92" s="378"/>
      <c r="Y92" s="378"/>
      <c r="Z92" s="378"/>
      <c r="AA92" s="378"/>
      <c r="AB92" s="378"/>
      <c r="AC92" s="378"/>
      <c r="AD92" s="379"/>
      <c r="AF92" s="50"/>
    </row>
    <row r="93" spans="1:32" ht="36" thickBot="1">
      <c r="A93" s="371" t="s">
        <v>399</v>
      </c>
      <c r="B93" s="371"/>
      <c r="C93" s="371"/>
      <c r="D93" s="371"/>
      <c r="E93" s="371"/>
      <c r="F93" s="37"/>
      <c r="G93" s="37"/>
      <c r="H93" s="38"/>
      <c r="I93" s="38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F93" s="50"/>
    </row>
    <row r="94" spans="1:32" ht="30.75" customHeight="1" thickBot="1">
      <c r="A94" s="372" t="s">
        <v>111</v>
      </c>
      <c r="B94" s="373"/>
      <c r="C94" s="363" t="s">
        <v>52</v>
      </c>
      <c r="D94" s="363"/>
      <c r="E94" s="363" t="s">
        <v>53</v>
      </c>
      <c r="F94" s="363"/>
      <c r="G94" s="363"/>
      <c r="H94" s="363"/>
      <c r="I94" s="363"/>
      <c r="J94" s="363"/>
      <c r="K94" s="363" t="s">
        <v>54</v>
      </c>
      <c r="L94" s="363"/>
      <c r="M94" s="363"/>
      <c r="N94" s="363"/>
      <c r="O94" s="363"/>
      <c r="P94" s="363"/>
      <c r="Q94" s="363"/>
      <c r="R94" s="363"/>
      <c r="S94" s="363"/>
      <c r="T94" s="363" t="s">
        <v>55</v>
      </c>
      <c r="U94" s="363"/>
      <c r="V94" s="363" t="s">
        <v>56</v>
      </c>
      <c r="W94" s="363"/>
      <c r="X94" s="363"/>
      <c r="Y94" s="363" t="s">
        <v>51</v>
      </c>
      <c r="Z94" s="363"/>
      <c r="AA94" s="363"/>
      <c r="AB94" s="363"/>
      <c r="AC94" s="363"/>
      <c r="AD94" s="364"/>
      <c r="AF94" s="50"/>
    </row>
    <row r="95" spans="1:32" ht="30.75" customHeight="1">
      <c r="A95" s="365">
        <v>1</v>
      </c>
      <c r="B95" s="366"/>
      <c r="C95" s="367"/>
      <c r="D95" s="367"/>
      <c r="E95" s="367"/>
      <c r="F95" s="367"/>
      <c r="G95" s="367"/>
      <c r="H95" s="367"/>
      <c r="I95" s="367"/>
      <c r="J95" s="367"/>
      <c r="K95" s="367"/>
      <c r="L95" s="367"/>
      <c r="M95" s="367"/>
      <c r="N95" s="367"/>
      <c r="O95" s="367"/>
      <c r="P95" s="367"/>
      <c r="Q95" s="367"/>
      <c r="R95" s="367"/>
      <c r="S95" s="367"/>
      <c r="T95" s="367"/>
      <c r="U95" s="367"/>
      <c r="V95" s="368"/>
      <c r="W95" s="368"/>
      <c r="X95" s="368"/>
      <c r="Y95" s="369"/>
      <c r="Z95" s="369"/>
      <c r="AA95" s="369"/>
      <c r="AB95" s="369"/>
      <c r="AC95" s="369"/>
      <c r="AD95" s="370"/>
      <c r="AF95" s="50"/>
    </row>
    <row r="96" spans="1:32" ht="30.75" customHeight="1">
      <c r="A96" s="358">
        <v>2</v>
      </c>
      <c r="B96" s="359"/>
      <c r="C96" s="360"/>
      <c r="D96" s="360"/>
      <c r="E96" s="360"/>
      <c r="F96" s="360"/>
      <c r="G96" s="360"/>
      <c r="H96" s="360"/>
      <c r="I96" s="360"/>
      <c r="J96" s="360"/>
      <c r="K96" s="360"/>
      <c r="L96" s="360"/>
      <c r="M96" s="360"/>
      <c r="N96" s="360"/>
      <c r="O96" s="360"/>
      <c r="P96" s="360"/>
      <c r="Q96" s="360"/>
      <c r="R96" s="360"/>
      <c r="S96" s="360"/>
      <c r="T96" s="361"/>
      <c r="U96" s="361"/>
      <c r="V96" s="362"/>
      <c r="W96" s="362"/>
      <c r="X96" s="362"/>
      <c r="Y96" s="350"/>
      <c r="Z96" s="350"/>
      <c r="AA96" s="350"/>
      <c r="AB96" s="350"/>
      <c r="AC96" s="350"/>
      <c r="AD96" s="351"/>
      <c r="AF96" s="50"/>
    </row>
    <row r="97" spans="1:32" ht="30.75" customHeight="1" thickBot="1">
      <c r="A97" s="352">
        <v>3</v>
      </c>
      <c r="B97" s="353"/>
      <c r="C97" s="354"/>
      <c r="D97" s="354"/>
      <c r="E97" s="354"/>
      <c r="F97" s="354"/>
      <c r="G97" s="354"/>
      <c r="H97" s="354"/>
      <c r="I97" s="354"/>
      <c r="J97" s="354"/>
      <c r="K97" s="354"/>
      <c r="L97" s="354"/>
      <c r="M97" s="354"/>
      <c r="N97" s="354"/>
      <c r="O97" s="354"/>
      <c r="P97" s="354"/>
      <c r="Q97" s="354"/>
      <c r="R97" s="354"/>
      <c r="S97" s="354"/>
      <c r="T97" s="354"/>
      <c r="U97" s="354"/>
      <c r="V97" s="355"/>
      <c r="W97" s="355"/>
      <c r="X97" s="355"/>
      <c r="Y97" s="356"/>
      <c r="Z97" s="356"/>
      <c r="AA97" s="356"/>
      <c r="AB97" s="356"/>
      <c r="AC97" s="356"/>
      <c r="AD97" s="357"/>
      <c r="AF97" s="50"/>
    </row>
  </sheetData>
  <mergeCells count="232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32:H32"/>
    <mergeCell ref="A59:E59"/>
    <mergeCell ref="A60:M60"/>
    <mergeCell ref="N60:AD60"/>
    <mergeCell ref="A61:B61"/>
    <mergeCell ref="F61:M61"/>
    <mergeCell ref="P61:Q61"/>
    <mergeCell ref="R61:U61"/>
    <mergeCell ref="V61:AD61"/>
    <mergeCell ref="I4:O4"/>
    <mergeCell ref="P4:Q4"/>
    <mergeCell ref="R4:V4"/>
    <mergeCell ref="W4:AA4"/>
    <mergeCell ref="AB4:AB5"/>
    <mergeCell ref="AC4:AC5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A64:B64"/>
    <mergeCell ref="F64:M64"/>
    <mergeCell ref="P64:Q64"/>
    <mergeCell ref="R64:U64"/>
    <mergeCell ref="V64:AD64"/>
    <mergeCell ref="A65:B65"/>
    <mergeCell ref="F65:M65"/>
    <mergeCell ref="P65:Q65"/>
    <mergeCell ref="R65:U65"/>
    <mergeCell ref="V65:AD65"/>
    <mergeCell ref="A66:B66"/>
    <mergeCell ref="F66:M66"/>
    <mergeCell ref="P66:Q66"/>
    <mergeCell ref="R66:U66"/>
    <mergeCell ref="V66:AD66"/>
    <mergeCell ref="A67:B67"/>
    <mergeCell ref="F67:M67"/>
    <mergeCell ref="P67:Q67"/>
    <mergeCell ref="R67:U67"/>
    <mergeCell ref="V67:AD67"/>
    <mergeCell ref="R70:U70"/>
    <mergeCell ref="V70:AD70"/>
    <mergeCell ref="A71:B71"/>
    <mergeCell ref="F71:M71"/>
    <mergeCell ref="P71:Q71"/>
    <mergeCell ref="R71:U71"/>
    <mergeCell ref="V71:AD71"/>
    <mergeCell ref="A68:B68"/>
    <mergeCell ref="F68:M68"/>
    <mergeCell ref="P68:Q68"/>
    <mergeCell ref="R68:U68"/>
    <mergeCell ref="V68:AD68"/>
    <mergeCell ref="A69:B69"/>
    <mergeCell ref="F69:M69"/>
    <mergeCell ref="P69:Q69"/>
    <mergeCell ref="R69:U69"/>
    <mergeCell ref="V69:AD69"/>
    <mergeCell ref="A72:E72"/>
    <mergeCell ref="A73:B73"/>
    <mergeCell ref="F73:J73"/>
    <mergeCell ref="K73:L73"/>
    <mergeCell ref="N73:O73"/>
    <mergeCell ref="P73:Q73"/>
    <mergeCell ref="A70:B70"/>
    <mergeCell ref="F70:M70"/>
    <mergeCell ref="P70:Q70"/>
    <mergeCell ref="R73:AA73"/>
    <mergeCell ref="AB73:AD73"/>
    <mergeCell ref="A74:B74"/>
    <mergeCell ref="F74:J74"/>
    <mergeCell ref="K74:L74"/>
    <mergeCell ref="N74:O74"/>
    <mergeCell ref="P74:Q74"/>
    <mergeCell ref="R74:AA74"/>
    <mergeCell ref="AB74:AD74"/>
    <mergeCell ref="AB75:AD75"/>
    <mergeCell ref="A76:B76"/>
    <mergeCell ref="F76:J76"/>
    <mergeCell ref="K76:L76"/>
    <mergeCell ref="N76:O76"/>
    <mergeCell ref="P76:Q76"/>
    <mergeCell ref="R76:AA76"/>
    <mergeCell ref="AB76:AD76"/>
    <mergeCell ref="A75:B75"/>
    <mergeCell ref="F75:J75"/>
    <mergeCell ref="K75:L75"/>
    <mergeCell ref="N75:O75"/>
    <mergeCell ref="P75:Q75"/>
    <mergeCell ref="R75:AA75"/>
    <mergeCell ref="AB77:AD77"/>
    <mergeCell ref="A78:B78"/>
    <mergeCell ref="F78:J78"/>
    <mergeCell ref="K78:L78"/>
    <mergeCell ref="N78:O78"/>
    <mergeCell ref="P78:Q78"/>
    <mergeCell ref="R78:AA78"/>
    <mergeCell ref="AB78:AD78"/>
    <mergeCell ref="A77:B77"/>
    <mergeCell ref="F77:J77"/>
    <mergeCell ref="K77:L77"/>
    <mergeCell ref="N77:O77"/>
    <mergeCell ref="P77:Q77"/>
    <mergeCell ref="R77:AA77"/>
    <mergeCell ref="AB79:AD79"/>
    <mergeCell ref="A80:B80"/>
    <mergeCell ref="F80:J80"/>
    <mergeCell ref="K80:L80"/>
    <mergeCell ref="N80:O80"/>
    <mergeCell ref="P80:Q80"/>
    <mergeCell ref="R80:AA80"/>
    <mergeCell ref="AB80:AD80"/>
    <mergeCell ref="A79:B79"/>
    <mergeCell ref="F79:J79"/>
    <mergeCell ref="K79:L79"/>
    <mergeCell ref="N79:O79"/>
    <mergeCell ref="P79:Q79"/>
    <mergeCell ref="R79:AA79"/>
    <mergeCell ref="AB81:AD81"/>
    <mergeCell ref="A82:B82"/>
    <mergeCell ref="F82:J82"/>
    <mergeCell ref="K82:L82"/>
    <mergeCell ref="N82:O82"/>
    <mergeCell ref="P82:Q82"/>
    <mergeCell ref="R82:AA82"/>
    <mergeCell ref="AB82:AD82"/>
    <mergeCell ref="A81:B81"/>
    <mergeCell ref="F81:J81"/>
    <mergeCell ref="K81:L81"/>
    <mergeCell ref="N81:O81"/>
    <mergeCell ref="P81:Q81"/>
    <mergeCell ref="R81:AA81"/>
    <mergeCell ref="AB83:AD83"/>
    <mergeCell ref="A84:E84"/>
    <mergeCell ref="A85:B85"/>
    <mergeCell ref="F85:J85"/>
    <mergeCell ref="K85:S85"/>
    <mergeCell ref="T85:U85"/>
    <mergeCell ref="V85:W85"/>
    <mergeCell ref="X85:AD85"/>
    <mergeCell ref="A83:B83"/>
    <mergeCell ref="F83:J83"/>
    <mergeCell ref="K83:L83"/>
    <mergeCell ref="N83:O83"/>
    <mergeCell ref="P83:Q83"/>
    <mergeCell ref="R83:AA83"/>
    <mergeCell ref="A87:B87"/>
    <mergeCell ref="F87:J87"/>
    <mergeCell ref="K87:S87"/>
    <mergeCell ref="T87:U87"/>
    <mergeCell ref="V87:W87"/>
    <mergeCell ref="X87:AD87"/>
    <mergeCell ref="A86:B86"/>
    <mergeCell ref="F86:J86"/>
    <mergeCell ref="K86:S86"/>
    <mergeCell ref="T86:U86"/>
    <mergeCell ref="V86:W86"/>
    <mergeCell ref="X86:AD86"/>
    <mergeCell ref="A89:B89"/>
    <mergeCell ref="F89:J89"/>
    <mergeCell ref="K89:S89"/>
    <mergeCell ref="T89:U89"/>
    <mergeCell ref="V89:W89"/>
    <mergeCell ref="X89:AD89"/>
    <mergeCell ref="A88:B88"/>
    <mergeCell ref="F88:J88"/>
    <mergeCell ref="K88:S88"/>
    <mergeCell ref="T88:U88"/>
    <mergeCell ref="V88:W88"/>
    <mergeCell ref="X88:AD88"/>
    <mergeCell ref="V92:W92"/>
    <mergeCell ref="X92:AD92"/>
    <mergeCell ref="A91:B91"/>
    <mergeCell ref="F91:J91"/>
    <mergeCell ref="K91:S91"/>
    <mergeCell ref="T91:U91"/>
    <mergeCell ref="V91:W91"/>
    <mergeCell ref="X91:AD91"/>
    <mergeCell ref="A90:B90"/>
    <mergeCell ref="F90:J90"/>
    <mergeCell ref="K90:S90"/>
    <mergeCell ref="T90:U90"/>
    <mergeCell ref="V90:W90"/>
    <mergeCell ref="X90:AD90"/>
    <mergeCell ref="A93:E93"/>
    <mergeCell ref="A94:B94"/>
    <mergeCell ref="C94:D94"/>
    <mergeCell ref="E94:J94"/>
    <mergeCell ref="K94:S94"/>
    <mergeCell ref="T94:U94"/>
    <mergeCell ref="A92:B92"/>
    <mergeCell ref="F92:J92"/>
    <mergeCell ref="K92:S92"/>
    <mergeCell ref="T92:U92"/>
    <mergeCell ref="V94:X94"/>
    <mergeCell ref="Y94:AD94"/>
    <mergeCell ref="A95:B95"/>
    <mergeCell ref="C95:D95"/>
    <mergeCell ref="E95:J95"/>
    <mergeCell ref="K95:S95"/>
    <mergeCell ref="T95:U95"/>
    <mergeCell ref="V95:X95"/>
    <mergeCell ref="Y95:AD95"/>
    <mergeCell ref="Y96:AD96"/>
    <mergeCell ref="A97:B97"/>
    <mergeCell ref="C97:D97"/>
    <mergeCell ref="E97:J97"/>
    <mergeCell ref="K97:S97"/>
    <mergeCell ref="T97:U97"/>
    <mergeCell ref="V97:X97"/>
    <mergeCell ref="Y97:AD97"/>
    <mergeCell ref="A96:B96"/>
    <mergeCell ref="C96:D96"/>
    <mergeCell ref="E96:J96"/>
    <mergeCell ref="K96:S96"/>
    <mergeCell ref="T96:U96"/>
    <mergeCell ref="V96:X9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8" fitToHeight="2" orientation="landscape" r:id="rId1"/>
  <rowBreaks count="1" manualBreakCount="1">
    <brk id="57" max="29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9FE5-5C8F-4C55-9CC0-7FDB61A6FEC5}">
  <sheetPr codeName="Sheet8">
    <pageSetUpPr fitToPage="1"/>
  </sheetPr>
  <dimension ref="A1:AF95"/>
  <sheetViews>
    <sheetView view="pageBreakPreview" zoomScale="70" zoomScaleNormal="72" zoomScaleSheetLayoutView="70" workbookViewId="0">
      <selection activeCell="L24" sqref="L24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1" bestFit="1" customWidth="1"/>
    <col min="33" max="33" width="17.625" style="50" customWidth="1"/>
    <col min="34" max="16384" width="9" style="50"/>
  </cols>
  <sheetData>
    <row r="1" spans="1:32" ht="44.25" customHeight="1">
      <c r="A1" s="461" t="s">
        <v>400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61"/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62"/>
      <c r="B3" s="462"/>
      <c r="C3" s="462"/>
      <c r="D3" s="462"/>
      <c r="E3" s="462"/>
      <c r="F3" s="462"/>
      <c r="G3" s="462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63" t="s">
        <v>0</v>
      </c>
      <c r="B4" s="465" t="s">
        <v>1</v>
      </c>
      <c r="C4" s="465" t="s">
        <v>2</v>
      </c>
      <c r="D4" s="468" t="s">
        <v>3</v>
      </c>
      <c r="E4" s="470" t="s">
        <v>4</v>
      </c>
      <c r="F4" s="468" t="s">
        <v>5</v>
      </c>
      <c r="G4" s="465" t="s">
        <v>6</v>
      </c>
      <c r="H4" s="471" t="s">
        <v>7</v>
      </c>
      <c r="I4" s="451" t="s">
        <v>8</v>
      </c>
      <c r="J4" s="452"/>
      <c r="K4" s="452"/>
      <c r="L4" s="452"/>
      <c r="M4" s="452"/>
      <c r="N4" s="452"/>
      <c r="O4" s="453"/>
      <c r="P4" s="454" t="s">
        <v>9</v>
      </c>
      <c r="Q4" s="455"/>
      <c r="R4" s="456" t="s">
        <v>10</v>
      </c>
      <c r="S4" s="457"/>
      <c r="T4" s="457"/>
      <c r="U4" s="457"/>
      <c r="V4" s="458"/>
      <c r="W4" s="457" t="s">
        <v>11</v>
      </c>
      <c r="X4" s="457"/>
      <c r="Y4" s="457"/>
      <c r="Z4" s="457"/>
      <c r="AA4" s="458"/>
      <c r="AB4" s="459" t="s">
        <v>12</v>
      </c>
      <c r="AC4" s="433" t="s">
        <v>13</v>
      </c>
      <c r="AD4" s="433" t="s">
        <v>14</v>
      </c>
      <c r="AE4" s="54"/>
    </row>
    <row r="5" spans="1:32" ht="51" customHeight="1" thickBot="1">
      <c r="A5" s="464"/>
      <c r="B5" s="466"/>
      <c r="C5" s="467"/>
      <c r="D5" s="469"/>
      <c r="E5" s="469"/>
      <c r="F5" s="469"/>
      <c r="G5" s="466"/>
      <c r="H5" s="472"/>
      <c r="I5" s="55" t="s">
        <v>15</v>
      </c>
      <c r="J5" s="56" t="s">
        <v>16</v>
      </c>
      <c r="K5" s="185" t="s">
        <v>17</v>
      </c>
      <c r="L5" s="185" t="s">
        <v>18</v>
      </c>
      <c r="M5" s="185" t="s">
        <v>19</v>
      </c>
      <c r="N5" s="185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60"/>
      <c r="AC5" s="434"/>
      <c r="AD5" s="434"/>
      <c r="AE5" s="54"/>
    </row>
    <row r="6" spans="1:32" ht="27" customHeight="1">
      <c r="A6" s="106">
        <v>1</v>
      </c>
      <c r="B6" s="11" t="s">
        <v>57</v>
      </c>
      <c r="C6" s="34" t="s">
        <v>116</v>
      </c>
      <c r="D6" s="52" t="s">
        <v>140</v>
      </c>
      <c r="E6" s="53" t="s">
        <v>273</v>
      </c>
      <c r="F6" s="30" t="s">
        <v>162</v>
      </c>
      <c r="G6" s="12">
        <v>1</v>
      </c>
      <c r="H6" s="13">
        <v>24</v>
      </c>
      <c r="I6" s="31">
        <v>200</v>
      </c>
      <c r="J6" s="14">
        <v>550</v>
      </c>
      <c r="K6" s="15">
        <f>L6</f>
        <v>550</v>
      </c>
      <c r="L6" s="15">
        <v>550</v>
      </c>
      <c r="M6" s="15">
        <f t="shared" ref="M6:M29" si="0">L6-N6</f>
        <v>550</v>
      </c>
      <c r="N6" s="15">
        <v>0</v>
      </c>
      <c r="O6" s="58">
        <f t="shared" ref="O6:O30" si="1">IF(L6=0,"0",N6/L6)</f>
        <v>0</v>
      </c>
      <c r="P6" s="39">
        <f t="shared" ref="P6:P29" si="2">IF(L6=0,"0",(24-Q6))</f>
        <v>3</v>
      </c>
      <c r="Q6" s="40">
        <f t="shared" ref="Q6:Q29" si="3">SUM(R6:AA6)</f>
        <v>21</v>
      </c>
      <c r="R6" s="7"/>
      <c r="S6" s="6"/>
      <c r="T6" s="16"/>
      <c r="U6" s="16"/>
      <c r="V6" s="17"/>
      <c r="W6" s="5">
        <v>21</v>
      </c>
      <c r="X6" s="16"/>
      <c r="Y6" s="16"/>
      <c r="Z6" s="16"/>
      <c r="AA6" s="18"/>
      <c r="AB6" s="8">
        <f t="shared" ref="AB6:AB29" si="4">IF(J6=0,"0",(L6/J6))</f>
        <v>1</v>
      </c>
      <c r="AC6" s="9">
        <f t="shared" ref="AC6:AC29" si="5">IF(P6=0,"0",(P6/24))</f>
        <v>0.125</v>
      </c>
      <c r="AD6" s="10">
        <f>AC6*AB6*(1-O6)</f>
        <v>0.125</v>
      </c>
      <c r="AE6" s="36">
        <f t="shared" ref="AE6:AE29" si="6">$AD$30</f>
        <v>0.3737847222222222</v>
      </c>
      <c r="AF6" s="81">
        <f t="shared" ref="AF6:AF29" si="7">A6</f>
        <v>1</v>
      </c>
    </row>
    <row r="7" spans="1:32" ht="27" customHeight="1">
      <c r="A7" s="106">
        <v>2</v>
      </c>
      <c r="B7" s="11" t="s">
        <v>57</v>
      </c>
      <c r="C7" s="34" t="s">
        <v>112</v>
      </c>
      <c r="D7" s="52" t="s">
        <v>140</v>
      </c>
      <c r="E7" s="53" t="s">
        <v>149</v>
      </c>
      <c r="F7" s="30" t="s">
        <v>139</v>
      </c>
      <c r="G7" s="12">
        <v>1</v>
      </c>
      <c r="H7" s="13">
        <v>24</v>
      </c>
      <c r="I7" s="31">
        <v>190000</v>
      </c>
      <c r="J7" s="14">
        <v>11534</v>
      </c>
      <c r="K7" s="15">
        <f>L7+8898+11520+11558+11486+11566+10872+10958+11534+11518+11230+7112+9722+10964+11352</f>
        <v>161824</v>
      </c>
      <c r="L7" s="15">
        <f>2860*2+2907*2</f>
        <v>11534</v>
      </c>
      <c r="M7" s="15">
        <f t="shared" si="0"/>
        <v>11534</v>
      </c>
      <c r="N7" s="15">
        <v>0</v>
      </c>
      <c r="O7" s="58">
        <f t="shared" si="1"/>
        <v>0</v>
      </c>
      <c r="P7" s="39">
        <f t="shared" si="2"/>
        <v>24</v>
      </c>
      <c r="Q7" s="40">
        <f t="shared" si="3"/>
        <v>0</v>
      </c>
      <c r="R7" s="7"/>
      <c r="S7" s="6"/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1</v>
      </c>
      <c r="AD7" s="10">
        <f t="shared" ref="AD7:AD29" si="8">AC7*AB7*(1-O7)</f>
        <v>1</v>
      </c>
      <c r="AE7" s="36">
        <f t="shared" si="6"/>
        <v>0.3737847222222222</v>
      </c>
      <c r="AF7" s="81">
        <f t="shared" si="7"/>
        <v>2</v>
      </c>
    </row>
    <row r="8" spans="1:32" ht="27" customHeight="1">
      <c r="A8" s="92">
        <v>3</v>
      </c>
      <c r="B8" s="11" t="s">
        <v>57</v>
      </c>
      <c r="C8" s="34" t="s">
        <v>127</v>
      </c>
      <c r="D8" s="52" t="s">
        <v>284</v>
      </c>
      <c r="E8" s="53" t="s">
        <v>314</v>
      </c>
      <c r="F8" s="30" t="s">
        <v>156</v>
      </c>
      <c r="G8" s="12">
        <v>3</v>
      </c>
      <c r="H8" s="13">
        <v>22</v>
      </c>
      <c r="I8" s="31">
        <v>20000</v>
      </c>
      <c r="J8" s="5">
        <v>15540</v>
      </c>
      <c r="K8" s="15">
        <f>L8+11403</f>
        <v>26943</v>
      </c>
      <c r="L8" s="15">
        <f>2440*3+2740*3</f>
        <v>15540</v>
      </c>
      <c r="M8" s="15">
        <f t="shared" si="0"/>
        <v>15540</v>
      </c>
      <c r="N8" s="15">
        <v>0</v>
      </c>
      <c r="O8" s="58">
        <f t="shared" si="1"/>
        <v>0</v>
      </c>
      <c r="P8" s="39">
        <f t="shared" si="2"/>
        <v>24</v>
      </c>
      <c r="Q8" s="40">
        <f t="shared" si="3"/>
        <v>0</v>
      </c>
      <c r="R8" s="7"/>
      <c r="S8" s="6">
        <v>0</v>
      </c>
      <c r="T8" s="16"/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1</v>
      </c>
      <c r="AD8" s="10">
        <f t="shared" si="8"/>
        <v>1</v>
      </c>
      <c r="AE8" s="36">
        <f t="shared" si="6"/>
        <v>0.3737847222222222</v>
      </c>
      <c r="AF8" s="81">
        <f t="shared" si="7"/>
        <v>3</v>
      </c>
    </row>
    <row r="9" spans="1:32" ht="27" customHeight="1">
      <c r="A9" s="92">
        <v>4</v>
      </c>
      <c r="B9" s="11" t="s">
        <v>57</v>
      </c>
      <c r="C9" s="34" t="s">
        <v>116</v>
      </c>
      <c r="D9" s="52" t="s">
        <v>284</v>
      </c>
      <c r="E9" s="53" t="s">
        <v>312</v>
      </c>
      <c r="F9" s="30" t="s">
        <v>323</v>
      </c>
      <c r="G9" s="12">
        <v>1</v>
      </c>
      <c r="H9" s="13">
        <v>24</v>
      </c>
      <c r="I9" s="7">
        <v>60000</v>
      </c>
      <c r="J9" s="14">
        <v>4890</v>
      </c>
      <c r="K9" s="15">
        <f>L9+3954+360</f>
        <v>9204</v>
      </c>
      <c r="L9" s="15">
        <f>3244+1646</f>
        <v>4890</v>
      </c>
      <c r="M9" s="15">
        <f t="shared" si="0"/>
        <v>4890</v>
      </c>
      <c r="N9" s="15">
        <v>0</v>
      </c>
      <c r="O9" s="58">
        <f t="shared" si="1"/>
        <v>0</v>
      </c>
      <c r="P9" s="39">
        <f t="shared" si="2"/>
        <v>19</v>
      </c>
      <c r="Q9" s="40">
        <f t="shared" si="3"/>
        <v>5</v>
      </c>
      <c r="R9" s="7"/>
      <c r="S9" s="6">
        <v>5</v>
      </c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0.79166666666666663</v>
      </c>
      <c r="AD9" s="10">
        <f t="shared" si="8"/>
        <v>0.79166666666666663</v>
      </c>
      <c r="AE9" s="36">
        <f t="shared" si="6"/>
        <v>0.3737847222222222</v>
      </c>
      <c r="AF9" s="81">
        <f t="shared" si="7"/>
        <v>4</v>
      </c>
    </row>
    <row r="10" spans="1:32" ht="27" customHeight="1">
      <c r="A10" s="92">
        <v>5</v>
      </c>
      <c r="B10" s="11" t="s">
        <v>57</v>
      </c>
      <c r="C10" s="11" t="s">
        <v>112</v>
      </c>
      <c r="D10" s="52" t="s">
        <v>121</v>
      </c>
      <c r="E10" s="53" t="s">
        <v>188</v>
      </c>
      <c r="F10" s="30" t="s">
        <v>124</v>
      </c>
      <c r="G10" s="33">
        <v>1</v>
      </c>
      <c r="H10" s="35">
        <v>24</v>
      </c>
      <c r="I10" s="7">
        <v>115000</v>
      </c>
      <c r="J10" s="14">
        <v>1932</v>
      </c>
      <c r="K10" s="15">
        <f>L10+5338+5669+5744+4980+3619</f>
        <v>27282</v>
      </c>
      <c r="L10" s="15">
        <f>873+1059</f>
        <v>1932</v>
      </c>
      <c r="M10" s="15">
        <f t="shared" si="0"/>
        <v>1932</v>
      </c>
      <c r="N10" s="15">
        <v>0</v>
      </c>
      <c r="O10" s="58">
        <f t="shared" si="1"/>
        <v>0</v>
      </c>
      <c r="P10" s="39">
        <f t="shared" si="2"/>
        <v>9</v>
      </c>
      <c r="Q10" s="40">
        <f t="shared" si="3"/>
        <v>15</v>
      </c>
      <c r="R10" s="7"/>
      <c r="S10" s="6">
        <v>15</v>
      </c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0.375</v>
      </c>
      <c r="AD10" s="10">
        <f t="shared" si="8"/>
        <v>0.375</v>
      </c>
      <c r="AE10" s="36">
        <f t="shared" si="6"/>
        <v>0.3737847222222222</v>
      </c>
      <c r="AF10" s="81">
        <f t="shared" si="7"/>
        <v>5</v>
      </c>
    </row>
    <row r="11" spans="1:32" ht="27" customHeight="1">
      <c r="A11" s="92">
        <v>6</v>
      </c>
      <c r="B11" s="11" t="s">
        <v>57</v>
      </c>
      <c r="C11" s="11" t="s">
        <v>127</v>
      </c>
      <c r="D11" s="52" t="s">
        <v>121</v>
      </c>
      <c r="E11" s="53" t="s">
        <v>401</v>
      </c>
      <c r="F11" s="30" t="s">
        <v>128</v>
      </c>
      <c r="G11" s="33">
        <v>1</v>
      </c>
      <c r="H11" s="35">
        <v>24</v>
      </c>
      <c r="I11" s="7">
        <v>1000</v>
      </c>
      <c r="J11" s="14">
        <v>2098</v>
      </c>
      <c r="K11" s="15">
        <f>L11</f>
        <v>2098</v>
      </c>
      <c r="L11" s="15">
        <f>2098</f>
        <v>2098</v>
      </c>
      <c r="M11" s="15">
        <f t="shared" si="0"/>
        <v>2098</v>
      </c>
      <c r="N11" s="15">
        <v>0</v>
      </c>
      <c r="O11" s="58">
        <f t="shared" si="1"/>
        <v>0</v>
      </c>
      <c r="P11" s="39">
        <f t="shared" si="2"/>
        <v>11</v>
      </c>
      <c r="Q11" s="40">
        <f t="shared" si="3"/>
        <v>13</v>
      </c>
      <c r="R11" s="7"/>
      <c r="S11" s="6"/>
      <c r="T11" s="16">
        <v>13</v>
      </c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0.45833333333333331</v>
      </c>
      <c r="AD11" s="10">
        <f t="shared" si="8"/>
        <v>0.45833333333333331</v>
      </c>
      <c r="AE11" s="36">
        <f t="shared" si="6"/>
        <v>0.3737847222222222</v>
      </c>
      <c r="AF11" s="81">
        <f t="shared" si="7"/>
        <v>6</v>
      </c>
    </row>
    <row r="12" spans="1:32" ht="27" customHeight="1">
      <c r="A12" s="92">
        <v>6</v>
      </c>
      <c r="B12" s="11" t="s">
        <v>57</v>
      </c>
      <c r="C12" s="11" t="s">
        <v>127</v>
      </c>
      <c r="D12" s="52" t="s">
        <v>209</v>
      </c>
      <c r="E12" s="53" t="s">
        <v>374</v>
      </c>
      <c r="F12" s="30" t="s">
        <v>138</v>
      </c>
      <c r="G12" s="33">
        <v>1</v>
      </c>
      <c r="H12" s="35">
        <v>24</v>
      </c>
      <c r="I12" s="7">
        <v>500</v>
      </c>
      <c r="J12" s="14">
        <v>699</v>
      </c>
      <c r="K12" s="15">
        <f>L12+498</f>
        <v>1197</v>
      </c>
      <c r="L12" s="15">
        <v>699</v>
      </c>
      <c r="M12" s="15">
        <f t="shared" si="0"/>
        <v>699</v>
      </c>
      <c r="N12" s="15">
        <v>0</v>
      </c>
      <c r="O12" s="58">
        <f t="shared" si="1"/>
        <v>0</v>
      </c>
      <c r="P12" s="39">
        <f t="shared" si="2"/>
        <v>4</v>
      </c>
      <c r="Q12" s="40">
        <f t="shared" si="3"/>
        <v>20</v>
      </c>
      <c r="R12" s="7"/>
      <c r="S12" s="6"/>
      <c r="T12" s="16"/>
      <c r="U12" s="16"/>
      <c r="V12" s="17"/>
      <c r="W12" s="5">
        <v>20</v>
      </c>
      <c r="X12" s="16"/>
      <c r="Y12" s="16"/>
      <c r="Z12" s="16"/>
      <c r="AA12" s="18"/>
      <c r="AB12" s="8">
        <f t="shared" si="4"/>
        <v>1</v>
      </c>
      <c r="AC12" s="9">
        <f t="shared" si="5"/>
        <v>0.16666666666666666</v>
      </c>
      <c r="AD12" s="10">
        <f t="shared" si="8"/>
        <v>0.16666666666666666</v>
      </c>
      <c r="AE12" s="36">
        <f t="shared" si="6"/>
        <v>0.3737847222222222</v>
      </c>
      <c r="AF12" s="81">
        <f t="shared" si="7"/>
        <v>6</v>
      </c>
    </row>
    <row r="13" spans="1:32" ht="27" customHeight="1">
      <c r="A13" s="92">
        <v>6</v>
      </c>
      <c r="B13" s="11" t="s">
        <v>57</v>
      </c>
      <c r="C13" s="11" t="s">
        <v>112</v>
      </c>
      <c r="D13" s="52" t="s">
        <v>141</v>
      </c>
      <c r="E13" s="53" t="s">
        <v>375</v>
      </c>
      <c r="F13" s="30" t="s">
        <v>128</v>
      </c>
      <c r="G13" s="33">
        <v>2</v>
      </c>
      <c r="H13" s="35">
        <v>24</v>
      </c>
      <c r="I13" s="7">
        <v>10000</v>
      </c>
      <c r="J13" s="14">
        <v>4456</v>
      </c>
      <c r="K13" s="15">
        <f>L13+6086</f>
        <v>10542</v>
      </c>
      <c r="L13" s="15">
        <f>2228*2</f>
        <v>4456</v>
      </c>
      <c r="M13" s="15">
        <f t="shared" si="0"/>
        <v>4456</v>
      </c>
      <c r="N13" s="15">
        <v>0</v>
      </c>
      <c r="O13" s="58">
        <f t="shared" si="1"/>
        <v>0</v>
      </c>
      <c r="P13" s="39">
        <f t="shared" si="2"/>
        <v>7</v>
      </c>
      <c r="Q13" s="40">
        <f t="shared" si="3"/>
        <v>17</v>
      </c>
      <c r="R13" s="7"/>
      <c r="S13" s="6"/>
      <c r="T13" s="16"/>
      <c r="U13" s="16"/>
      <c r="V13" s="17"/>
      <c r="W13" s="5">
        <v>17</v>
      </c>
      <c r="X13" s="16"/>
      <c r="Y13" s="16"/>
      <c r="Z13" s="16"/>
      <c r="AA13" s="18"/>
      <c r="AB13" s="8">
        <f t="shared" si="4"/>
        <v>1</v>
      </c>
      <c r="AC13" s="9">
        <f t="shared" si="5"/>
        <v>0.29166666666666669</v>
      </c>
      <c r="AD13" s="10">
        <f t="shared" si="8"/>
        <v>0.29166666666666669</v>
      </c>
      <c r="AE13" s="36">
        <f t="shared" si="6"/>
        <v>0.3737847222222222</v>
      </c>
      <c r="AF13" s="81">
        <f t="shared" si="7"/>
        <v>6</v>
      </c>
    </row>
    <row r="14" spans="1:32" ht="27" customHeight="1">
      <c r="A14" s="92">
        <v>7</v>
      </c>
      <c r="B14" s="11" t="s">
        <v>57</v>
      </c>
      <c r="C14" s="34" t="s">
        <v>116</v>
      </c>
      <c r="D14" s="52" t="s">
        <v>115</v>
      </c>
      <c r="E14" s="53" t="s">
        <v>214</v>
      </c>
      <c r="F14" s="30" t="s">
        <v>235</v>
      </c>
      <c r="G14" s="12">
        <v>1</v>
      </c>
      <c r="H14" s="13">
        <v>22</v>
      </c>
      <c r="I14" s="31">
        <v>60000</v>
      </c>
      <c r="J14" s="5">
        <v>9374</v>
      </c>
      <c r="K14" s="15">
        <f>L14+7218+9738+8082+9034+9324</f>
        <v>52770</v>
      </c>
      <c r="L14" s="15">
        <f>2337*2+2350*2</f>
        <v>9374</v>
      </c>
      <c r="M14" s="15">
        <f t="shared" si="0"/>
        <v>9374</v>
      </c>
      <c r="N14" s="15">
        <v>0</v>
      </c>
      <c r="O14" s="58">
        <f t="shared" si="1"/>
        <v>0</v>
      </c>
      <c r="P14" s="39">
        <f t="shared" si="2"/>
        <v>24</v>
      </c>
      <c r="Q14" s="40">
        <f t="shared" si="3"/>
        <v>0</v>
      </c>
      <c r="R14" s="7"/>
      <c r="S14" s="6"/>
      <c r="T14" s="16"/>
      <c r="U14" s="16"/>
      <c r="V14" s="17"/>
      <c r="W14" s="5"/>
      <c r="X14" s="16"/>
      <c r="Y14" s="16"/>
      <c r="Z14" s="16"/>
      <c r="AA14" s="18"/>
      <c r="AB14" s="8">
        <f t="shared" si="4"/>
        <v>1</v>
      </c>
      <c r="AC14" s="9">
        <f t="shared" si="5"/>
        <v>1</v>
      </c>
      <c r="AD14" s="10">
        <f t="shared" si="8"/>
        <v>1</v>
      </c>
      <c r="AE14" s="36">
        <f t="shared" si="6"/>
        <v>0.3737847222222222</v>
      </c>
      <c r="AF14" s="81">
        <f t="shared" si="7"/>
        <v>7</v>
      </c>
    </row>
    <row r="15" spans="1:32" ht="27" customHeight="1">
      <c r="A15" s="92">
        <v>8</v>
      </c>
      <c r="B15" s="11" t="s">
        <v>57</v>
      </c>
      <c r="C15" s="11" t="s">
        <v>127</v>
      </c>
      <c r="D15" s="52" t="s">
        <v>158</v>
      </c>
      <c r="E15" s="53" t="s">
        <v>180</v>
      </c>
      <c r="F15" s="30" t="s">
        <v>123</v>
      </c>
      <c r="G15" s="33">
        <v>1</v>
      </c>
      <c r="H15" s="35">
        <v>22</v>
      </c>
      <c r="I15" s="7">
        <v>17400</v>
      </c>
      <c r="J15" s="14">
        <v>4429</v>
      </c>
      <c r="K15" s="15">
        <f>L15</f>
        <v>4429</v>
      </c>
      <c r="L15" s="15">
        <f>2104+2325</f>
        <v>4429</v>
      </c>
      <c r="M15" s="15">
        <f t="shared" si="0"/>
        <v>4429</v>
      </c>
      <c r="N15" s="15">
        <v>0</v>
      </c>
      <c r="O15" s="58">
        <f t="shared" si="1"/>
        <v>0</v>
      </c>
      <c r="P15" s="39">
        <f t="shared" si="2"/>
        <v>24</v>
      </c>
      <c r="Q15" s="40">
        <f t="shared" si="3"/>
        <v>0</v>
      </c>
      <c r="R15" s="7"/>
      <c r="S15" s="6"/>
      <c r="T15" s="16"/>
      <c r="U15" s="16"/>
      <c r="V15" s="17"/>
      <c r="W15" s="5"/>
      <c r="X15" s="16"/>
      <c r="Y15" s="16"/>
      <c r="Z15" s="16"/>
      <c r="AA15" s="18"/>
      <c r="AB15" s="8">
        <f t="shared" si="4"/>
        <v>1</v>
      </c>
      <c r="AC15" s="9">
        <f t="shared" si="5"/>
        <v>1</v>
      </c>
      <c r="AD15" s="10">
        <f t="shared" si="8"/>
        <v>1</v>
      </c>
      <c r="AE15" s="36">
        <f t="shared" si="6"/>
        <v>0.3737847222222222</v>
      </c>
      <c r="AF15" s="81">
        <f t="shared" si="7"/>
        <v>8</v>
      </c>
    </row>
    <row r="16" spans="1:32" ht="27" customHeight="1">
      <c r="A16" s="99">
        <v>9</v>
      </c>
      <c r="B16" s="11" t="s">
        <v>57</v>
      </c>
      <c r="C16" s="34" t="s">
        <v>112</v>
      </c>
      <c r="D16" s="52" t="s">
        <v>115</v>
      </c>
      <c r="E16" s="53" t="s">
        <v>165</v>
      </c>
      <c r="F16" s="30" t="s">
        <v>167</v>
      </c>
      <c r="G16" s="33">
        <v>1</v>
      </c>
      <c r="H16" s="35">
        <v>50</v>
      </c>
      <c r="I16" s="7">
        <v>300</v>
      </c>
      <c r="J16" s="5">
        <v>391</v>
      </c>
      <c r="K16" s="15">
        <f>L16+300</f>
        <v>300</v>
      </c>
      <c r="L16" s="15"/>
      <c r="M16" s="15">
        <f t="shared" si="0"/>
        <v>0</v>
      </c>
      <c r="N16" s="15">
        <v>0</v>
      </c>
      <c r="O16" s="58" t="str">
        <f t="shared" si="1"/>
        <v>0</v>
      </c>
      <c r="P16" s="39" t="str">
        <f t="shared" si="2"/>
        <v>0</v>
      </c>
      <c r="Q16" s="40">
        <f t="shared" si="3"/>
        <v>24</v>
      </c>
      <c r="R16" s="7"/>
      <c r="S16" s="6"/>
      <c r="T16" s="16"/>
      <c r="U16" s="16"/>
      <c r="V16" s="17"/>
      <c r="W16" s="5"/>
      <c r="X16" s="16"/>
      <c r="Y16" s="16"/>
      <c r="Z16" s="16"/>
      <c r="AA16" s="18">
        <v>24</v>
      </c>
      <c r="AB16" s="8">
        <f t="shared" si="4"/>
        <v>0</v>
      </c>
      <c r="AC16" s="9">
        <f t="shared" si="5"/>
        <v>0</v>
      </c>
      <c r="AD16" s="10">
        <f t="shared" si="8"/>
        <v>0</v>
      </c>
      <c r="AE16" s="36">
        <f t="shared" si="6"/>
        <v>0.3737847222222222</v>
      </c>
      <c r="AF16" s="81">
        <f t="shared" si="7"/>
        <v>9</v>
      </c>
    </row>
    <row r="17" spans="1:32" ht="27" customHeight="1">
      <c r="A17" s="106">
        <v>10</v>
      </c>
      <c r="B17" s="11" t="s">
        <v>57</v>
      </c>
      <c r="C17" s="34" t="s">
        <v>127</v>
      </c>
      <c r="D17" s="52" t="s">
        <v>313</v>
      </c>
      <c r="E17" s="53" t="s">
        <v>324</v>
      </c>
      <c r="F17" s="30" t="s">
        <v>325</v>
      </c>
      <c r="G17" s="12">
        <v>4</v>
      </c>
      <c r="H17" s="13">
        <v>24</v>
      </c>
      <c r="I17" s="31">
        <v>200000</v>
      </c>
      <c r="J17" s="14">
        <v>20828</v>
      </c>
      <c r="K17" s="15">
        <f>L17+34980+32440</f>
        <v>88248</v>
      </c>
      <c r="L17" s="15">
        <f>893*4+4314*4</f>
        <v>20828</v>
      </c>
      <c r="M17" s="15">
        <f t="shared" si="0"/>
        <v>20828</v>
      </c>
      <c r="N17" s="15">
        <v>0</v>
      </c>
      <c r="O17" s="58">
        <f t="shared" si="1"/>
        <v>0</v>
      </c>
      <c r="P17" s="39">
        <f t="shared" si="2"/>
        <v>14</v>
      </c>
      <c r="Q17" s="40">
        <f t="shared" si="3"/>
        <v>10</v>
      </c>
      <c r="R17" s="7"/>
      <c r="S17" s="6">
        <v>10</v>
      </c>
      <c r="T17" s="16"/>
      <c r="U17" s="16"/>
      <c r="V17" s="17"/>
      <c r="W17" s="5"/>
      <c r="X17" s="16"/>
      <c r="Y17" s="16"/>
      <c r="Z17" s="16"/>
      <c r="AA17" s="18"/>
      <c r="AB17" s="8">
        <f t="shared" si="4"/>
        <v>1</v>
      </c>
      <c r="AC17" s="9">
        <f t="shared" si="5"/>
        <v>0.58333333333333337</v>
      </c>
      <c r="AD17" s="10">
        <f t="shared" si="8"/>
        <v>0.58333333333333337</v>
      </c>
      <c r="AE17" s="36">
        <f t="shared" si="6"/>
        <v>0.3737847222222222</v>
      </c>
      <c r="AF17" s="81">
        <f t="shared" si="7"/>
        <v>10</v>
      </c>
    </row>
    <row r="18" spans="1:32" ht="27" customHeight="1">
      <c r="A18" s="106">
        <v>11</v>
      </c>
      <c r="B18" s="11" t="s">
        <v>57</v>
      </c>
      <c r="C18" s="34" t="s">
        <v>112</v>
      </c>
      <c r="D18" s="52" t="s">
        <v>121</v>
      </c>
      <c r="E18" s="53" t="s">
        <v>384</v>
      </c>
      <c r="F18" s="30" t="s">
        <v>128</v>
      </c>
      <c r="G18" s="12">
        <v>1</v>
      </c>
      <c r="H18" s="13">
        <v>24</v>
      </c>
      <c r="I18" s="7">
        <v>5000</v>
      </c>
      <c r="J18" s="14">
        <v>5034</v>
      </c>
      <c r="K18" s="15">
        <f>L18</f>
        <v>5034</v>
      </c>
      <c r="L18" s="15">
        <f>1890+3144</f>
        <v>5034</v>
      </c>
      <c r="M18" s="15">
        <f t="shared" si="0"/>
        <v>5034</v>
      </c>
      <c r="N18" s="15">
        <v>0</v>
      </c>
      <c r="O18" s="58">
        <f t="shared" si="1"/>
        <v>0</v>
      </c>
      <c r="P18" s="39">
        <f t="shared" si="2"/>
        <v>19</v>
      </c>
      <c r="Q18" s="40">
        <f t="shared" si="3"/>
        <v>5</v>
      </c>
      <c r="R18" s="7"/>
      <c r="S18" s="6"/>
      <c r="T18" s="16"/>
      <c r="U18" s="16"/>
      <c r="V18" s="17"/>
      <c r="W18" s="5"/>
      <c r="X18" s="16"/>
      <c r="Y18" s="16"/>
      <c r="Z18" s="16"/>
      <c r="AA18" s="18">
        <v>5</v>
      </c>
      <c r="AB18" s="8">
        <f t="shared" si="4"/>
        <v>1</v>
      </c>
      <c r="AC18" s="9">
        <f t="shared" si="5"/>
        <v>0.79166666666666663</v>
      </c>
      <c r="AD18" s="10">
        <f t="shared" si="8"/>
        <v>0.79166666666666663</v>
      </c>
      <c r="AE18" s="36">
        <f t="shared" si="6"/>
        <v>0.3737847222222222</v>
      </c>
      <c r="AF18" s="81">
        <f t="shared" si="7"/>
        <v>11</v>
      </c>
    </row>
    <row r="19" spans="1:32" ht="27" customHeight="1">
      <c r="A19" s="106">
        <v>12</v>
      </c>
      <c r="B19" s="11" t="s">
        <v>57</v>
      </c>
      <c r="C19" s="34" t="s">
        <v>127</v>
      </c>
      <c r="D19" s="52" t="s">
        <v>129</v>
      </c>
      <c r="E19" s="53" t="s">
        <v>402</v>
      </c>
      <c r="F19" s="30" t="s">
        <v>155</v>
      </c>
      <c r="G19" s="12">
        <v>1</v>
      </c>
      <c r="H19" s="13">
        <v>24</v>
      </c>
      <c r="I19" s="7">
        <v>1500</v>
      </c>
      <c r="J19" s="14">
        <v>1650</v>
      </c>
      <c r="K19" s="15">
        <f>L19</f>
        <v>1705</v>
      </c>
      <c r="L19" s="15">
        <v>1705</v>
      </c>
      <c r="M19" s="15">
        <f t="shared" si="0"/>
        <v>1705</v>
      </c>
      <c r="N19" s="15">
        <v>0</v>
      </c>
      <c r="O19" s="58">
        <f t="shared" si="1"/>
        <v>0</v>
      </c>
      <c r="P19" s="39">
        <f t="shared" si="2"/>
        <v>9</v>
      </c>
      <c r="Q19" s="40">
        <f t="shared" si="3"/>
        <v>15</v>
      </c>
      <c r="R19" s="7"/>
      <c r="S19" s="6"/>
      <c r="T19" s="16"/>
      <c r="U19" s="16"/>
      <c r="V19" s="17"/>
      <c r="W19" s="5">
        <v>15</v>
      </c>
      <c r="X19" s="16"/>
      <c r="Y19" s="16"/>
      <c r="Z19" s="16"/>
      <c r="AA19" s="18"/>
      <c r="AB19" s="8">
        <f t="shared" si="4"/>
        <v>1.0333333333333334</v>
      </c>
      <c r="AC19" s="9">
        <f t="shared" si="5"/>
        <v>0.375</v>
      </c>
      <c r="AD19" s="10">
        <f t="shared" si="8"/>
        <v>0.38750000000000007</v>
      </c>
      <c r="AE19" s="36">
        <f t="shared" si="6"/>
        <v>0.3737847222222222</v>
      </c>
      <c r="AF19" s="81">
        <f t="shared" si="7"/>
        <v>12</v>
      </c>
    </row>
    <row r="20" spans="1:32" ht="27" customHeight="1">
      <c r="A20" s="92">
        <v>13</v>
      </c>
      <c r="B20" s="11" t="s">
        <v>57</v>
      </c>
      <c r="C20" s="34" t="s">
        <v>116</v>
      </c>
      <c r="D20" s="52" t="s">
        <v>115</v>
      </c>
      <c r="E20" s="53" t="s">
        <v>198</v>
      </c>
      <c r="F20" s="30" t="s">
        <v>138</v>
      </c>
      <c r="G20" s="12">
        <v>2</v>
      </c>
      <c r="H20" s="13">
        <v>22</v>
      </c>
      <c r="I20" s="31">
        <v>90000</v>
      </c>
      <c r="J20" s="5">
        <v>11012</v>
      </c>
      <c r="K20" s="15">
        <f>L20+9112+12392+12128+9906+11662+11012</f>
        <v>66212</v>
      </c>
      <c r="L20" s="15"/>
      <c r="M20" s="15">
        <f t="shared" si="0"/>
        <v>0</v>
      </c>
      <c r="N20" s="15">
        <v>0</v>
      </c>
      <c r="O20" s="58" t="str">
        <f t="shared" si="1"/>
        <v>0</v>
      </c>
      <c r="P20" s="39" t="str">
        <f t="shared" si="2"/>
        <v>0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0</v>
      </c>
      <c r="AC20" s="9">
        <f t="shared" si="5"/>
        <v>0</v>
      </c>
      <c r="AD20" s="10">
        <f t="shared" si="8"/>
        <v>0</v>
      </c>
      <c r="AE20" s="36">
        <f t="shared" si="6"/>
        <v>0.3737847222222222</v>
      </c>
      <c r="AF20" s="81">
        <f t="shared" si="7"/>
        <v>13</v>
      </c>
    </row>
    <row r="21" spans="1:32" ht="27" customHeight="1">
      <c r="A21" s="92">
        <v>14</v>
      </c>
      <c r="B21" s="11" t="s">
        <v>57</v>
      </c>
      <c r="C21" s="11" t="s">
        <v>112</v>
      </c>
      <c r="D21" s="52" t="s">
        <v>115</v>
      </c>
      <c r="E21" s="53" t="s">
        <v>261</v>
      </c>
      <c r="F21" s="30" t="s">
        <v>124</v>
      </c>
      <c r="G21" s="33">
        <v>2</v>
      </c>
      <c r="H21" s="35">
        <v>24</v>
      </c>
      <c r="I21" s="7">
        <v>1000</v>
      </c>
      <c r="J21" s="14">
        <v>290</v>
      </c>
      <c r="K21" s="15">
        <f>L21+1060+290</f>
        <v>1350</v>
      </c>
      <c r="L21" s="15"/>
      <c r="M21" s="15">
        <f t="shared" si="0"/>
        <v>0</v>
      </c>
      <c r="N21" s="15">
        <v>0</v>
      </c>
      <c r="O21" s="58" t="str">
        <f t="shared" si="1"/>
        <v>0</v>
      </c>
      <c r="P21" s="39" t="str">
        <f t="shared" si="2"/>
        <v>0</v>
      </c>
      <c r="Q21" s="40">
        <f t="shared" si="3"/>
        <v>24</v>
      </c>
      <c r="R21" s="7"/>
      <c r="S21" s="6"/>
      <c r="T21" s="16"/>
      <c r="U21" s="16"/>
      <c r="V21" s="17"/>
      <c r="W21" s="5">
        <v>24</v>
      </c>
      <c r="X21" s="16"/>
      <c r="Y21" s="16"/>
      <c r="Z21" s="16"/>
      <c r="AA21" s="18"/>
      <c r="AB21" s="8">
        <f t="shared" si="4"/>
        <v>0</v>
      </c>
      <c r="AC21" s="9">
        <f t="shared" si="5"/>
        <v>0</v>
      </c>
      <c r="AD21" s="10">
        <f t="shared" si="8"/>
        <v>0</v>
      </c>
      <c r="AE21" s="36">
        <f t="shared" si="6"/>
        <v>0.3737847222222222</v>
      </c>
      <c r="AF21" s="81">
        <f t="shared" si="7"/>
        <v>14</v>
      </c>
    </row>
    <row r="22" spans="1:32" ht="27" customHeight="1">
      <c r="A22" s="106">
        <v>15</v>
      </c>
      <c r="B22" s="11" t="s">
        <v>57</v>
      </c>
      <c r="C22" s="11" t="s">
        <v>112</v>
      </c>
      <c r="D22" s="52" t="s">
        <v>115</v>
      </c>
      <c r="E22" s="53" t="s">
        <v>148</v>
      </c>
      <c r="F22" s="30" t="s">
        <v>138</v>
      </c>
      <c r="G22" s="33">
        <v>2</v>
      </c>
      <c r="H22" s="35">
        <v>24</v>
      </c>
      <c r="I22" s="7">
        <v>190000</v>
      </c>
      <c r="J22" s="14">
        <v>8544</v>
      </c>
      <c r="K22" s="15">
        <f>L22+2429+7472+8688+7444+11036+10988+11010+10896+8170+1188+8544</f>
        <v>87865</v>
      </c>
      <c r="L22" s="15"/>
      <c r="M22" s="15">
        <f t="shared" si="0"/>
        <v>0</v>
      </c>
      <c r="N22" s="15">
        <v>0</v>
      </c>
      <c r="O22" s="58" t="str">
        <f t="shared" si="1"/>
        <v>0</v>
      </c>
      <c r="P22" s="39" t="str">
        <f t="shared" si="2"/>
        <v>0</v>
      </c>
      <c r="Q22" s="40">
        <f t="shared" si="3"/>
        <v>4</v>
      </c>
      <c r="R22" s="7"/>
      <c r="S22" s="6">
        <v>4</v>
      </c>
      <c r="T22" s="16"/>
      <c r="U22" s="16"/>
      <c r="V22" s="17"/>
      <c r="W22" s="5"/>
      <c r="X22" s="16"/>
      <c r="Y22" s="16"/>
      <c r="Z22" s="16"/>
      <c r="AA22" s="18"/>
      <c r="AB22" s="8">
        <f t="shared" si="4"/>
        <v>0</v>
      </c>
      <c r="AC22" s="9">
        <f t="shared" si="5"/>
        <v>0</v>
      </c>
      <c r="AD22" s="10">
        <f t="shared" si="8"/>
        <v>0</v>
      </c>
      <c r="AE22" s="36">
        <f t="shared" si="6"/>
        <v>0.3737847222222222</v>
      </c>
      <c r="AF22" s="81">
        <f t="shared" si="7"/>
        <v>15</v>
      </c>
    </row>
    <row r="23" spans="1:32" ht="26.25" customHeight="1">
      <c r="A23" s="92">
        <v>16</v>
      </c>
      <c r="B23" s="11" t="s">
        <v>57</v>
      </c>
      <c r="C23" s="11" t="s">
        <v>113</v>
      </c>
      <c r="D23" s="52"/>
      <c r="E23" s="53" t="s">
        <v>160</v>
      </c>
      <c r="F23" s="12" t="s">
        <v>114</v>
      </c>
      <c r="G23" s="12">
        <v>4</v>
      </c>
      <c r="H23" s="35">
        <v>20</v>
      </c>
      <c r="I23" s="7">
        <v>2000000</v>
      </c>
      <c r="J23" s="14">
        <v>63452</v>
      </c>
      <c r="K23" s="15">
        <f>L23+29876+62940+54476+54396+57856+63452</f>
        <v>322996</v>
      </c>
      <c r="L23" s="15"/>
      <c r="M23" s="15">
        <f t="shared" si="0"/>
        <v>0</v>
      </c>
      <c r="N23" s="15">
        <v>0</v>
      </c>
      <c r="O23" s="58" t="str">
        <f t="shared" si="1"/>
        <v>0</v>
      </c>
      <c r="P23" s="39" t="str">
        <f t="shared" si="2"/>
        <v>0</v>
      </c>
      <c r="Q23" s="40">
        <f t="shared" si="3"/>
        <v>0</v>
      </c>
      <c r="R23" s="7"/>
      <c r="S23" s="6"/>
      <c r="T23" s="16"/>
      <c r="U23" s="16"/>
      <c r="V23" s="17"/>
      <c r="W23" s="5"/>
      <c r="X23" s="16"/>
      <c r="Y23" s="16"/>
      <c r="Z23" s="16"/>
      <c r="AA23" s="18"/>
      <c r="AB23" s="8">
        <f t="shared" si="4"/>
        <v>0</v>
      </c>
      <c r="AC23" s="9">
        <f t="shared" si="5"/>
        <v>0</v>
      </c>
      <c r="AD23" s="10">
        <f t="shared" si="8"/>
        <v>0</v>
      </c>
      <c r="AE23" s="36">
        <f t="shared" si="6"/>
        <v>0.3737847222222222</v>
      </c>
      <c r="AF23" s="81">
        <f t="shared" si="7"/>
        <v>16</v>
      </c>
    </row>
    <row r="24" spans="1:32" ht="21.75" customHeight="1">
      <c r="A24" s="92">
        <v>31</v>
      </c>
      <c r="B24" s="11" t="s">
        <v>57</v>
      </c>
      <c r="C24" s="11" t="s">
        <v>191</v>
      </c>
      <c r="D24" s="52"/>
      <c r="E24" s="53" t="s">
        <v>192</v>
      </c>
      <c r="F24" s="12" t="s">
        <v>193</v>
      </c>
      <c r="G24" s="12">
        <v>30</v>
      </c>
      <c r="H24" s="35">
        <v>20</v>
      </c>
      <c r="I24" s="7">
        <v>2000000</v>
      </c>
      <c r="J24" s="14">
        <v>498630</v>
      </c>
      <c r="K24" s="15">
        <f>L24+353460+498300+465060+421290+492180</f>
        <v>2728920</v>
      </c>
      <c r="L24" s="15">
        <f>9425*30+7196*30</f>
        <v>498630</v>
      </c>
      <c r="M24" s="15">
        <f t="shared" si="0"/>
        <v>498630</v>
      </c>
      <c r="N24" s="15">
        <v>0</v>
      </c>
      <c r="O24" s="58">
        <f t="shared" si="1"/>
        <v>0</v>
      </c>
      <c r="P24" s="39">
        <f t="shared" si="2"/>
        <v>24</v>
      </c>
      <c r="Q24" s="40">
        <f t="shared" si="3"/>
        <v>0</v>
      </c>
      <c r="R24" s="7"/>
      <c r="S24" s="6"/>
      <c r="T24" s="16"/>
      <c r="U24" s="16"/>
      <c r="V24" s="17"/>
      <c r="W24" s="5"/>
      <c r="X24" s="16"/>
      <c r="Y24" s="16"/>
      <c r="Z24" s="16"/>
      <c r="AA24" s="18"/>
      <c r="AB24" s="8">
        <f t="shared" si="4"/>
        <v>1</v>
      </c>
      <c r="AC24" s="9">
        <f t="shared" si="5"/>
        <v>1</v>
      </c>
      <c r="AD24" s="10">
        <f t="shared" si="8"/>
        <v>1</v>
      </c>
      <c r="AE24" s="36">
        <f t="shared" si="6"/>
        <v>0.3737847222222222</v>
      </c>
      <c r="AF24" s="81">
        <f t="shared" si="7"/>
        <v>31</v>
      </c>
    </row>
    <row r="25" spans="1:32" ht="21.75" customHeight="1">
      <c r="A25" s="92">
        <v>32</v>
      </c>
      <c r="B25" s="11" t="s">
        <v>57</v>
      </c>
      <c r="C25" s="11"/>
      <c r="D25" s="52"/>
      <c r="E25" s="53"/>
      <c r="F25" s="12"/>
      <c r="G25" s="12"/>
      <c r="H25" s="35">
        <v>20</v>
      </c>
      <c r="I25" s="7"/>
      <c r="J25" s="14">
        <v>0</v>
      </c>
      <c r="K25" s="15">
        <f t="shared" ref="K25" si="9">L25</f>
        <v>0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7"/>
      <c r="W25" s="5">
        <v>24</v>
      </c>
      <c r="X25" s="16"/>
      <c r="Y25" s="16"/>
      <c r="Z25" s="16"/>
      <c r="AA25" s="18"/>
      <c r="AB25" s="8" t="str">
        <f t="shared" si="4"/>
        <v>0</v>
      </c>
      <c r="AC25" s="9">
        <f t="shared" si="5"/>
        <v>0</v>
      </c>
      <c r="AD25" s="10">
        <f t="shared" si="8"/>
        <v>0</v>
      </c>
      <c r="AE25" s="36">
        <f t="shared" si="6"/>
        <v>0.3737847222222222</v>
      </c>
      <c r="AF25" s="81">
        <f t="shared" si="7"/>
        <v>32</v>
      </c>
    </row>
    <row r="26" spans="1:32" ht="21.75" customHeight="1">
      <c r="A26" s="92">
        <v>33</v>
      </c>
      <c r="B26" s="11" t="s">
        <v>57</v>
      </c>
      <c r="C26" s="11" t="s">
        <v>116</v>
      </c>
      <c r="D26" s="52" t="s">
        <v>147</v>
      </c>
      <c r="E26" s="53" t="s">
        <v>183</v>
      </c>
      <c r="F26" s="12" t="s">
        <v>124</v>
      </c>
      <c r="G26" s="12">
        <v>4</v>
      </c>
      <c r="H26" s="35">
        <v>20</v>
      </c>
      <c r="I26" s="7">
        <v>36000</v>
      </c>
      <c r="J26" s="14">
        <v>31996</v>
      </c>
      <c r="K26" s="15">
        <f>L26+20368+29324+31996</f>
        <v>81688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24</v>
      </c>
      <c r="R26" s="7"/>
      <c r="S26" s="6"/>
      <c r="T26" s="16"/>
      <c r="U26" s="16"/>
      <c r="V26" s="114"/>
      <c r="W26" s="5">
        <v>24</v>
      </c>
      <c r="X26" s="16"/>
      <c r="Y26" s="16"/>
      <c r="Z26" s="16"/>
      <c r="AA26" s="18"/>
      <c r="AB26" s="8">
        <f t="shared" si="4"/>
        <v>0</v>
      </c>
      <c r="AC26" s="9">
        <f t="shared" si="5"/>
        <v>0</v>
      </c>
      <c r="AD26" s="10">
        <f t="shared" si="8"/>
        <v>0</v>
      </c>
      <c r="AE26" s="36">
        <f t="shared" si="6"/>
        <v>0.3737847222222222</v>
      </c>
      <c r="AF26" s="81">
        <f t="shared" si="7"/>
        <v>33</v>
      </c>
    </row>
    <row r="27" spans="1:32" ht="21.75" customHeight="1">
      <c r="A27" s="92">
        <v>34</v>
      </c>
      <c r="B27" s="11" t="s">
        <v>57</v>
      </c>
      <c r="C27" s="11" t="s">
        <v>116</v>
      </c>
      <c r="D27" s="52" t="s">
        <v>129</v>
      </c>
      <c r="E27" s="53" t="s">
        <v>172</v>
      </c>
      <c r="F27" s="12" t="s">
        <v>125</v>
      </c>
      <c r="G27" s="12">
        <v>4</v>
      </c>
      <c r="H27" s="35">
        <v>20</v>
      </c>
      <c r="I27" s="7">
        <v>36000</v>
      </c>
      <c r="J27" s="14">
        <v>28802</v>
      </c>
      <c r="K27" s="15">
        <f>L27+13760+25860+25496+28600+28802</f>
        <v>122518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24</v>
      </c>
      <c r="R27" s="7"/>
      <c r="S27" s="6"/>
      <c r="T27" s="16"/>
      <c r="U27" s="16"/>
      <c r="V27" s="114"/>
      <c r="W27" s="5">
        <v>24</v>
      </c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8"/>
        <v>0</v>
      </c>
      <c r="AE27" s="36">
        <f t="shared" si="6"/>
        <v>0.3737847222222222</v>
      </c>
      <c r="AF27" s="81">
        <f t="shared" si="7"/>
        <v>34</v>
      </c>
    </row>
    <row r="28" spans="1:32" ht="21.75" customHeight="1">
      <c r="A28" s="92">
        <v>35</v>
      </c>
      <c r="B28" s="11" t="s">
        <v>57</v>
      </c>
      <c r="C28" s="11" t="s">
        <v>116</v>
      </c>
      <c r="D28" s="52" t="s">
        <v>121</v>
      </c>
      <c r="E28" s="53" t="s">
        <v>126</v>
      </c>
      <c r="F28" s="12" t="s">
        <v>125</v>
      </c>
      <c r="G28" s="12">
        <v>4</v>
      </c>
      <c r="H28" s="35">
        <v>20</v>
      </c>
      <c r="I28" s="7">
        <v>36000</v>
      </c>
      <c r="J28" s="14">
        <v>26944</v>
      </c>
      <c r="K28" s="15">
        <f>L28+24592+26944+21716</f>
        <v>73252</v>
      </c>
      <c r="L28" s="15"/>
      <c r="M28" s="15">
        <f t="shared" si="0"/>
        <v>0</v>
      </c>
      <c r="N28" s="15">
        <v>0</v>
      </c>
      <c r="O28" s="58" t="str">
        <f t="shared" si="1"/>
        <v>0</v>
      </c>
      <c r="P28" s="39" t="str">
        <f t="shared" si="2"/>
        <v>0</v>
      </c>
      <c r="Q28" s="40">
        <f t="shared" si="3"/>
        <v>24</v>
      </c>
      <c r="R28" s="7"/>
      <c r="S28" s="6"/>
      <c r="T28" s="16"/>
      <c r="U28" s="16"/>
      <c r="V28" s="114"/>
      <c r="W28" s="5">
        <v>24</v>
      </c>
      <c r="X28" s="16"/>
      <c r="Y28" s="16"/>
      <c r="Z28" s="16"/>
      <c r="AA28" s="18"/>
      <c r="AB28" s="8">
        <f t="shared" si="4"/>
        <v>0</v>
      </c>
      <c r="AC28" s="9">
        <f t="shared" si="5"/>
        <v>0</v>
      </c>
      <c r="AD28" s="10">
        <f t="shared" si="8"/>
        <v>0</v>
      </c>
      <c r="AE28" s="36">
        <f t="shared" si="6"/>
        <v>0.3737847222222222</v>
      </c>
      <c r="AF28" s="81">
        <f t="shared" si="7"/>
        <v>35</v>
      </c>
    </row>
    <row r="29" spans="1:32" ht="21.75" customHeight="1" thickBot="1">
      <c r="A29" s="92">
        <v>36</v>
      </c>
      <c r="B29" s="11" t="s">
        <v>57</v>
      </c>
      <c r="C29" s="11" t="s">
        <v>116</v>
      </c>
      <c r="D29" s="52" t="s">
        <v>115</v>
      </c>
      <c r="E29" s="53" t="s">
        <v>174</v>
      </c>
      <c r="F29" s="12" t="s">
        <v>138</v>
      </c>
      <c r="G29" s="12">
        <v>3</v>
      </c>
      <c r="H29" s="35">
        <v>20</v>
      </c>
      <c r="I29" s="7">
        <v>36000</v>
      </c>
      <c r="J29" s="14">
        <v>9948</v>
      </c>
      <c r="K29" s="15">
        <f>L29+20295+19566+19965+9948</f>
        <v>69774</v>
      </c>
      <c r="L29" s="15"/>
      <c r="M29" s="15">
        <f t="shared" si="0"/>
        <v>0</v>
      </c>
      <c r="N29" s="15">
        <v>0</v>
      </c>
      <c r="O29" s="58" t="str">
        <f t="shared" si="1"/>
        <v>0</v>
      </c>
      <c r="P29" s="39" t="str">
        <f t="shared" si="2"/>
        <v>0</v>
      </c>
      <c r="Q29" s="40">
        <f t="shared" si="3"/>
        <v>13</v>
      </c>
      <c r="R29" s="7"/>
      <c r="S29" s="6"/>
      <c r="T29" s="16"/>
      <c r="U29" s="16"/>
      <c r="V29" s="114"/>
      <c r="W29" s="5">
        <v>13</v>
      </c>
      <c r="X29" s="16"/>
      <c r="Y29" s="16"/>
      <c r="Z29" s="16"/>
      <c r="AA29" s="18"/>
      <c r="AB29" s="8">
        <f t="shared" si="4"/>
        <v>0</v>
      </c>
      <c r="AC29" s="9">
        <f t="shared" si="5"/>
        <v>0</v>
      </c>
      <c r="AD29" s="10">
        <f t="shared" si="8"/>
        <v>0</v>
      </c>
      <c r="AE29" s="36">
        <f t="shared" si="6"/>
        <v>0.3737847222222222</v>
      </c>
      <c r="AF29" s="81">
        <f t="shared" si="7"/>
        <v>36</v>
      </c>
    </row>
    <row r="30" spans="1:32" ht="19.5" thickBot="1">
      <c r="A30" s="435" t="s">
        <v>34</v>
      </c>
      <c r="B30" s="436"/>
      <c r="C30" s="436"/>
      <c r="D30" s="436"/>
      <c r="E30" s="436"/>
      <c r="F30" s="436"/>
      <c r="G30" s="436"/>
      <c r="H30" s="437"/>
      <c r="I30" s="22">
        <f t="shared" ref="I30:N30" si="10">SUM(I6:I29)</f>
        <v>5105900</v>
      </c>
      <c r="J30" s="19">
        <f t="shared" si="10"/>
        <v>763023</v>
      </c>
      <c r="K30" s="20">
        <f t="shared" si="10"/>
        <v>3946701</v>
      </c>
      <c r="L30" s="21">
        <f t="shared" si="10"/>
        <v>581699</v>
      </c>
      <c r="M30" s="20">
        <f t="shared" si="10"/>
        <v>581699</v>
      </c>
      <c r="N30" s="21">
        <f t="shared" si="10"/>
        <v>0</v>
      </c>
      <c r="O30" s="41">
        <f t="shared" si="1"/>
        <v>0</v>
      </c>
      <c r="P30" s="42">
        <f t="shared" ref="P30:AA30" si="11">SUM(P6:P29)</f>
        <v>215</v>
      </c>
      <c r="Q30" s="43">
        <f t="shared" si="11"/>
        <v>282</v>
      </c>
      <c r="R30" s="23">
        <f t="shared" si="11"/>
        <v>0</v>
      </c>
      <c r="S30" s="24">
        <f t="shared" si="11"/>
        <v>34</v>
      </c>
      <c r="T30" s="24">
        <f t="shared" si="11"/>
        <v>13</v>
      </c>
      <c r="U30" s="24">
        <f t="shared" si="11"/>
        <v>0</v>
      </c>
      <c r="V30" s="25">
        <f t="shared" si="11"/>
        <v>0</v>
      </c>
      <c r="W30" s="26">
        <f t="shared" si="11"/>
        <v>206</v>
      </c>
      <c r="X30" s="27">
        <f t="shared" si="11"/>
        <v>0</v>
      </c>
      <c r="Y30" s="27">
        <f t="shared" si="11"/>
        <v>0</v>
      </c>
      <c r="Z30" s="27">
        <f t="shared" si="11"/>
        <v>0</v>
      </c>
      <c r="AA30" s="27">
        <f t="shared" si="11"/>
        <v>29</v>
      </c>
      <c r="AB30" s="28">
        <f>AVERAGE(AB6:AB29)</f>
        <v>0.61014492753623184</v>
      </c>
      <c r="AC30" s="4">
        <f>AVERAGE(AC6:AC29)</f>
        <v>0.37326388888888884</v>
      </c>
      <c r="AD30" s="4">
        <f>AVERAGE(AD6:AD29)</f>
        <v>0.3737847222222222</v>
      </c>
      <c r="AE30" s="29"/>
    </row>
    <row r="31" spans="1:32">
      <c r="T31" s="50" t="s">
        <v>130</v>
      </c>
    </row>
    <row r="32" spans="1:32" ht="18.75">
      <c r="A32" s="2"/>
      <c r="B32" s="2" t="s">
        <v>35</v>
      </c>
      <c r="C32" s="2"/>
      <c r="D32" s="2"/>
      <c r="E32" s="2"/>
      <c r="F32" s="2"/>
      <c r="G32" s="2"/>
      <c r="H32" s="3"/>
      <c r="I32" s="3"/>
      <c r="J32" s="2"/>
      <c r="K32" s="2"/>
      <c r="L32" s="2"/>
      <c r="M32" s="2"/>
      <c r="N32" s="2" t="s">
        <v>36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1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 t="s">
        <v>131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</row>
    <row r="41" spans="1:32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F41" s="82"/>
    </row>
    <row r="42" spans="1:32" ht="14.2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50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14.2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F45" s="50"/>
    </row>
    <row r="46" spans="1:32" ht="14.2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F46" s="50"/>
    </row>
    <row r="47" spans="1:32" ht="27">
      <c r="A47" s="59"/>
      <c r="B47" s="59"/>
      <c r="C47" s="59"/>
      <c r="D47" s="59"/>
      <c r="E47" s="59"/>
      <c r="F47" s="37"/>
      <c r="G47" s="37"/>
      <c r="H47" s="38"/>
      <c r="I47" s="38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F47" s="50"/>
    </row>
    <row r="48" spans="1:32" ht="29.25" customHeight="1">
      <c r="A48" s="60"/>
      <c r="B48" s="60"/>
      <c r="C48" s="61"/>
      <c r="D48" s="61"/>
      <c r="E48" s="61"/>
      <c r="F48" s="60"/>
      <c r="G48" s="60"/>
      <c r="H48" s="60"/>
      <c r="I48" s="60"/>
      <c r="J48" s="60"/>
      <c r="K48" s="60"/>
      <c r="L48" s="60"/>
      <c r="M48" s="61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F48" s="50"/>
    </row>
    <row r="49" spans="1:32" ht="29.25" customHeight="1">
      <c r="A49" s="60"/>
      <c r="B49" s="60"/>
      <c r="C49" s="62"/>
      <c r="D49" s="61"/>
      <c r="E49" s="61"/>
      <c r="F49" s="60"/>
      <c r="G49" s="60"/>
      <c r="H49" s="60"/>
      <c r="I49" s="60"/>
      <c r="J49" s="60"/>
      <c r="K49" s="60"/>
      <c r="L49" s="60"/>
      <c r="M49" s="62"/>
      <c r="N49" s="60"/>
      <c r="O49" s="60"/>
      <c r="P49" s="63"/>
      <c r="Q49" s="63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29.25" customHeight="1">
      <c r="A54" s="60"/>
      <c r="B54" s="60"/>
      <c r="C54" s="62"/>
      <c r="D54" s="61"/>
      <c r="E54" s="61"/>
      <c r="F54" s="60"/>
      <c r="G54" s="60"/>
      <c r="H54" s="60"/>
      <c r="I54" s="60"/>
      <c r="J54" s="60"/>
      <c r="K54" s="60"/>
      <c r="L54" s="60"/>
      <c r="M54" s="62"/>
      <c r="N54" s="60"/>
      <c r="O54" s="60"/>
      <c r="P54" s="63"/>
      <c r="Q54" s="63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0"/>
      <c r="AC54" s="60"/>
      <c r="AD54" s="60"/>
      <c r="AF54" s="50"/>
    </row>
    <row r="55" spans="1:32" ht="29.25" customHeight="1">
      <c r="A55" s="60"/>
      <c r="B55" s="60"/>
      <c r="C55" s="62"/>
      <c r="D55" s="61"/>
      <c r="E55" s="61"/>
      <c r="F55" s="60"/>
      <c r="G55" s="60"/>
      <c r="H55" s="60"/>
      <c r="I55" s="60"/>
      <c r="J55" s="60"/>
      <c r="K55" s="60"/>
      <c r="L55" s="60"/>
      <c r="M55" s="62"/>
      <c r="N55" s="60"/>
      <c r="O55" s="60"/>
      <c r="P55" s="63"/>
      <c r="Q55" s="63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0"/>
      <c r="AC55" s="60"/>
      <c r="AD55" s="60"/>
      <c r="AF55" s="50"/>
    </row>
    <row r="56" spans="1:32" ht="14.25" customHeight="1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F56" s="50"/>
    </row>
    <row r="57" spans="1:32" ht="36" thickBot="1">
      <c r="A57" s="438" t="s">
        <v>45</v>
      </c>
      <c r="B57" s="438"/>
      <c r="C57" s="438"/>
      <c r="D57" s="438"/>
      <c r="E57" s="438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F57" s="50"/>
    </row>
    <row r="58" spans="1:32" ht="26.25" thickBot="1">
      <c r="A58" s="439" t="s">
        <v>403</v>
      </c>
      <c r="B58" s="440"/>
      <c r="C58" s="440"/>
      <c r="D58" s="440"/>
      <c r="E58" s="440"/>
      <c r="F58" s="440"/>
      <c r="G58" s="440"/>
      <c r="H58" s="440"/>
      <c r="I58" s="440"/>
      <c r="J58" s="440"/>
      <c r="K58" s="440"/>
      <c r="L58" s="440"/>
      <c r="M58" s="441"/>
      <c r="N58" s="442" t="s">
        <v>414</v>
      </c>
      <c r="O58" s="443"/>
      <c r="P58" s="443"/>
      <c r="Q58" s="443"/>
      <c r="R58" s="443"/>
      <c r="S58" s="443"/>
      <c r="T58" s="443"/>
      <c r="U58" s="443"/>
      <c r="V58" s="443"/>
      <c r="W58" s="443"/>
      <c r="X58" s="443"/>
      <c r="Y58" s="443"/>
      <c r="Z58" s="443"/>
      <c r="AA58" s="443"/>
      <c r="AB58" s="443"/>
      <c r="AC58" s="443"/>
      <c r="AD58" s="444"/>
    </row>
    <row r="59" spans="1:32" ht="27" customHeight="1">
      <c r="A59" s="445" t="s">
        <v>2</v>
      </c>
      <c r="B59" s="446"/>
      <c r="C59" s="186" t="s">
        <v>46</v>
      </c>
      <c r="D59" s="186" t="s">
        <v>47</v>
      </c>
      <c r="E59" s="186" t="s">
        <v>107</v>
      </c>
      <c r="F59" s="447" t="s">
        <v>106</v>
      </c>
      <c r="G59" s="448"/>
      <c r="H59" s="448"/>
      <c r="I59" s="448"/>
      <c r="J59" s="448"/>
      <c r="K59" s="448"/>
      <c r="L59" s="448"/>
      <c r="M59" s="449"/>
      <c r="N59" s="67" t="s">
        <v>110</v>
      </c>
      <c r="O59" s="186" t="s">
        <v>46</v>
      </c>
      <c r="P59" s="447" t="s">
        <v>47</v>
      </c>
      <c r="Q59" s="450"/>
      <c r="R59" s="447" t="s">
        <v>38</v>
      </c>
      <c r="S59" s="448"/>
      <c r="T59" s="448"/>
      <c r="U59" s="450"/>
      <c r="V59" s="447" t="s">
        <v>48</v>
      </c>
      <c r="W59" s="448"/>
      <c r="X59" s="448"/>
      <c r="Y59" s="448"/>
      <c r="Z59" s="448"/>
      <c r="AA59" s="448"/>
      <c r="AB59" s="448"/>
      <c r="AC59" s="448"/>
      <c r="AD59" s="449"/>
    </row>
    <row r="60" spans="1:32" ht="27" customHeight="1">
      <c r="A60" s="429" t="s">
        <v>127</v>
      </c>
      <c r="B60" s="420"/>
      <c r="C60" s="188" t="s">
        <v>152</v>
      </c>
      <c r="D60" s="188"/>
      <c r="E60" s="188" t="s">
        <v>180</v>
      </c>
      <c r="F60" s="417" t="s">
        <v>122</v>
      </c>
      <c r="G60" s="418"/>
      <c r="H60" s="418"/>
      <c r="I60" s="418"/>
      <c r="J60" s="418"/>
      <c r="K60" s="418"/>
      <c r="L60" s="418"/>
      <c r="M60" s="419"/>
      <c r="N60" s="187" t="s">
        <v>387</v>
      </c>
      <c r="O60" s="194" t="s">
        <v>143</v>
      </c>
      <c r="P60" s="430" t="s">
        <v>140</v>
      </c>
      <c r="Q60" s="431"/>
      <c r="R60" s="430" t="s">
        <v>415</v>
      </c>
      <c r="S60" s="432"/>
      <c r="T60" s="432"/>
      <c r="U60" s="431"/>
      <c r="V60" s="417" t="s">
        <v>122</v>
      </c>
      <c r="W60" s="418"/>
      <c r="X60" s="418"/>
      <c r="Y60" s="418"/>
      <c r="Z60" s="418"/>
      <c r="AA60" s="418"/>
      <c r="AB60" s="418"/>
      <c r="AC60" s="418"/>
      <c r="AD60" s="419"/>
    </row>
    <row r="61" spans="1:32" ht="27" customHeight="1">
      <c r="A61" s="429" t="s">
        <v>127</v>
      </c>
      <c r="B61" s="420"/>
      <c r="C61" s="188" t="s">
        <v>204</v>
      </c>
      <c r="D61" s="188" t="s">
        <v>129</v>
      </c>
      <c r="E61" s="188" t="s">
        <v>357</v>
      </c>
      <c r="F61" s="417" t="s">
        <v>153</v>
      </c>
      <c r="G61" s="418"/>
      <c r="H61" s="418"/>
      <c r="I61" s="418"/>
      <c r="J61" s="418"/>
      <c r="K61" s="418"/>
      <c r="L61" s="418"/>
      <c r="M61" s="419"/>
      <c r="N61" s="187" t="s">
        <v>417</v>
      </c>
      <c r="O61" s="194" t="s">
        <v>418</v>
      </c>
      <c r="P61" s="430"/>
      <c r="Q61" s="431"/>
      <c r="R61" s="430" t="s">
        <v>416</v>
      </c>
      <c r="S61" s="432"/>
      <c r="T61" s="432"/>
      <c r="U61" s="431"/>
      <c r="V61" s="417" t="s">
        <v>122</v>
      </c>
      <c r="W61" s="418"/>
      <c r="X61" s="418"/>
      <c r="Y61" s="418"/>
      <c r="Z61" s="418"/>
      <c r="AA61" s="418"/>
      <c r="AB61" s="418"/>
      <c r="AC61" s="418"/>
      <c r="AD61" s="419"/>
    </row>
    <row r="62" spans="1:32" ht="27" customHeight="1">
      <c r="A62" s="429" t="s">
        <v>127</v>
      </c>
      <c r="B62" s="420"/>
      <c r="C62" s="188" t="s">
        <v>204</v>
      </c>
      <c r="D62" s="188" t="s">
        <v>129</v>
      </c>
      <c r="E62" s="188" t="s">
        <v>404</v>
      </c>
      <c r="F62" s="417" t="s">
        <v>405</v>
      </c>
      <c r="G62" s="418"/>
      <c r="H62" s="418"/>
      <c r="I62" s="418"/>
      <c r="J62" s="418"/>
      <c r="K62" s="418"/>
      <c r="L62" s="418"/>
      <c r="M62" s="419"/>
      <c r="N62" s="187" t="s">
        <v>420</v>
      </c>
      <c r="O62" s="194" t="s">
        <v>421</v>
      </c>
      <c r="P62" s="430" t="s">
        <v>422</v>
      </c>
      <c r="Q62" s="431"/>
      <c r="R62" s="430" t="s">
        <v>419</v>
      </c>
      <c r="S62" s="432"/>
      <c r="T62" s="432"/>
      <c r="U62" s="431"/>
      <c r="V62" s="417" t="s">
        <v>122</v>
      </c>
      <c r="W62" s="418"/>
      <c r="X62" s="418"/>
      <c r="Y62" s="418"/>
      <c r="Z62" s="418"/>
      <c r="AA62" s="418"/>
      <c r="AB62" s="418"/>
      <c r="AC62" s="418"/>
      <c r="AD62" s="419"/>
    </row>
    <row r="63" spans="1:32" ht="27" customHeight="1">
      <c r="A63" s="429" t="s">
        <v>116</v>
      </c>
      <c r="B63" s="420"/>
      <c r="C63" s="188" t="s">
        <v>154</v>
      </c>
      <c r="D63" s="188" t="s">
        <v>284</v>
      </c>
      <c r="E63" s="188" t="s">
        <v>312</v>
      </c>
      <c r="F63" s="417" t="s">
        <v>153</v>
      </c>
      <c r="G63" s="418"/>
      <c r="H63" s="418"/>
      <c r="I63" s="418"/>
      <c r="J63" s="418"/>
      <c r="K63" s="418"/>
      <c r="L63" s="418"/>
      <c r="M63" s="419"/>
      <c r="N63" s="187" t="s">
        <v>424</v>
      </c>
      <c r="O63" s="194" t="s">
        <v>425</v>
      </c>
      <c r="P63" s="430"/>
      <c r="Q63" s="431"/>
      <c r="R63" s="430" t="s">
        <v>423</v>
      </c>
      <c r="S63" s="432"/>
      <c r="T63" s="432"/>
      <c r="U63" s="431"/>
      <c r="V63" s="417" t="s">
        <v>122</v>
      </c>
      <c r="W63" s="418"/>
      <c r="X63" s="418"/>
      <c r="Y63" s="418"/>
      <c r="Z63" s="418"/>
      <c r="AA63" s="418"/>
      <c r="AB63" s="418"/>
      <c r="AC63" s="418"/>
      <c r="AD63" s="419"/>
    </row>
    <row r="64" spans="1:32" ht="27" customHeight="1">
      <c r="A64" s="429" t="s">
        <v>112</v>
      </c>
      <c r="B64" s="420"/>
      <c r="C64" s="188" t="s">
        <v>187</v>
      </c>
      <c r="D64" s="188" t="s">
        <v>121</v>
      </c>
      <c r="E64" s="188" t="s">
        <v>384</v>
      </c>
      <c r="F64" s="417" t="s">
        <v>122</v>
      </c>
      <c r="G64" s="418"/>
      <c r="H64" s="418"/>
      <c r="I64" s="418"/>
      <c r="J64" s="418"/>
      <c r="K64" s="418"/>
      <c r="L64" s="418"/>
      <c r="M64" s="419"/>
      <c r="N64" s="187"/>
      <c r="O64" s="194"/>
      <c r="P64" s="430"/>
      <c r="Q64" s="431"/>
      <c r="R64" s="430"/>
      <c r="S64" s="432"/>
      <c r="T64" s="432"/>
      <c r="U64" s="431"/>
      <c r="V64" s="417"/>
      <c r="W64" s="418"/>
      <c r="X64" s="418"/>
      <c r="Y64" s="418"/>
      <c r="Z64" s="418"/>
      <c r="AA64" s="418"/>
      <c r="AB64" s="418"/>
      <c r="AC64" s="418"/>
      <c r="AD64" s="419"/>
    </row>
    <row r="65" spans="1:32" ht="27" customHeight="1">
      <c r="A65" s="429" t="s">
        <v>408</v>
      </c>
      <c r="B65" s="420"/>
      <c r="C65" s="188" t="s">
        <v>409</v>
      </c>
      <c r="D65" s="188" t="s">
        <v>410</v>
      </c>
      <c r="E65" s="188" t="s">
        <v>406</v>
      </c>
      <c r="F65" s="417" t="s">
        <v>122</v>
      </c>
      <c r="G65" s="418"/>
      <c r="H65" s="418"/>
      <c r="I65" s="418"/>
      <c r="J65" s="418"/>
      <c r="K65" s="418"/>
      <c r="L65" s="418"/>
      <c r="M65" s="419"/>
      <c r="N65" s="187"/>
      <c r="O65" s="194"/>
      <c r="P65" s="430"/>
      <c r="Q65" s="431"/>
      <c r="R65" s="430"/>
      <c r="S65" s="432"/>
      <c r="T65" s="432"/>
      <c r="U65" s="431"/>
      <c r="V65" s="417"/>
      <c r="W65" s="418"/>
      <c r="X65" s="418"/>
      <c r="Y65" s="418"/>
      <c r="Z65" s="418"/>
      <c r="AA65" s="418"/>
      <c r="AB65" s="418"/>
      <c r="AC65" s="418"/>
      <c r="AD65" s="419"/>
    </row>
    <row r="66" spans="1:32" ht="27" customHeight="1">
      <c r="A66" s="429" t="s">
        <v>408</v>
      </c>
      <c r="B66" s="420"/>
      <c r="C66" s="205" t="s">
        <v>409</v>
      </c>
      <c r="D66" s="205" t="s">
        <v>410</v>
      </c>
      <c r="E66" s="188" t="s">
        <v>407</v>
      </c>
      <c r="F66" s="417" t="s">
        <v>122</v>
      </c>
      <c r="G66" s="418"/>
      <c r="H66" s="418"/>
      <c r="I66" s="418"/>
      <c r="J66" s="418"/>
      <c r="K66" s="418"/>
      <c r="L66" s="418"/>
      <c r="M66" s="419"/>
      <c r="N66" s="187"/>
      <c r="O66" s="194"/>
      <c r="P66" s="430"/>
      <c r="Q66" s="431"/>
      <c r="R66" s="430"/>
      <c r="S66" s="432"/>
      <c r="T66" s="432"/>
      <c r="U66" s="431"/>
      <c r="V66" s="417"/>
      <c r="W66" s="418"/>
      <c r="X66" s="418"/>
      <c r="Y66" s="418"/>
      <c r="Z66" s="418"/>
      <c r="AA66" s="418"/>
      <c r="AB66" s="418"/>
      <c r="AC66" s="418"/>
      <c r="AD66" s="419"/>
    </row>
    <row r="67" spans="1:32" ht="27" customHeight="1">
      <c r="A67" s="415" t="s">
        <v>112</v>
      </c>
      <c r="B67" s="416"/>
      <c r="C67" s="191" t="s">
        <v>411</v>
      </c>
      <c r="D67" s="191" t="s">
        <v>412</v>
      </c>
      <c r="E67" s="191" t="s">
        <v>413</v>
      </c>
      <c r="F67" s="417" t="s">
        <v>122</v>
      </c>
      <c r="G67" s="418"/>
      <c r="H67" s="418"/>
      <c r="I67" s="418"/>
      <c r="J67" s="418"/>
      <c r="K67" s="418"/>
      <c r="L67" s="418"/>
      <c r="M67" s="419"/>
      <c r="N67" s="187"/>
      <c r="O67" s="194"/>
      <c r="P67" s="430"/>
      <c r="Q67" s="431"/>
      <c r="R67" s="430"/>
      <c r="S67" s="432"/>
      <c r="T67" s="432"/>
      <c r="U67" s="431"/>
      <c r="V67" s="417"/>
      <c r="W67" s="418"/>
      <c r="X67" s="418"/>
      <c r="Y67" s="418"/>
      <c r="Z67" s="418"/>
      <c r="AA67" s="418"/>
      <c r="AB67" s="418"/>
      <c r="AC67" s="418"/>
      <c r="AD67" s="419"/>
    </row>
    <row r="68" spans="1:32" ht="27" customHeight="1">
      <c r="A68" s="415"/>
      <c r="B68" s="416"/>
      <c r="C68" s="191"/>
      <c r="D68" s="191"/>
      <c r="E68" s="188"/>
      <c r="F68" s="417"/>
      <c r="G68" s="418"/>
      <c r="H68" s="418"/>
      <c r="I68" s="418"/>
      <c r="J68" s="418"/>
      <c r="K68" s="418"/>
      <c r="L68" s="418"/>
      <c r="M68" s="419"/>
      <c r="N68" s="187"/>
      <c r="O68" s="194"/>
      <c r="P68" s="420"/>
      <c r="Q68" s="420"/>
      <c r="R68" s="420"/>
      <c r="S68" s="420"/>
      <c r="T68" s="420"/>
      <c r="U68" s="420"/>
      <c r="V68" s="417"/>
      <c r="W68" s="418"/>
      <c r="X68" s="418"/>
      <c r="Y68" s="418"/>
      <c r="Z68" s="418"/>
      <c r="AA68" s="418"/>
      <c r="AB68" s="418"/>
      <c r="AC68" s="418"/>
      <c r="AD68" s="419"/>
      <c r="AF68" s="81">
        <f>8*3000</f>
        <v>24000</v>
      </c>
    </row>
    <row r="69" spans="1:32" ht="27" customHeight="1" thickBot="1">
      <c r="A69" s="421" t="s">
        <v>112</v>
      </c>
      <c r="B69" s="422"/>
      <c r="C69" s="189" t="s">
        <v>316</v>
      </c>
      <c r="D69" s="190" t="s">
        <v>115</v>
      </c>
      <c r="E69" s="189" t="s">
        <v>148</v>
      </c>
      <c r="F69" s="423" t="s">
        <v>355</v>
      </c>
      <c r="G69" s="424"/>
      <c r="H69" s="424"/>
      <c r="I69" s="424"/>
      <c r="J69" s="424"/>
      <c r="K69" s="424"/>
      <c r="L69" s="424"/>
      <c r="M69" s="425"/>
      <c r="N69" s="105"/>
      <c r="O69" s="97"/>
      <c r="P69" s="426"/>
      <c r="Q69" s="426"/>
      <c r="R69" s="426"/>
      <c r="S69" s="426"/>
      <c r="T69" s="426"/>
      <c r="U69" s="426"/>
      <c r="V69" s="427"/>
      <c r="W69" s="427"/>
      <c r="X69" s="427"/>
      <c r="Y69" s="427"/>
      <c r="Z69" s="427"/>
      <c r="AA69" s="427"/>
      <c r="AB69" s="427"/>
      <c r="AC69" s="427"/>
      <c r="AD69" s="428"/>
      <c r="AF69" s="81">
        <f>16*3000</f>
        <v>48000</v>
      </c>
    </row>
    <row r="70" spans="1:32" ht="27.75" thickBot="1">
      <c r="A70" s="413" t="s">
        <v>426</v>
      </c>
      <c r="B70" s="413"/>
      <c r="C70" s="413"/>
      <c r="D70" s="413"/>
      <c r="E70" s="413"/>
      <c r="F70" s="37"/>
      <c r="G70" s="37"/>
      <c r="H70" s="38"/>
      <c r="I70" s="38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F70" s="81">
        <v>24000</v>
      </c>
    </row>
    <row r="71" spans="1:32" ht="29.25" customHeight="1" thickBot="1">
      <c r="A71" s="414" t="s">
        <v>111</v>
      </c>
      <c r="B71" s="411"/>
      <c r="C71" s="192" t="s">
        <v>2</v>
      </c>
      <c r="D71" s="192" t="s">
        <v>37</v>
      </c>
      <c r="E71" s="192" t="s">
        <v>3</v>
      </c>
      <c r="F71" s="411" t="s">
        <v>109</v>
      </c>
      <c r="G71" s="411"/>
      <c r="H71" s="411"/>
      <c r="I71" s="411"/>
      <c r="J71" s="411"/>
      <c r="K71" s="411" t="s">
        <v>39</v>
      </c>
      <c r="L71" s="411"/>
      <c r="M71" s="192" t="s">
        <v>40</v>
      </c>
      <c r="N71" s="411" t="s">
        <v>41</v>
      </c>
      <c r="O71" s="411"/>
      <c r="P71" s="408" t="s">
        <v>42</v>
      </c>
      <c r="Q71" s="410"/>
      <c r="R71" s="408" t="s">
        <v>43</v>
      </c>
      <c r="S71" s="409"/>
      <c r="T71" s="409"/>
      <c r="U71" s="409"/>
      <c r="V71" s="409"/>
      <c r="W71" s="409"/>
      <c r="X71" s="409"/>
      <c r="Y71" s="409"/>
      <c r="Z71" s="409"/>
      <c r="AA71" s="410"/>
      <c r="AB71" s="411" t="s">
        <v>44</v>
      </c>
      <c r="AC71" s="411"/>
      <c r="AD71" s="412"/>
      <c r="AF71" s="81">
        <f>SUM(AF68:AF70)</f>
        <v>96000</v>
      </c>
    </row>
    <row r="72" spans="1:32" ht="25.5" customHeight="1">
      <c r="A72" s="399">
        <v>1</v>
      </c>
      <c r="B72" s="400"/>
      <c r="C72" s="98" t="s">
        <v>430</v>
      </c>
      <c r="D72" s="196"/>
      <c r="E72" s="193" t="s">
        <v>431</v>
      </c>
      <c r="F72" s="401" t="s">
        <v>427</v>
      </c>
      <c r="G72" s="391"/>
      <c r="H72" s="391"/>
      <c r="I72" s="391"/>
      <c r="J72" s="391"/>
      <c r="K72" s="391" t="s">
        <v>433</v>
      </c>
      <c r="L72" s="391"/>
      <c r="M72" s="51" t="s">
        <v>436</v>
      </c>
      <c r="N72" s="402" t="s">
        <v>439</v>
      </c>
      <c r="O72" s="402"/>
      <c r="P72" s="403">
        <v>100</v>
      </c>
      <c r="Q72" s="403"/>
      <c r="R72" s="404"/>
      <c r="S72" s="404"/>
      <c r="T72" s="404"/>
      <c r="U72" s="404"/>
      <c r="V72" s="404"/>
      <c r="W72" s="404"/>
      <c r="X72" s="404"/>
      <c r="Y72" s="404"/>
      <c r="Z72" s="404"/>
      <c r="AA72" s="404"/>
      <c r="AB72" s="391"/>
      <c r="AC72" s="391"/>
      <c r="AD72" s="392"/>
      <c r="AF72" s="50"/>
    </row>
    <row r="73" spans="1:32" ht="25.5" customHeight="1">
      <c r="A73" s="399">
        <v>2</v>
      </c>
      <c r="B73" s="400"/>
      <c r="C73" s="98" t="s">
        <v>420</v>
      </c>
      <c r="D73" s="196"/>
      <c r="E73" s="193" t="s">
        <v>432</v>
      </c>
      <c r="F73" s="401" t="s">
        <v>428</v>
      </c>
      <c r="G73" s="391"/>
      <c r="H73" s="391"/>
      <c r="I73" s="391"/>
      <c r="J73" s="391"/>
      <c r="K73" s="391" t="s">
        <v>434</v>
      </c>
      <c r="L73" s="391"/>
      <c r="M73" s="51" t="s">
        <v>437</v>
      </c>
      <c r="N73" s="402" t="s">
        <v>439</v>
      </c>
      <c r="O73" s="402"/>
      <c r="P73" s="403">
        <v>50</v>
      </c>
      <c r="Q73" s="403"/>
      <c r="R73" s="404"/>
      <c r="S73" s="404"/>
      <c r="T73" s="404"/>
      <c r="U73" s="404"/>
      <c r="V73" s="404"/>
      <c r="W73" s="404"/>
      <c r="X73" s="404"/>
      <c r="Y73" s="404"/>
      <c r="Z73" s="404"/>
      <c r="AA73" s="404"/>
      <c r="AB73" s="391"/>
      <c r="AC73" s="391"/>
      <c r="AD73" s="392"/>
      <c r="AF73" s="50"/>
    </row>
    <row r="74" spans="1:32" ht="25.5" customHeight="1">
      <c r="A74" s="399">
        <v>3</v>
      </c>
      <c r="B74" s="400"/>
      <c r="C74" s="98" t="s">
        <v>430</v>
      </c>
      <c r="D74" s="196"/>
      <c r="E74" s="193" t="s">
        <v>410</v>
      </c>
      <c r="F74" s="401" t="s">
        <v>429</v>
      </c>
      <c r="G74" s="391"/>
      <c r="H74" s="391"/>
      <c r="I74" s="391"/>
      <c r="J74" s="391"/>
      <c r="K74" s="391" t="s">
        <v>435</v>
      </c>
      <c r="L74" s="391"/>
      <c r="M74" s="51" t="s">
        <v>438</v>
      </c>
      <c r="N74" s="402" t="s">
        <v>439</v>
      </c>
      <c r="O74" s="402"/>
      <c r="P74" s="403">
        <v>12</v>
      </c>
      <c r="Q74" s="403"/>
      <c r="R74" s="404" t="s">
        <v>440</v>
      </c>
      <c r="S74" s="404"/>
      <c r="T74" s="404"/>
      <c r="U74" s="404"/>
      <c r="V74" s="404"/>
      <c r="W74" s="404"/>
      <c r="X74" s="404"/>
      <c r="Y74" s="404"/>
      <c r="Z74" s="404"/>
      <c r="AA74" s="404"/>
      <c r="AB74" s="391"/>
      <c r="AC74" s="391"/>
      <c r="AD74" s="392"/>
      <c r="AF74" s="50"/>
    </row>
    <row r="75" spans="1:32" ht="25.5" customHeight="1">
      <c r="A75" s="399">
        <v>4</v>
      </c>
      <c r="B75" s="400"/>
      <c r="C75" s="98"/>
      <c r="D75" s="196"/>
      <c r="E75" s="193"/>
      <c r="F75" s="405"/>
      <c r="G75" s="406"/>
      <c r="H75" s="406"/>
      <c r="I75" s="406"/>
      <c r="J75" s="407"/>
      <c r="K75" s="391"/>
      <c r="L75" s="391"/>
      <c r="M75" s="51"/>
      <c r="N75" s="402"/>
      <c r="O75" s="402"/>
      <c r="P75" s="403"/>
      <c r="Q75" s="403"/>
      <c r="R75" s="404"/>
      <c r="S75" s="404"/>
      <c r="T75" s="404"/>
      <c r="U75" s="404"/>
      <c r="V75" s="404"/>
      <c r="W75" s="404"/>
      <c r="X75" s="404"/>
      <c r="Y75" s="404"/>
      <c r="Z75" s="404"/>
      <c r="AA75" s="404"/>
      <c r="AB75" s="391"/>
      <c r="AC75" s="391"/>
      <c r="AD75" s="392"/>
      <c r="AF75" s="50"/>
    </row>
    <row r="76" spans="1:32" ht="25.5" customHeight="1">
      <c r="A76" s="399">
        <v>5</v>
      </c>
      <c r="B76" s="400"/>
      <c r="C76" s="98"/>
      <c r="D76" s="196"/>
      <c r="E76" s="193"/>
      <c r="F76" s="405"/>
      <c r="G76" s="406"/>
      <c r="H76" s="406"/>
      <c r="I76" s="406"/>
      <c r="J76" s="407"/>
      <c r="K76" s="391"/>
      <c r="L76" s="391"/>
      <c r="M76" s="51"/>
      <c r="N76" s="402"/>
      <c r="O76" s="402"/>
      <c r="P76" s="403"/>
      <c r="Q76" s="403"/>
      <c r="R76" s="404"/>
      <c r="S76" s="404"/>
      <c r="T76" s="404"/>
      <c r="U76" s="404"/>
      <c r="V76" s="404"/>
      <c r="W76" s="404"/>
      <c r="X76" s="404"/>
      <c r="Y76" s="404"/>
      <c r="Z76" s="404"/>
      <c r="AA76" s="404"/>
      <c r="AB76" s="391"/>
      <c r="AC76" s="391"/>
      <c r="AD76" s="392"/>
      <c r="AF76" s="50"/>
    </row>
    <row r="77" spans="1:32" ht="25.5" customHeight="1">
      <c r="A77" s="399">
        <v>6</v>
      </c>
      <c r="B77" s="400"/>
      <c r="C77" s="98"/>
      <c r="D77" s="196"/>
      <c r="E77" s="193"/>
      <c r="F77" s="405"/>
      <c r="G77" s="406"/>
      <c r="H77" s="406"/>
      <c r="I77" s="406"/>
      <c r="J77" s="407"/>
      <c r="K77" s="391"/>
      <c r="L77" s="391"/>
      <c r="M77" s="51"/>
      <c r="N77" s="402"/>
      <c r="O77" s="402"/>
      <c r="P77" s="403"/>
      <c r="Q77" s="403"/>
      <c r="R77" s="404"/>
      <c r="S77" s="404"/>
      <c r="T77" s="404"/>
      <c r="U77" s="404"/>
      <c r="V77" s="404"/>
      <c r="W77" s="404"/>
      <c r="X77" s="404"/>
      <c r="Y77" s="404"/>
      <c r="Z77" s="404"/>
      <c r="AA77" s="404"/>
      <c r="AB77" s="391"/>
      <c r="AC77" s="391"/>
      <c r="AD77" s="392"/>
      <c r="AF77" s="50"/>
    </row>
    <row r="78" spans="1:32" ht="25.5" customHeight="1">
      <c r="A78" s="399">
        <v>7</v>
      </c>
      <c r="B78" s="400"/>
      <c r="C78" s="98"/>
      <c r="D78" s="196"/>
      <c r="E78" s="193"/>
      <c r="F78" s="405"/>
      <c r="G78" s="406"/>
      <c r="H78" s="406"/>
      <c r="I78" s="406"/>
      <c r="J78" s="407"/>
      <c r="K78" s="391"/>
      <c r="L78" s="391"/>
      <c r="M78" s="51"/>
      <c r="N78" s="402"/>
      <c r="O78" s="402"/>
      <c r="P78" s="403"/>
      <c r="Q78" s="403"/>
      <c r="R78" s="404"/>
      <c r="S78" s="404"/>
      <c r="T78" s="404"/>
      <c r="U78" s="404"/>
      <c r="V78" s="404"/>
      <c r="W78" s="404"/>
      <c r="X78" s="404"/>
      <c r="Y78" s="404"/>
      <c r="Z78" s="404"/>
      <c r="AA78" s="404"/>
      <c r="AB78" s="391"/>
      <c r="AC78" s="391"/>
      <c r="AD78" s="392"/>
      <c r="AF78" s="50"/>
    </row>
    <row r="79" spans="1:32" ht="25.5" customHeight="1">
      <c r="A79" s="399">
        <v>8</v>
      </c>
      <c r="B79" s="400"/>
      <c r="C79" s="98"/>
      <c r="D79" s="196"/>
      <c r="E79" s="193"/>
      <c r="F79" s="401"/>
      <c r="G79" s="391"/>
      <c r="H79" s="391"/>
      <c r="I79" s="391"/>
      <c r="J79" s="391"/>
      <c r="K79" s="391"/>
      <c r="L79" s="391"/>
      <c r="M79" s="51"/>
      <c r="N79" s="402"/>
      <c r="O79" s="402"/>
      <c r="P79" s="403"/>
      <c r="Q79" s="403"/>
      <c r="R79" s="404"/>
      <c r="S79" s="404"/>
      <c r="T79" s="404"/>
      <c r="U79" s="404"/>
      <c r="V79" s="404"/>
      <c r="W79" s="404"/>
      <c r="X79" s="404"/>
      <c r="Y79" s="404"/>
      <c r="Z79" s="404"/>
      <c r="AA79" s="404"/>
      <c r="AB79" s="391"/>
      <c r="AC79" s="391"/>
      <c r="AD79" s="392"/>
      <c r="AF79" s="50"/>
    </row>
    <row r="80" spans="1:32" ht="25.5" customHeight="1">
      <c r="A80" s="399">
        <v>9</v>
      </c>
      <c r="B80" s="400"/>
      <c r="C80" s="98"/>
      <c r="D80" s="196"/>
      <c r="E80" s="193"/>
      <c r="F80" s="401"/>
      <c r="G80" s="391"/>
      <c r="H80" s="391"/>
      <c r="I80" s="391"/>
      <c r="J80" s="391"/>
      <c r="K80" s="391"/>
      <c r="L80" s="391"/>
      <c r="M80" s="51"/>
      <c r="N80" s="402"/>
      <c r="O80" s="402"/>
      <c r="P80" s="403"/>
      <c r="Q80" s="403"/>
      <c r="R80" s="404"/>
      <c r="S80" s="404"/>
      <c r="T80" s="404"/>
      <c r="U80" s="404"/>
      <c r="V80" s="404"/>
      <c r="W80" s="404"/>
      <c r="X80" s="404"/>
      <c r="Y80" s="404"/>
      <c r="Z80" s="404"/>
      <c r="AA80" s="404"/>
      <c r="AB80" s="391"/>
      <c r="AC80" s="391"/>
      <c r="AD80" s="392"/>
      <c r="AF80" s="50"/>
    </row>
    <row r="81" spans="1:32" ht="25.5" customHeight="1">
      <c r="A81" s="399">
        <v>10</v>
      </c>
      <c r="B81" s="400"/>
      <c r="C81" s="98"/>
      <c r="D81" s="196"/>
      <c r="E81" s="193"/>
      <c r="F81" s="401"/>
      <c r="G81" s="391"/>
      <c r="H81" s="391"/>
      <c r="I81" s="391"/>
      <c r="J81" s="391"/>
      <c r="K81" s="391"/>
      <c r="L81" s="391"/>
      <c r="M81" s="51"/>
      <c r="N81" s="402"/>
      <c r="O81" s="402"/>
      <c r="P81" s="403"/>
      <c r="Q81" s="403"/>
      <c r="R81" s="404"/>
      <c r="S81" s="404"/>
      <c r="T81" s="404"/>
      <c r="U81" s="404"/>
      <c r="V81" s="404"/>
      <c r="W81" s="404"/>
      <c r="X81" s="404"/>
      <c r="Y81" s="404"/>
      <c r="Z81" s="404"/>
      <c r="AA81" s="404"/>
      <c r="AB81" s="391"/>
      <c r="AC81" s="391"/>
      <c r="AD81" s="392"/>
      <c r="AF81" s="50"/>
    </row>
    <row r="82" spans="1:32" ht="26.25" customHeight="1" thickBot="1">
      <c r="A82" s="371" t="s">
        <v>441</v>
      </c>
      <c r="B82" s="371"/>
      <c r="C82" s="371"/>
      <c r="D82" s="371"/>
      <c r="E82" s="371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23.25" thickBot="1">
      <c r="A83" s="393" t="s">
        <v>111</v>
      </c>
      <c r="B83" s="394"/>
      <c r="C83" s="195" t="s">
        <v>2</v>
      </c>
      <c r="D83" s="195" t="s">
        <v>37</v>
      </c>
      <c r="E83" s="195" t="s">
        <v>120</v>
      </c>
      <c r="F83" s="373" t="s">
        <v>38</v>
      </c>
      <c r="G83" s="373"/>
      <c r="H83" s="373"/>
      <c r="I83" s="373"/>
      <c r="J83" s="373"/>
      <c r="K83" s="395" t="s">
        <v>58</v>
      </c>
      <c r="L83" s="396"/>
      <c r="M83" s="396"/>
      <c r="N83" s="396"/>
      <c r="O83" s="396"/>
      <c r="P83" s="396"/>
      <c r="Q83" s="396"/>
      <c r="R83" s="396"/>
      <c r="S83" s="397"/>
      <c r="T83" s="373" t="s">
        <v>49</v>
      </c>
      <c r="U83" s="373"/>
      <c r="V83" s="395" t="s">
        <v>50</v>
      </c>
      <c r="W83" s="397"/>
      <c r="X83" s="396" t="s">
        <v>51</v>
      </c>
      <c r="Y83" s="396"/>
      <c r="Z83" s="396"/>
      <c r="AA83" s="396"/>
      <c r="AB83" s="396"/>
      <c r="AC83" s="396"/>
      <c r="AD83" s="398"/>
      <c r="AF83" s="50"/>
    </row>
    <row r="84" spans="1:32" ht="33.75" customHeight="1">
      <c r="A84" s="365">
        <v>1</v>
      </c>
      <c r="B84" s="366"/>
      <c r="C84" s="197"/>
      <c r="D84" s="197"/>
      <c r="E84" s="65"/>
      <c r="F84" s="380"/>
      <c r="G84" s="381"/>
      <c r="H84" s="381"/>
      <c r="I84" s="381"/>
      <c r="J84" s="382"/>
      <c r="K84" s="383"/>
      <c r="L84" s="384"/>
      <c r="M84" s="384"/>
      <c r="N84" s="384"/>
      <c r="O84" s="384"/>
      <c r="P84" s="384"/>
      <c r="Q84" s="384"/>
      <c r="R84" s="384"/>
      <c r="S84" s="385"/>
      <c r="T84" s="386"/>
      <c r="U84" s="387"/>
      <c r="V84" s="388"/>
      <c r="W84" s="388"/>
      <c r="X84" s="389"/>
      <c r="Y84" s="389"/>
      <c r="Z84" s="389"/>
      <c r="AA84" s="389"/>
      <c r="AB84" s="389"/>
      <c r="AC84" s="389"/>
      <c r="AD84" s="390"/>
      <c r="AF84" s="50"/>
    </row>
    <row r="85" spans="1:32" ht="30" customHeight="1">
      <c r="A85" s="358">
        <f>A84+1</f>
        <v>2</v>
      </c>
      <c r="B85" s="359"/>
      <c r="C85" s="196"/>
      <c r="D85" s="196"/>
      <c r="E85" s="32"/>
      <c r="F85" s="359"/>
      <c r="G85" s="359"/>
      <c r="H85" s="359"/>
      <c r="I85" s="359"/>
      <c r="J85" s="359"/>
      <c r="K85" s="374"/>
      <c r="L85" s="375"/>
      <c r="M85" s="375"/>
      <c r="N85" s="375"/>
      <c r="O85" s="375"/>
      <c r="P85" s="375"/>
      <c r="Q85" s="375"/>
      <c r="R85" s="375"/>
      <c r="S85" s="376"/>
      <c r="T85" s="377"/>
      <c r="U85" s="377"/>
      <c r="V85" s="377"/>
      <c r="W85" s="377"/>
      <c r="X85" s="378"/>
      <c r="Y85" s="378"/>
      <c r="Z85" s="378"/>
      <c r="AA85" s="378"/>
      <c r="AB85" s="378"/>
      <c r="AC85" s="378"/>
      <c r="AD85" s="379"/>
      <c r="AF85" s="50"/>
    </row>
    <row r="86" spans="1:32" ht="30" customHeight="1">
      <c r="A86" s="358">
        <f t="shared" ref="A86:A90" si="12">A85+1</f>
        <v>3</v>
      </c>
      <c r="B86" s="359"/>
      <c r="C86" s="196"/>
      <c r="D86" s="196"/>
      <c r="E86" s="32"/>
      <c r="F86" s="359"/>
      <c r="G86" s="359"/>
      <c r="H86" s="359"/>
      <c r="I86" s="359"/>
      <c r="J86" s="359"/>
      <c r="K86" s="374"/>
      <c r="L86" s="375"/>
      <c r="M86" s="375"/>
      <c r="N86" s="375"/>
      <c r="O86" s="375"/>
      <c r="P86" s="375"/>
      <c r="Q86" s="375"/>
      <c r="R86" s="375"/>
      <c r="S86" s="376"/>
      <c r="T86" s="377"/>
      <c r="U86" s="377"/>
      <c r="V86" s="377"/>
      <c r="W86" s="377"/>
      <c r="X86" s="378"/>
      <c r="Y86" s="378"/>
      <c r="Z86" s="378"/>
      <c r="AA86" s="378"/>
      <c r="AB86" s="378"/>
      <c r="AC86" s="378"/>
      <c r="AD86" s="379"/>
      <c r="AF86" s="50"/>
    </row>
    <row r="87" spans="1:32" ht="30" customHeight="1">
      <c r="A87" s="358">
        <f t="shared" si="12"/>
        <v>4</v>
      </c>
      <c r="B87" s="359"/>
      <c r="C87" s="196"/>
      <c r="D87" s="196"/>
      <c r="E87" s="32"/>
      <c r="F87" s="359"/>
      <c r="G87" s="359"/>
      <c r="H87" s="359"/>
      <c r="I87" s="359"/>
      <c r="J87" s="359"/>
      <c r="K87" s="374"/>
      <c r="L87" s="375"/>
      <c r="M87" s="375"/>
      <c r="N87" s="375"/>
      <c r="O87" s="375"/>
      <c r="P87" s="375"/>
      <c r="Q87" s="375"/>
      <c r="R87" s="375"/>
      <c r="S87" s="376"/>
      <c r="T87" s="377"/>
      <c r="U87" s="377"/>
      <c r="V87" s="377"/>
      <c r="W87" s="377"/>
      <c r="X87" s="378"/>
      <c r="Y87" s="378"/>
      <c r="Z87" s="378"/>
      <c r="AA87" s="378"/>
      <c r="AB87" s="378"/>
      <c r="AC87" s="378"/>
      <c r="AD87" s="379"/>
      <c r="AF87" s="50"/>
    </row>
    <row r="88" spans="1:32" ht="30" customHeight="1">
      <c r="A88" s="358">
        <f t="shared" si="12"/>
        <v>5</v>
      </c>
      <c r="B88" s="359"/>
      <c r="C88" s="196"/>
      <c r="D88" s="196"/>
      <c r="E88" s="32"/>
      <c r="F88" s="359"/>
      <c r="G88" s="359"/>
      <c r="H88" s="359"/>
      <c r="I88" s="359"/>
      <c r="J88" s="359"/>
      <c r="K88" s="374"/>
      <c r="L88" s="375"/>
      <c r="M88" s="375"/>
      <c r="N88" s="375"/>
      <c r="O88" s="375"/>
      <c r="P88" s="375"/>
      <c r="Q88" s="375"/>
      <c r="R88" s="375"/>
      <c r="S88" s="376"/>
      <c r="T88" s="377"/>
      <c r="U88" s="377"/>
      <c r="V88" s="377"/>
      <c r="W88" s="377"/>
      <c r="X88" s="378"/>
      <c r="Y88" s="378"/>
      <c r="Z88" s="378"/>
      <c r="AA88" s="378"/>
      <c r="AB88" s="378"/>
      <c r="AC88" s="378"/>
      <c r="AD88" s="379"/>
      <c r="AF88" s="50"/>
    </row>
    <row r="89" spans="1:32" ht="30" customHeight="1">
      <c r="A89" s="358">
        <f t="shared" si="12"/>
        <v>6</v>
      </c>
      <c r="B89" s="359"/>
      <c r="C89" s="196"/>
      <c r="D89" s="196"/>
      <c r="E89" s="32"/>
      <c r="F89" s="359"/>
      <c r="G89" s="359"/>
      <c r="H89" s="359"/>
      <c r="I89" s="359"/>
      <c r="J89" s="359"/>
      <c r="K89" s="374"/>
      <c r="L89" s="375"/>
      <c r="M89" s="375"/>
      <c r="N89" s="375"/>
      <c r="O89" s="375"/>
      <c r="P89" s="375"/>
      <c r="Q89" s="375"/>
      <c r="R89" s="375"/>
      <c r="S89" s="376"/>
      <c r="T89" s="377"/>
      <c r="U89" s="377"/>
      <c r="V89" s="377"/>
      <c r="W89" s="377"/>
      <c r="X89" s="378"/>
      <c r="Y89" s="378"/>
      <c r="Z89" s="378"/>
      <c r="AA89" s="378"/>
      <c r="AB89" s="378"/>
      <c r="AC89" s="378"/>
      <c r="AD89" s="379"/>
      <c r="AF89" s="50"/>
    </row>
    <row r="90" spans="1:32" ht="30" customHeight="1">
      <c r="A90" s="358">
        <f t="shared" si="12"/>
        <v>7</v>
      </c>
      <c r="B90" s="359"/>
      <c r="C90" s="196"/>
      <c r="D90" s="196"/>
      <c r="E90" s="32"/>
      <c r="F90" s="359"/>
      <c r="G90" s="359"/>
      <c r="H90" s="359"/>
      <c r="I90" s="359"/>
      <c r="J90" s="359"/>
      <c r="K90" s="374"/>
      <c r="L90" s="375"/>
      <c r="M90" s="375"/>
      <c r="N90" s="375"/>
      <c r="O90" s="375"/>
      <c r="P90" s="375"/>
      <c r="Q90" s="375"/>
      <c r="R90" s="375"/>
      <c r="S90" s="376"/>
      <c r="T90" s="377"/>
      <c r="U90" s="377"/>
      <c r="V90" s="377"/>
      <c r="W90" s="377"/>
      <c r="X90" s="378"/>
      <c r="Y90" s="378"/>
      <c r="Z90" s="378"/>
      <c r="AA90" s="378"/>
      <c r="AB90" s="378"/>
      <c r="AC90" s="378"/>
      <c r="AD90" s="379"/>
      <c r="AF90" s="50"/>
    </row>
    <row r="91" spans="1:32" ht="36" thickBot="1">
      <c r="A91" s="371" t="s">
        <v>442</v>
      </c>
      <c r="B91" s="371"/>
      <c r="C91" s="371"/>
      <c r="D91" s="371"/>
      <c r="E91" s="371"/>
      <c r="F91" s="37"/>
      <c r="G91" s="37"/>
      <c r="H91" s="38"/>
      <c r="I91" s="38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F91" s="50"/>
    </row>
    <row r="92" spans="1:32" ht="30.75" customHeight="1" thickBot="1">
      <c r="A92" s="372" t="s">
        <v>111</v>
      </c>
      <c r="B92" s="373"/>
      <c r="C92" s="363" t="s">
        <v>52</v>
      </c>
      <c r="D92" s="363"/>
      <c r="E92" s="363" t="s">
        <v>53</v>
      </c>
      <c r="F92" s="363"/>
      <c r="G92" s="363"/>
      <c r="H92" s="363"/>
      <c r="I92" s="363"/>
      <c r="J92" s="363"/>
      <c r="K92" s="363" t="s">
        <v>54</v>
      </c>
      <c r="L92" s="363"/>
      <c r="M92" s="363"/>
      <c r="N92" s="363"/>
      <c r="O92" s="363"/>
      <c r="P92" s="363"/>
      <c r="Q92" s="363"/>
      <c r="R92" s="363"/>
      <c r="S92" s="363"/>
      <c r="T92" s="363" t="s">
        <v>55</v>
      </c>
      <c r="U92" s="363"/>
      <c r="V92" s="363" t="s">
        <v>56</v>
      </c>
      <c r="W92" s="363"/>
      <c r="X92" s="363"/>
      <c r="Y92" s="363" t="s">
        <v>51</v>
      </c>
      <c r="Z92" s="363"/>
      <c r="AA92" s="363"/>
      <c r="AB92" s="363"/>
      <c r="AC92" s="363"/>
      <c r="AD92" s="364"/>
      <c r="AF92" s="50"/>
    </row>
    <row r="93" spans="1:32" ht="30.75" customHeight="1">
      <c r="A93" s="365">
        <v>1</v>
      </c>
      <c r="B93" s="366"/>
      <c r="C93" s="367"/>
      <c r="D93" s="367"/>
      <c r="E93" s="367"/>
      <c r="F93" s="367"/>
      <c r="G93" s="367"/>
      <c r="H93" s="367"/>
      <c r="I93" s="367"/>
      <c r="J93" s="367"/>
      <c r="K93" s="367"/>
      <c r="L93" s="367"/>
      <c r="M93" s="367"/>
      <c r="N93" s="367"/>
      <c r="O93" s="367"/>
      <c r="P93" s="367"/>
      <c r="Q93" s="367"/>
      <c r="R93" s="367"/>
      <c r="S93" s="367"/>
      <c r="T93" s="367"/>
      <c r="U93" s="367"/>
      <c r="V93" s="368"/>
      <c r="W93" s="368"/>
      <c r="X93" s="368"/>
      <c r="Y93" s="369"/>
      <c r="Z93" s="369"/>
      <c r="AA93" s="369"/>
      <c r="AB93" s="369"/>
      <c r="AC93" s="369"/>
      <c r="AD93" s="370"/>
      <c r="AF93" s="50"/>
    </row>
    <row r="94" spans="1:32" ht="30.75" customHeight="1">
      <c r="A94" s="358">
        <v>2</v>
      </c>
      <c r="B94" s="359"/>
      <c r="C94" s="360"/>
      <c r="D94" s="360"/>
      <c r="E94" s="360"/>
      <c r="F94" s="360"/>
      <c r="G94" s="360"/>
      <c r="H94" s="360"/>
      <c r="I94" s="360"/>
      <c r="J94" s="360"/>
      <c r="K94" s="360"/>
      <c r="L94" s="360"/>
      <c r="M94" s="360"/>
      <c r="N94" s="360"/>
      <c r="O94" s="360"/>
      <c r="P94" s="360"/>
      <c r="Q94" s="360"/>
      <c r="R94" s="360"/>
      <c r="S94" s="360"/>
      <c r="T94" s="361"/>
      <c r="U94" s="361"/>
      <c r="V94" s="362"/>
      <c r="W94" s="362"/>
      <c r="X94" s="362"/>
      <c r="Y94" s="350"/>
      <c r="Z94" s="350"/>
      <c r="AA94" s="350"/>
      <c r="AB94" s="350"/>
      <c r="AC94" s="350"/>
      <c r="AD94" s="351"/>
      <c r="AF94" s="50"/>
    </row>
    <row r="95" spans="1:32" ht="30.75" customHeight="1" thickBot="1">
      <c r="A95" s="352">
        <v>3</v>
      </c>
      <c r="B95" s="353"/>
      <c r="C95" s="354"/>
      <c r="D95" s="354"/>
      <c r="E95" s="354"/>
      <c r="F95" s="354"/>
      <c r="G95" s="354"/>
      <c r="H95" s="354"/>
      <c r="I95" s="354"/>
      <c r="J95" s="354"/>
      <c r="K95" s="354"/>
      <c r="L95" s="354"/>
      <c r="M95" s="354"/>
      <c r="N95" s="354"/>
      <c r="O95" s="354"/>
      <c r="P95" s="354"/>
      <c r="Q95" s="354"/>
      <c r="R95" s="354"/>
      <c r="S95" s="354"/>
      <c r="T95" s="354"/>
      <c r="U95" s="354"/>
      <c r="V95" s="355"/>
      <c r="W95" s="355"/>
      <c r="X95" s="355"/>
      <c r="Y95" s="356"/>
      <c r="Z95" s="356"/>
      <c r="AA95" s="356"/>
      <c r="AB95" s="356"/>
      <c r="AC95" s="356"/>
      <c r="AD95" s="357"/>
      <c r="AF95" s="50"/>
    </row>
  </sheetData>
  <mergeCells count="232">
    <mergeCell ref="Y94:AD94"/>
    <mergeCell ref="A95:B95"/>
    <mergeCell ref="C95:D95"/>
    <mergeCell ref="E95:J95"/>
    <mergeCell ref="K95:S95"/>
    <mergeCell ref="T95:U95"/>
    <mergeCell ref="V95:X95"/>
    <mergeCell ref="Y95:AD95"/>
    <mergeCell ref="A94:B94"/>
    <mergeCell ref="C94:D94"/>
    <mergeCell ref="E94:J94"/>
    <mergeCell ref="K94:S94"/>
    <mergeCell ref="T94:U94"/>
    <mergeCell ref="V94:X94"/>
    <mergeCell ref="V92:X92"/>
    <mergeCell ref="Y92:AD92"/>
    <mergeCell ref="A93:B93"/>
    <mergeCell ref="C93:D93"/>
    <mergeCell ref="E93:J93"/>
    <mergeCell ref="K93:S93"/>
    <mergeCell ref="T93:U93"/>
    <mergeCell ref="V93:X93"/>
    <mergeCell ref="Y93:AD93"/>
    <mergeCell ref="A91:E91"/>
    <mergeCell ref="A92:B92"/>
    <mergeCell ref="C92:D92"/>
    <mergeCell ref="E92:J92"/>
    <mergeCell ref="K92:S92"/>
    <mergeCell ref="T92:U92"/>
    <mergeCell ref="A90:B90"/>
    <mergeCell ref="F90:J90"/>
    <mergeCell ref="K90:S90"/>
    <mergeCell ref="T90:U90"/>
    <mergeCell ref="V90:W90"/>
    <mergeCell ref="X90:AD90"/>
    <mergeCell ref="A89:B89"/>
    <mergeCell ref="F89:J89"/>
    <mergeCell ref="K89:S89"/>
    <mergeCell ref="T89:U89"/>
    <mergeCell ref="V89:W89"/>
    <mergeCell ref="X89:AD89"/>
    <mergeCell ref="A88:B88"/>
    <mergeCell ref="F88:J88"/>
    <mergeCell ref="K88:S88"/>
    <mergeCell ref="T88:U88"/>
    <mergeCell ref="V88:W88"/>
    <mergeCell ref="X88:AD88"/>
    <mergeCell ref="A87:B87"/>
    <mergeCell ref="F87:J87"/>
    <mergeCell ref="K87:S87"/>
    <mergeCell ref="T87:U87"/>
    <mergeCell ref="V87:W87"/>
    <mergeCell ref="X87:AD87"/>
    <mergeCell ref="A86:B86"/>
    <mergeCell ref="F86:J86"/>
    <mergeCell ref="K86:S86"/>
    <mergeCell ref="T86:U86"/>
    <mergeCell ref="V86:W86"/>
    <mergeCell ref="X86:AD86"/>
    <mergeCell ref="A85:B85"/>
    <mergeCell ref="F85:J85"/>
    <mergeCell ref="K85:S85"/>
    <mergeCell ref="T85:U85"/>
    <mergeCell ref="V85:W85"/>
    <mergeCell ref="X85:AD85"/>
    <mergeCell ref="A84:B84"/>
    <mergeCell ref="F84:J84"/>
    <mergeCell ref="K84:S84"/>
    <mergeCell ref="T84:U84"/>
    <mergeCell ref="V84:W84"/>
    <mergeCell ref="X84:AD84"/>
    <mergeCell ref="AB81:AD81"/>
    <mergeCell ref="A82:E82"/>
    <mergeCell ref="A83:B83"/>
    <mergeCell ref="F83:J83"/>
    <mergeCell ref="K83:S83"/>
    <mergeCell ref="T83:U83"/>
    <mergeCell ref="V83:W83"/>
    <mergeCell ref="X83:AD83"/>
    <mergeCell ref="A81:B81"/>
    <mergeCell ref="F81:J81"/>
    <mergeCell ref="K81:L81"/>
    <mergeCell ref="N81:O81"/>
    <mergeCell ref="P81:Q81"/>
    <mergeCell ref="R81:AA81"/>
    <mergeCell ref="AB79:AD79"/>
    <mergeCell ref="A80:B80"/>
    <mergeCell ref="F80:J80"/>
    <mergeCell ref="K80:L80"/>
    <mergeCell ref="N80:O80"/>
    <mergeCell ref="P80:Q80"/>
    <mergeCell ref="R80:AA80"/>
    <mergeCell ref="AB80:AD80"/>
    <mergeCell ref="A79:B79"/>
    <mergeCell ref="F79:J79"/>
    <mergeCell ref="K79:L79"/>
    <mergeCell ref="N79:O79"/>
    <mergeCell ref="P79:Q79"/>
    <mergeCell ref="R79:AA79"/>
    <mergeCell ref="AB77:AD77"/>
    <mergeCell ref="A78:B78"/>
    <mergeCell ref="F78:J78"/>
    <mergeCell ref="K78:L78"/>
    <mergeCell ref="N78:O78"/>
    <mergeCell ref="P78:Q78"/>
    <mergeCell ref="R78:AA78"/>
    <mergeCell ref="AB78:AD78"/>
    <mergeCell ref="A77:B77"/>
    <mergeCell ref="F77:J77"/>
    <mergeCell ref="K77:L77"/>
    <mergeCell ref="N77:O77"/>
    <mergeCell ref="P77:Q77"/>
    <mergeCell ref="R77:AA77"/>
    <mergeCell ref="AB75:AD75"/>
    <mergeCell ref="A76:B76"/>
    <mergeCell ref="F76:J76"/>
    <mergeCell ref="K76:L76"/>
    <mergeCell ref="N76:O76"/>
    <mergeCell ref="P76:Q76"/>
    <mergeCell ref="R76:AA76"/>
    <mergeCell ref="AB76:AD76"/>
    <mergeCell ref="A75:B75"/>
    <mergeCell ref="F75:J75"/>
    <mergeCell ref="K75:L75"/>
    <mergeCell ref="N75:O75"/>
    <mergeCell ref="P75:Q75"/>
    <mergeCell ref="R75:AA75"/>
    <mergeCell ref="AB73:AD73"/>
    <mergeCell ref="A74:B74"/>
    <mergeCell ref="F74:J74"/>
    <mergeCell ref="K74:L74"/>
    <mergeCell ref="N74:O74"/>
    <mergeCell ref="P74:Q74"/>
    <mergeCell ref="R74:AA74"/>
    <mergeCell ref="AB74:AD74"/>
    <mergeCell ref="A73:B73"/>
    <mergeCell ref="F73:J73"/>
    <mergeCell ref="K73:L73"/>
    <mergeCell ref="N73:O73"/>
    <mergeCell ref="P73:Q73"/>
    <mergeCell ref="R73:AA73"/>
    <mergeCell ref="R71:AA71"/>
    <mergeCell ref="AB71:AD71"/>
    <mergeCell ref="A72:B72"/>
    <mergeCell ref="F72:J72"/>
    <mergeCell ref="K72:L72"/>
    <mergeCell ref="N72:O72"/>
    <mergeCell ref="P72:Q72"/>
    <mergeCell ref="R72:AA72"/>
    <mergeCell ref="AB72:AD72"/>
    <mergeCell ref="A70:E70"/>
    <mergeCell ref="A71:B71"/>
    <mergeCell ref="F71:J71"/>
    <mergeCell ref="K71:L71"/>
    <mergeCell ref="N71:O71"/>
    <mergeCell ref="P71:Q71"/>
    <mergeCell ref="A68:B68"/>
    <mergeCell ref="F68:M68"/>
    <mergeCell ref="P68:Q68"/>
    <mergeCell ref="R68:U68"/>
    <mergeCell ref="V68:AD68"/>
    <mergeCell ref="A69:B69"/>
    <mergeCell ref="F69:M69"/>
    <mergeCell ref="P69:Q69"/>
    <mergeCell ref="R69:U69"/>
    <mergeCell ref="V69:AD69"/>
    <mergeCell ref="A66:B66"/>
    <mergeCell ref="F66:M66"/>
    <mergeCell ref="P66:Q66"/>
    <mergeCell ref="R66:U66"/>
    <mergeCell ref="V66:AD66"/>
    <mergeCell ref="A67:B67"/>
    <mergeCell ref="F67:M67"/>
    <mergeCell ref="P67:Q67"/>
    <mergeCell ref="R67:U67"/>
    <mergeCell ref="V67:AD67"/>
    <mergeCell ref="A64:B64"/>
    <mergeCell ref="F64:M64"/>
    <mergeCell ref="P64:Q64"/>
    <mergeCell ref="R64:U64"/>
    <mergeCell ref="V64:AD64"/>
    <mergeCell ref="A65:B65"/>
    <mergeCell ref="F65:M65"/>
    <mergeCell ref="P65:Q65"/>
    <mergeCell ref="R65:U65"/>
    <mergeCell ref="V65:AD65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D4:AD5"/>
    <mergeCell ref="A30:H30"/>
    <mergeCell ref="A57:E57"/>
    <mergeCell ref="A58:M58"/>
    <mergeCell ref="N58:AD58"/>
    <mergeCell ref="A59:B59"/>
    <mergeCell ref="F59:M59"/>
    <mergeCell ref="P59:Q59"/>
    <mergeCell ref="R59:U59"/>
    <mergeCell ref="V59:AD59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55" max="29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F084E-4E24-4D54-A6FE-F81F6923BC86}">
  <sheetPr codeName="Sheet9">
    <pageSetUpPr fitToPage="1"/>
  </sheetPr>
  <dimension ref="A1:AF96"/>
  <sheetViews>
    <sheetView view="pageBreakPreview" zoomScale="70" zoomScaleNormal="72" zoomScaleSheetLayoutView="70" workbookViewId="0">
      <selection activeCell="A7" sqref="A7:XFD7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1" bestFit="1" customWidth="1"/>
    <col min="33" max="33" width="17.625" style="50" customWidth="1"/>
    <col min="34" max="16384" width="9" style="50"/>
  </cols>
  <sheetData>
    <row r="1" spans="1:32" ht="44.25" customHeight="1">
      <c r="A1" s="461" t="s">
        <v>443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61"/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62"/>
      <c r="B3" s="462"/>
      <c r="C3" s="462"/>
      <c r="D3" s="462"/>
      <c r="E3" s="462"/>
      <c r="F3" s="462"/>
      <c r="G3" s="462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63" t="s">
        <v>0</v>
      </c>
      <c r="B4" s="465" t="s">
        <v>1</v>
      </c>
      <c r="C4" s="465" t="s">
        <v>2</v>
      </c>
      <c r="D4" s="468" t="s">
        <v>3</v>
      </c>
      <c r="E4" s="470" t="s">
        <v>4</v>
      </c>
      <c r="F4" s="468" t="s">
        <v>5</v>
      </c>
      <c r="G4" s="465" t="s">
        <v>6</v>
      </c>
      <c r="H4" s="471" t="s">
        <v>7</v>
      </c>
      <c r="I4" s="451" t="s">
        <v>8</v>
      </c>
      <c r="J4" s="452"/>
      <c r="K4" s="452"/>
      <c r="L4" s="452"/>
      <c r="M4" s="452"/>
      <c r="N4" s="452"/>
      <c r="O4" s="453"/>
      <c r="P4" s="454" t="s">
        <v>9</v>
      </c>
      <c r="Q4" s="455"/>
      <c r="R4" s="456" t="s">
        <v>10</v>
      </c>
      <c r="S4" s="457"/>
      <c r="T4" s="457"/>
      <c r="U4" s="457"/>
      <c r="V4" s="458"/>
      <c r="W4" s="457" t="s">
        <v>11</v>
      </c>
      <c r="X4" s="457"/>
      <c r="Y4" s="457"/>
      <c r="Z4" s="457"/>
      <c r="AA4" s="458"/>
      <c r="AB4" s="459" t="s">
        <v>12</v>
      </c>
      <c r="AC4" s="433" t="s">
        <v>13</v>
      </c>
      <c r="AD4" s="433" t="s">
        <v>14</v>
      </c>
      <c r="AE4" s="54"/>
    </row>
    <row r="5" spans="1:32" ht="51" customHeight="1" thickBot="1">
      <c r="A5" s="464"/>
      <c r="B5" s="466"/>
      <c r="C5" s="467"/>
      <c r="D5" s="469"/>
      <c r="E5" s="469"/>
      <c r="F5" s="469"/>
      <c r="G5" s="466"/>
      <c r="H5" s="472"/>
      <c r="I5" s="55" t="s">
        <v>15</v>
      </c>
      <c r="J5" s="56" t="s">
        <v>16</v>
      </c>
      <c r="K5" s="210" t="s">
        <v>17</v>
      </c>
      <c r="L5" s="210" t="s">
        <v>18</v>
      </c>
      <c r="M5" s="210" t="s">
        <v>19</v>
      </c>
      <c r="N5" s="210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60"/>
      <c r="AC5" s="434"/>
      <c r="AD5" s="434"/>
      <c r="AE5" s="54"/>
    </row>
    <row r="6" spans="1:32" ht="27" customHeight="1">
      <c r="A6" s="106">
        <v>1</v>
      </c>
      <c r="B6" s="11" t="s">
        <v>57</v>
      </c>
      <c r="C6" s="34" t="s">
        <v>387</v>
      </c>
      <c r="D6" s="52" t="s">
        <v>140</v>
      </c>
      <c r="E6" s="53" t="s">
        <v>415</v>
      </c>
      <c r="F6" s="30" t="s">
        <v>139</v>
      </c>
      <c r="G6" s="12">
        <v>1</v>
      </c>
      <c r="H6" s="13">
        <v>24</v>
      </c>
      <c r="I6" s="31">
        <v>11500</v>
      </c>
      <c r="J6" s="14">
        <v>4993</v>
      </c>
      <c r="K6" s="15">
        <f>L6</f>
        <v>4993</v>
      </c>
      <c r="L6" s="15">
        <f>2147+2846</f>
        <v>4993</v>
      </c>
      <c r="M6" s="15">
        <f t="shared" ref="M6:M30" si="0">L6-N6</f>
        <v>4993</v>
      </c>
      <c r="N6" s="15">
        <v>0</v>
      </c>
      <c r="O6" s="58">
        <f t="shared" ref="O6:O31" si="1">IF(L6=0,"0",N6/L6)</f>
        <v>0</v>
      </c>
      <c r="P6" s="39">
        <f t="shared" ref="P6:P30" si="2">IF(L6=0,"0",(24-Q6))</f>
        <v>22</v>
      </c>
      <c r="Q6" s="40">
        <f t="shared" ref="Q6:Q30" si="3">SUM(R6:AA6)</f>
        <v>2</v>
      </c>
      <c r="R6" s="7"/>
      <c r="S6" s="6"/>
      <c r="T6" s="16"/>
      <c r="U6" s="16"/>
      <c r="V6" s="17"/>
      <c r="W6" s="5"/>
      <c r="X6" s="16"/>
      <c r="Y6" s="16"/>
      <c r="Z6" s="16"/>
      <c r="AA6" s="18">
        <v>2</v>
      </c>
      <c r="AB6" s="8">
        <f t="shared" ref="AB6:AB30" si="4">IF(J6=0,"0",(L6/J6))</f>
        <v>1</v>
      </c>
      <c r="AC6" s="9">
        <f t="shared" ref="AC6:AC30" si="5">IF(P6=0,"0",(P6/24))</f>
        <v>0.91666666666666663</v>
      </c>
      <c r="AD6" s="10">
        <f>AC6*AB6*(1-O6)</f>
        <v>0.91666666666666663</v>
      </c>
      <c r="AE6" s="36">
        <f t="shared" ref="AE6:AE30" si="6">$AD$31</f>
        <v>0.56310012437810952</v>
      </c>
      <c r="AF6" s="81">
        <f t="shared" ref="AF6:AF30" si="7">A6</f>
        <v>1</v>
      </c>
    </row>
    <row r="7" spans="1:32" ht="27" customHeight="1">
      <c r="A7" s="106">
        <v>2</v>
      </c>
      <c r="B7" s="11" t="s">
        <v>57</v>
      </c>
      <c r="C7" s="34" t="s">
        <v>112</v>
      </c>
      <c r="D7" s="52" t="s">
        <v>140</v>
      </c>
      <c r="E7" s="53" t="s">
        <v>149</v>
      </c>
      <c r="F7" s="30" t="s">
        <v>139</v>
      </c>
      <c r="G7" s="12">
        <v>1</v>
      </c>
      <c r="H7" s="13">
        <v>24</v>
      </c>
      <c r="I7" s="31">
        <v>190000</v>
      </c>
      <c r="J7" s="14">
        <v>11138</v>
      </c>
      <c r="K7" s="15">
        <f>L7+8898+11520+11558+11486+11566+10872+10958+11534+11518+11230+7112+9722+10964+11352+11534</f>
        <v>172962</v>
      </c>
      <c r="L7" s="15">
        <f>2669*2+2900*2</f>
        <v>11138</v>
      </c>
      <c r="M7" s="15">
        <f t="shared" si="0"/>
        <v>11138</v>
      </c>
      <c r="N7" s="15">
        <v>0</v>
      </c>
      <c r="O7" s="58">
        <f t="shared" si="1"/>
        <v>0</v>
      </c>
      <c r="P7" s="39">
        <f t="shared" si="2"/>
        <v>24</v>
      </c>
      <c r="Q7" s="40">
        <f t="shared" si="3"/>
        <v>0</v>
      </c>
      <c r="R7" s="7"/>
      <c r="S7" s="6"/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1</v>
      </c>
      <c r="AD7" s="10">
        <f t="shared" ref="AD7:AD30" si="8">AC7*AB7*(1-O7)</f>
        <v>1</v>
      </c>
      <c r="AE7" s="36">
        <f t="shared" si="6"/>
        <v>0.56310012437810952</v>
      </c>
      <c r="AF7" s="81">
        <f t="shared" si="7"/>
        <v>2</v>
      </c>
    </row>
    <row r="8" spans="1:32" ht="27" customHeight="1">
      <c r="A8" s="92">
        <v>3</v>
      </c>
      <c r="B8" s="11" t="s">
        <v>57</v>
      </c>
      <c r="C8" s="34" t="s">
        <v>417</v>
      </c>
      <c r="D8" s="52"/>
      <c r="E8" s="53" t="s">
        <v>444</v>
      </c>
      <c r="F8" s="30" t="s">
        <v>286</v>
      </c>
      <c r="G8" s="12" t="s">
        <v>445</v>
      </c>
      <c r="H8" s="13">
        <v>22</v>
      </c>
      <c r="I8" s="31">
        <v>3700</v>
      </c>
      <c r="J8" s="5">
        <v>3046</v>
      </c>
      <c r="K8" s="15">
        <f>L8</f>
        <v>3046</v>
      </c>
      <c r="L8" s="15">
        <f>669+2377</f>
        <v>3046</v>
      </c>
      <c r="M8" s="15">
        <f t="shared" si="0"/>
        <v>3046</v>
      </c>
      <c r="N8" s="15">
        <v>0</v>
      </c>
      <c r="O8" s="58">
        <f t="shared" si="1"/>
        <v>0</v>
      </c>
      <c r="P8" s="39">
        <f t="shared" si="2"/>
        <v>19</v>
      </c>
      <c r="Q8" s="40">
        <f t="shared" si="3"/>
        <v>5</v>
      </c>
      <c r="R8" s="7"/>
      <c r="S8" s="6">
        <v>5</v>
      </c>
      <c r="T8" s="16"/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0.79166666666666663</v>
      </c>
      <c r="AD8" s="10">
        <f t="shared" si="8"/>
        <v>0.79166666666666663</v>
      </c>
      <c r="AE8" s="36">
        <f t="shared" si="6"/>
        <v>0.56310012437810952</v>
      </c>
      <c r="AF8" s="81">
        <f t="shared" si="7"/>
        <v>3</v>
      </c>
    </row>
    <row r="9" spans="1:32" ht="27" customHeight="1">
      <c r="A9" s="92">
        <v>4</v>
      </c>
      <c r="B9" s="11" t="s">
        <v>57</v>
      </c>
      <c r="C9" s="34" t="s">
        <v>116</v>
      </c>
      <c r="D9" s="52" t="s">
        <v>284</v>
      </c>
      <c r="E9" s="53" t="s">
        <v>312</v>
      </c>
      <c r="F9" s="30" t="s">
        <v>323</v>
      </c>
      <c r="G9" s="12">
        <v>1</v>
      </c>
      <c r="H9" s="13">
        <v>24</v>
      </c>
      <c r="I9" s="7">
        <v>60000</v>
      </c>
      <c r="J9" s="14">
        <v>6432</v>
      </c>
      <c r="K9" s="15">
        <f>L9+3954+360+4890</f>
        <v>15636</v>
      </c>
      <c r="L9" s="15">
        <f>3122+3310</f>
        <v>6432</v>
      </c>
      <c r="M9" s="15">
        <f t="shared" si="0"/>
        <v>6432</v>
      </c>
      <c r="N9" s="15">
        <v>0</v>
      </c>
      <c r="O9" s="58">
        <f t="shared" si="1"/>
        <v>0</v>
      </c>
      <c r="P9" s="39">
        <f t="shared" si="2"/>
        <v>23</v>
      </c>
      <c r="Q9" s="40">
        <f t="shared" si="3"/>
        <v>1</v>
      </c>
      <c r="R9" s="7"/>
      <c r="S9" s="6">
        <v>1</v>
      </c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0.95833333333333337</v>
      </c>
      <c r="AD9" s="10">
        <f t="shared" si="8"/>
        <v>0.95833333333333337</v>
      </c>
      <c r="AE9" s="36">
        <f t="shared" si="6"/>
        <v>0.56310012437810952</v>
      </c>
      <c r="AF9" s="81">
        <f t="shared" si="7"/>
        <v>4</v>
      </c>
    </row>
    <row r="10" spans="1:32" ht="27" customHeight="1">
      <c r="A10" s="92">
        <v>5</v>
      </c>
      <c r="B10" s="11" t="s">
        <v>57</v>
      </c>
      <c r="C10" s="11" t="s">
        <v>112</v>
      </c>
      <c r="D10" s="52" t="s">
        <v>121</v>
      </c>
      <c r="E10" s="53" t="s">
        <v>188</v>
      </c>
      <c r="F10" s="30" t="s">
        <v>124</v>
      </c>
      <c r="G10" s="33">
        <v>1</v>
      </c>
      <c r="H10" s="35">
        <v>24</v>
      </c>
      <c r="I10" s="7">
        <v>115000</v>
      </c>
      <c r="J10" s="14">
        <v>309</v>
      </c>
      <c r="K10" s="15">
        <f>L10+5338+5669+5744+4980+3619+1932</f>
        <v>27591</v>
      </c>
      <c r="L10" s="15">
        <v>309</v>
      </c>
      <c r="M10" s="15">
        <f t="shared" si="0"/>
        <v>309</v>
      </c>
      <c r="N10" s="15">
        <v>0</v>
      </c>
      <c r="O10" s="58">
        <f t="shared" si="1"/>
        <v>0</v>
      </c>
      <c r="P10" s="39">
        <f t="shared" si="2"/>
        <v>3</v>
      </c>
      <c r="Q10" s="40">
        <f t="shared" si="3"/>
        <v>21</v>
      </c>
      <c r="R10" s="7"/>
      <c r="S10" s="6">
        <v>21</v>
      </c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0.125</v>
      </c>
      <c r="AD10" s="10">
        <f t="shared" si="8"/>
        <v>0.125</v>
      </c>
      <c r="AE10" s="36">
        <f t="shared" si="6"/>
        <v>0.56310012437810952</v>
      </c>
      <c r="AF10" s="81">
        <f t="shared" si="7"/>
        <v>5</v>
      </c>
    </row>
    <row r="11" spans="1:32" ht="27" customHeight="1">
      <c r="A11" s="92">
        <v>6</v>
      </c>
      <c r="B11" s="11" t="s">
        <v>57</v>
      </c>
      <c r="C11" s="11" t="s">
        <v>112</v>
      </c>
      <c r="D11" s="52" t="s">
        <v>422</v>
      </c>
      <c r="E11" s="53" t="s">
        <v>446</v>
      </c>
      <c r="F11" s="30" t="s">
        <v>128</v>
      </c>
      <c r="G11" s="33">
        <v>2</v>
      </c>
      <c r="H11" s="35">
        <v>24</v>
      </c>
      <c r="I11" s="7">
        <v>10000</v>
      </c>
      <c r="J11" s="14">
        <v>10342</v>
      </c>
      <c r="K11" s="15">
        <f>L11</f>
        <v>10342</v>
      </c>
      <c r="L11" s="15">
        <f>1737*2+3434*2</f>
        <v>10342</v>
      </c>
      <c r="M11" s="15">
        <f t="shared" si="0"/>
        <v>10342</v>
      </c>
      <c r="N11" s="15">
        <v>0</v>
      </c>
      <c r="O11" s="58">
        <f t="shared" si="1"/>
        <v>0</v>
      </c>
      <c r="P11" s="39">
        <f t="shared" si="2"/>
        <v>24</v>
      </c>
      <c r="Q11" s="40">
        <f t="shared" si="3"/>
        <v>0</v>
      </c>
      <c r="R11" s="7"/>
      <c r="S11" s="6"/>
      <c r="T11" s="16"/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1</v>
      </c>
      <c r="AD11" s="10">
        <f t="shared" si="8"/>
        <v>1</v>
      </c>
      <c r="AE11" s="36">
        <f t="shared" si="6"/>
        <v>0.56310012437810952</v>
      </c>
      <c r="AF11" s="81">
        <f t="shared" si="7"/>
        <v>6</v>
      </c>
    </row>
    <row r="12" spans="1:32" ht="27" customHeight="1">
      <c r="A12" s="92">
        <v>7</v>
      </c>
      <c r="B12" s="11" t="s">
        <v>57</v>
      </c>
      <c r="C12" s="34" t="s">
        <v>116</v>
      </c>
      <c r="D12" s="52" t="s">
        <v>115</v>
      </c>
      <c r="E12" s="53" t="s">
        <v>214</v>
      </c>
      <c r="F12" s="30" t="s">
        <v>235</v>
      </c>
      <c r="G12" s="12">
        <v>1</v>
      </c>
      <c r="H12" s="13">
        <v>22</v>
      </c>
      <c r="I12" s="31">
        <v>60000</v>
      </c>
      <c r="J12" s="5">
        <v>7651</v>
      </c>
      <c r="K12" s="15">
        <f>L12+7218+9738+8082+9034+9324+9374</f>
        <v>60421</v>
      </c>
      <c r="L12" s="15">
        <f>765*2+1373+2374*2</f>
        <v>7651</v>
      </c>
      <c r="M12" s="15">
        <f t="shared" si="0"/>
        <v>7651</v>
      </c>
      <c r="N12" s="15">
        <v>0</v>
      </c>
      <c r="O12" s="58">
        <f t="shared" si="1"/>
        <v>0</v>
      </c>
      <c r="P12" s="39">
        <f t="shared" si="2"/>
        <v>23</v>
      </c>
      <c r="Q12" s="40">
        <f t="shared" si="3"/>
        <v>1</v>
      </c>
      <c r="R12" s="7"/>
      <c r="S12" s="6">
        <v>1</v>
      </c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0.95833333333333337</v>
      </c>
      <c r="AD12" s="10">
        <f t="shared" si="8"/>
        <v>0.95833333333333337</v>
      </c>
      <c r="AE12" s="36">
        <f t="shared" si="6"/>
        <v>0.56310012437810952</v>
      </c>
      <c r="AF12" s="81">
        <f t="shared" si="7"/>
        <v>7</v>
      </c>
    </row>
    <row r="13" spans="1:32" ht="27" customHeight="1">
      <c r="A13" s="92">
        <v>8</v>
      </c>
      <c r="B13" s="11" t="s">
        <v>57</v>
      </c>
      <c r="C13" s="11" t="s">
        <v>127</v>
      </c>
      <c r="D13" s="52" t="s">
        <v>158</v>
      </c>
      <c r="E13" s="53" t="s">
        <v>180</v>
      </c>
      <c r="F13" s="30" t="s">
        <v>123</v>
      </c>
      <c r="G13" s="33">
        <v>1</v>
      </c>
      <c r="H13" s="35">
        <v>22</v>
      </c>
      <c r="I13" s="7">
        <v>17400</v>
      </c>
      <c r="J13" s="14">
        <v>1733</v>
      </c>
      <c r="K13" s="15">
        <f>L13+4429</f>
        <v>6162</v>
      </c>
      <c r="L13" s="15">
        <v>1733</v>
      </c>
      <c r="M13" s="15">
        <f t="shared" si="0"/>
        <v>1733</v>
      </c>
      <c r="N13" s="15">
        <v>0</v>
      </c>
      <c r="O13" s="58">
        <f t="shared" si="1"/>
        <v>0</v>
      </c>
      <c r="P13" s="39">
        <f t="shared" si="2"/>
        <v>8</v>
      </c>
      <c r="Q13" s="40">
        <f t="shared" si="3"/>
        <v>16</v>
      </c>
      <c r="R13" s="7"/>
      <c r="S13" s="6">
        <v>16</v>
      </c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0.33333333333333331</v>
      </c>
      <c r="AD13" s="10">
        <f t="shared" si="8"/>
        <v>0.33333333333333331</v>
      </c>
      <c r="AE13" s="36">
        <f t="shared" si="6"/>
        <v>0.56310012437810952</v>
      </c>
      <c r="AF13" s="81">
        <f t="shared" si="7"/>
        <v>8</v>
      </c>
    </row>
    <row r="14" spans="1:32" ht="27" customHeight="1">
      <c r="A14" s="92">
        <v>8</v>
      </c>
      <c r="B14" s="11" t="s">
        <v>57</v>
      </c>
      <c r="C14" s="11" t="s">
        <v>127</v>
      </c>
      <c r="D14" s="52" t="s">
        <v>209</v>
      </c>
      <c r="E14" s="53" t="s">
        <v>180</v>
      </c>
      <c r="F14" s="30" t="s">
        <v>123</v>
      </c>
      <c r="G14" s="33">
        <v>1</v>
      </c>
      <c r="H14" s="35">
        <v>22</v>
      </c>
      <c r="I14" s="7">
        <v>17400</v>
      </c>
      <c r="J14" s="14">
        <v>2074</v>
      </c>
      <c r="K14" s="15">
        <f>L14</f>
        <v>2074</v>
      </c>
      <c r="L14" s="15">
        <f>2074</f>
        <v>2074</v>
      </c>
      <c r="M14" s="15">
        <f t="shared" ref="M14" si="9">L14-N14</f>
        <v>2074</v>
      </c>
      <c r="N14" s="15">
        <v>0</v>
      </c>
      <c r="O14" s="58">
        <f t="shared" ref="O14" si="10">IF(L14=0,"0",N14/L14)</f>
        <v>0</v>
      </c>
      <c r="P14" s="39">
        <f t="shared" ref="P14" si="11">IF(L14=0,"0",(24-Q14))</f>
        <v>13</v>
      </c>
      <c r="Q14" s="40">
        <f t="shared" ref="Q14" si="12">SUM(R14:AA14)</f>
        <v>11</v>
      </c>
      <c r="R14" s="7"/>
      <c r="S14" s="6">
        <v>11</v>
      </c>
      <c r="T14" s="16"/>
      <c r="U14" s="16"/>
      <c r="V14" s="17"/>
      <c r="W14" s="5"/>
      <c r="X14" s="16"/>
      <c r="Y14" s="16"/>
      <c r="Z14" s="16"/>
      <c r="AA14" s="18"/>
      <c r="AB14" s="8">
        <f t="shared" ref="AB14" si="13">IF(J14=0,"0",(L14/J14))</f>
        <v>1</v>
      </c>
      <c r="AC14" s="9">
        <f t="shared" ref="AC14" si="14">IF(P14=0,"0",(P14/24))</f>
        <v>0.54166666666666663</v>
      </c>
      <c r="AD14" s="10">
        <f t="shared" ref="AD14" si="15">AC14*AB14*(1-O14)</f>
        <v>0.54166666666666663</v>
      </c>
      <c r="AE14" s="36">
        <f t="shared" si="6"/>
        <v>0.56310012437810952</v>
      </c>
      <c r="AF14" s="81">
        <f t="shared" ref="AF14" si="16">A14</f>
        <v>8</v>
      </c>
    </row>
    <row r="15" spans="1:32" ht="27" customHeight="1">
      <c r="A15" s="99">
        <v>9</v>
      </c>
      <c r="B15" s="11" t="s">
        <v>57</v>
      </c>
      <c r="C15" s="34" t="s">
        <v>112</v>
      </c>
      <c r="D15" s="52" t="s">
        <v>115</v>
      </c>
      <c r="E15" s="53" t="s">
        <v>165</v>
      </c>
      <c r="F15" s="30" t="s">
        <v>167</v>
      </c>
      <c r="G15" s="33">
        <v>1</v>
      </c>
      <c r="H15" s="35">
        <v>50</v>
      </c>
      <c r="I15" s="7">
        <v>300</v>
      </c>
      <c r="J15" s="5">
        <v>391</v>
      </c>
      <c r="K15" s="15">
        <f>L15+300</f>
        <v>300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/>
      <c r="T15" s="16"/>
      <c r="U15" s="16"/>
      <c r="V15" s="17"/>
      <c r="W15" s="5"/>
      <c r="X15" s="16"/>
      <c r="Y15" s="16"/>
      <c r="Z15" s="16"/>
      <c r="AA15" s="18">
        <v>24</v>
      </c>
      <c r="AB15" s="8">
        <f t="shared" si="4"/>
        <v>0</v>
      </c>
      <c r="AC15" s="9">
        <f t="shared" si="5"/>
        <v>0</v>
      </c>
      <c r="AD15" s="10">
        <f t="shared" si="8"/>
        <v>0</v>
      </c>
      <c r="AE15" s="36">
        <f t="shared" si="6"/>
        <v>0.56310012437810952</v>
      </c>
      <c r="AF15" s="81">
        <f t="shared" si="7"/>
        <v>9</v>
      </c>
    </row>
    <row r="16" spans="1:32" ht="27" customHeight="1">
      <c r="A16" s="106">
        <v>10</v>
      </c>
      <c r="B16" s="11" t="s">
        <v>57</v>
      </c>
      <c r="C16" s="34" t="s">
        <v>127</v>
      </c>
      <c r="D16" s="52" t="s">
        <v>313</v>
      </c>
      <c r="E16" s="53" t="s">
        <v>324</v>
      </c>
      <c r="F16" s="30" t="s">
        <v>325</v>
      </c>
      <c r="G16" s="12">
        <v>4</v>
      </c>
      <c r="H16" s="13">
        <v>24</v>
      </c>
      <c r="I16" s="31">
        <v>200000</v>
      </c>
      <c r="J16" s="14">
        <v>34276</v>
      </c>
      <c r="K16" s="15">
        <f>L16+34980+32440+20828</f>
        <v>122524</v>
      </c>
      <c r="L16" s="15">
        <f>5166*4+3403*4</f>
        <v>34276</v>
      </c>
      <c r="M16" s="15">
        <f t="shared" si="0"/>
        <v>34276</v>
      </c>
      <c r="N16" s="15">
        <v>0</v>
      </c>
      <c r="O16" s="58">
        <f t="shared" si="1"/>
        <v>0</v>
      </c>
      <c r="P16" s="39">
        <f t="shared" si="2"/>
        <v>23</v>
      </c>
      <c r="Q16" s="40">
        <f t="shared" si="3"/>
        <v>1</v>
      </c>
      <c r="R16" s="7"/>
      <c r="S16" s="6">
        <v>1</v>
      </c>
      <c r="T16" s="16"/>
      <c r="U16" s="16"/>
      <c r="V16" s="17"/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0.95833333333333337</v>
      </c>
      <c r="AD16" s="10">
        <f t="shared" si="8"/>
        <v>0.95833333333333337</v>
      </c>
      <c r="AE16" s="36">
        <f t="shared" si="6"/>
        <v>0.56310012437810952</v>
      </c>
      <c r="AF16" s="81">
        <f t="shared" si="7"/>
        <v>10</v>
      </c>
    </row>
    <row r="17" spans="1:32" ht="27" customHeight="1">
      <c r="A17" s="106">
        <v>11</v>
      </c>
      <c r="B17" s="11" t="s">
        <v>57</v>
      </c>
      <c r="C17" s="34" t="s">
        <v>112</v>
      </c>
      <c r="D17" s="52" t="s">
        <v>121</v>
      </c>
      <c r="E17" s="53" t="s">
        <v>384</v>
      </c>
      <c r="F17" s="30" t="s">
        <v>128</v>
      </c>
      <c r="G17" s="12">
        <v>1</v>
      </c>
      <c r="H17" s="13">
        <v>24</v>
      </c>
      <c r="I17" s="7">
        <v>5000</v>
      </c>
      <c r="J17" s="14">
        <v>2144</v>
      </c>
      <c r="K17" s="15">
        <f>L17+5034</f>
        <v>7148</v>
      </c>
      <c r="L17" s="15">
        <v>2114</v>
      </c>
      <c r="M17" s="15">
        <f t="shared" si="0"/>
        <v>2114</v>
      </c>
      <c r="N17" s="15">
        <v>0</v>
      </c>
      <c r="O17" s="58">
        <f t="shared" si="1"/>
        <v>0</v>
      </c>
      <c r="P17" s="39">
        <f t="shared" si="2"/>
        <v>10</v>
      </c>
      <c r="Q17" s="40">
        <f t="shared" si="3"/>
        <v>14</v>
      </c>
      <c r="R17" s="7"/>
      <c r="S17" s="6"/>
      <c r="T17" s="16"/>
      <c r="U17" s="16"/>
      <c r="V17" s="17"/>
      <c r="W17" s="5">
        <v>14</v>
      </c>
      <c r="X17" s="16"/>
      <c r="Y17" s="16"/>
      <c r="Z17" s="16"/>
      <c r="AA17" s="18"/>
      <c r="AB17" s="8">
        <f t="shared" si="4"/>
        <v>0.98600746268656714</v>
      </c>
      <c r="AC17" s="9">
        <f t="shared" si="5"/>
        <v>0.41666666666666669</v>
      </c>
      <c r="AD17" s="10">
        <f t="shared" si="8"/>
        <v>0.41083644278606968</v>
      </c>
      <c r="AE17" s="36">
        <f t="shared" si="6"/>
        <v>0.56310012437810952</v>
      </c>
      <c r="AF17" s="81">
        <f t="shared" si="7"/>
        <v>11</v>
      </c>
    </row>
    <row r="18" spans="1:32" ht="27" customHeight="1">
      <c r="A18" s="106">
        <v>11</v>
      </c>
      <c r="B18" s="11" t="s">
        <v>57</v>
      </c>
      <c r="C18" s="34" t="s">
        <v>127</v>
      </c>
      <c r="D18" s="52" t="s">
        <v>158</v>
      </c>
      <c r="E18" s="53" t="s">
        <v>447</v>
      </c>
      <c r="F18" s="30" t="s">
        <v>286</v>
      </c>
      <c r="G18" s="12">
        <v>1</v>
      </c>
      <c r="H18" s="13">
        <v>24</v>
      </c>
      <c r="I18" s="7">
        <v>1000</v>
      </c>
      <c r="J18" s="14">
        <v>1183</v>
      </c>
      <c r="K18" s="15">
        <f>L18</f>
        <v>1183</v>
      </c>
      <c r="L18" s="15">
        <f>521+662</f>
        <v>1183</v>
      </c>
      <c r="M18" s="15">
        <f t="shared" ref="M18:M19" si="17">L18-N18</f>
        <v>1183</v>
      </c>
      <c r="N18" s="15">
        <v>0</v>
      </c>
      <c r="O18" s="58">
        <f t="shared" ref="O18:O19" si="18">IF(L18=0,"0",N18/L18)</f>
        <v>0</v>
      </c>
      <c r="P18" s="39">
        <f t="shared" ref="P18:P19" si="19">IF(L18=0,"0",(24-Q18))</f>
        <v>7</v>
      </c>
      <c r="Q18" s="40">
        <f t="shared" ref="Q18:Q19" si="20">SUM(R18:AA18)</f>
        <v>17</v>
      </c>
      <c r="R18" s="7"/>
      <c r="S18" s="6"/>
      <c r="T18" s="16"/>
      <c r="U18" s="16"/>
      <c r="V18" s="17"/>
      <c r="W18" s="5">
        <v>17</v>
      </c>
      <c r="X18" s="16"/>
      <c r="Y18" s="16"/>
      <c r="Z18" s="16"/>
      <c r="AA18" s="18"/>
      <c r="AB18" s="8">
        <f t="shared" ref="AB18:AB19" si="21">IF(J18=0,"0",(L18/J18))</f>
        <v>1</v>
      </c>
      <c r="AC18" s="9">
        <f t="shared" ref="AC18:AC19" si="22">IF(P18=0,"0",(P18/24))</f>
        <v>0.29166666666666669</v>
      </c>
      <c r="AD18" s="10">
        <f t="shared" ref="AD18:AD19" si="23">AC18*AB18*(1-O18)</f>
        <v>0.29166666666666669</v>
      </c>
      <c r="AE18" s="36">
        <f t="shared" si="6"/>
        <v>0.56310012437810952</v>
      </c>
      <c r="AF18" s="81">
        <f t="shared" ref="AF18:AF19" si="24">A18</f>
        <v>11</v>
      </c>
    </row>
    <row r="19" spans="1:32" ht="27" customHeight="1">
      <c r="A19" s="106">
        <v>12</v>
      </c>
      <c r="B19" s="11" t="s">
        <v>57</v>
      </c>
      <c r="C19" s="34" t="s">
        <v>127</v>
      </c>
      <c r="D19" s="52" t="s">
        <v>129</v>
      </c>
      <c r="E19" s="53" t="s">
        <v>448</v>
      </c>
      <c r="F19" s="30" t="s">
        <v>155</v>
      </c>
      <c r="G19" s="12">
        <v>3</v>
      </c>
      <c r="H19" s="13">
        <v>24</v>
      </c>
      <c r="I19" s="7">
        <v>6000</v>
      </c>
      <c r="J19" s="14">
        <v>6333</v>
      </c>
      <c r="K19" s="15">
        <f>L19</f>
        <v>6333</v>
      </c>
      <c r="L19" s="15">
        <f>2111*3</f>
        <v>6333</v>
      </c>
      <c r="M19" s="15">
        <f t="shared" si="17"/>
        <v>6333</v>
      </c>
      <c r="N19" s="15">
        <v>0</v>
      </c>
      <c r="O19" s="58">
        <f t="shared" si="18"/>
        <v>0</v>
      </c>
      <c r="P19" s="39">
        <f t="shared" si="19"/>
        <v>9</v>
      </c>
      <c r="Q19" s="40">
        <f t="shared" si="20"/>
        <v>15</v>
      </c>
      <c r="R19" s="7"/>
      <c r="S19" s="6"/>
      <c r="T19" s="16"/>
      <c r="U19" s="16"/>
      <c r="V19" s="17"/>
      <c r="W19" s="5">
        <v>15</v>
      </c>
      <c r="X19" s="16"/>
      <c r="Y19" s="16"/>
      <c r="Z19" s="16"/>
      <c r="AA19" s="18"/>
      <c r="AB19" s="8">
        <f t="shared" si="21"/>
        <v>1</v>
      </c>
      <c r="AC19" s="9">
        <f t="shared" si="22"/>
        <v>0.375</v>
      </c>
      <c r="AD19" s="10">
        <f t="shared" si="23"/>
        <v>0.375</v>
      </c>
      <c r="AE19" s="36">
        <f t="shared" si="6"/>
        <v>0.56310012437810952</v>
      </c>
      <c r="AF19" s="81">
        <f t="shared" si="24"/>
        <v>12</v>
      </c>
    </row>
    <row r="20" spans="1:32" ht="27" customHeight="1">
      <c r="A20" s="106">
        <v>12</v>
      </c>
      <c r="B20" s="11" t="s">
        <v>57</v>
      </c>
      <c r="C20" s="34" t="s">
        <v>127</v>
      </c>
      <c r="D20" s="52" t="s">
        <v>129</v>
      </c>
      <c r="E20" s="53" t="s">
        <v>402</v>
      </c>
      <c r="F20" s="30" t="s">
        <v>155</v>
      </c>
      <c r="G20" s="12">
        <v>1</v>
      </c>
      <c r="H20" s="13">
        <v>24</v>
      </c>
      <c r="I20" s="7">
        <v>1500</v>
      </c>
      <c r="J20" s="14">
        <v>1435</v>
      </c>
      <c r="K20" s="15">
        <f>L20</f>
        <v>1435</v>
      </c>
      <c r="L20" s="15">
        <v>1435</v>
      </c>
      <c r="M20" s="15">
        <f t="shared" si="0"/>
        <v>1435</v>
      </c>
      <c r="N20" s="15">
        <v>0</v>
      </c>
      <c r="O20" s="58">
        <f t="shared" si="1"/>
        <v>0</v>
      </c>
      <c r="P20" s="39">
        <f t="shared" si="2"/>
        <v>8</v>
      </c>
      <c r="Q20" s="40">
        <f t="shared" si="3"/>
        <v>16</v>
      </c>
      <c r="R20" s="7"/>
      <c r="S20" s="6">
        <v>10</v>
      </c>
      <c r="T20" s="16"/>
      <c r="U20" s="16"/>
      <c r="V20" s="17"/>
      <c r="W20" s="5">
        <v>6</v>
      </c>
      <c r="X20" s="16"/>
      <c r="Y20" s="16"/>
      <c r="Z20" s="16"/>
      <c r="AA20" s="18"/>
      <c r="AB20" s="8">
        <f t="shared" si="4"/>
        <v>1</v>
      </c>
      <c r="AC20" s="9">
        <f t="shared" si="5"/>
        <v>0.33333333333333331</v>
      </c>
      <c r="AD20" s="10">
        <f t="shared" si="8"/>
        <v>0.33333333333333331</v>
      </c>
      <c r="AE20" s="36">
        <f t="shared" si="6"/>
        <v>0.56310012437810952</v>
      </c>
      <c r="AF20" s="81">
        <f t="shared" si="7"/>
        <v>12</v>
      </c>
    </row>
    <row r="21" spans="1:32" ht="27" customHeight="1">
      <c r="A21" s="92">
        <v>13</v>
      </c>
      <c r="B21" s="11" t="s">
        <v>57</v>
      </c>
      <c r="C21" s="34" t="s">
        <v>116</v>
      </c>
      <c r="D21" s="52" t="s">
        <v>115</v>
      </c>
      <c r="E21" s="53" t="s">
        <v>198</v>
      </c>
      <c r="F21" s="30" t="s">
        <v>138</v>
      </c>
      <c r="G21" s="12">
        <v>2</v>
      </c>
      <c r="H21" s="13">
        <v>22</v>
      </c>
      <c r="I21" s="31">
        <v>90000</v>
      </c>
      <c r="J21" s="5">
        <v>12156</v>
      </c>
      <c r="K21" s="15">
        <f>L21+9112+12392+12128+9906+11662+11012</f>
        <v>78368</v>
      </c>
      <c r="L21" s="15">
        <f>3048*2+3030*2</f>
        <v>12156</v>
      </c>
      <c r="M21" s="15">
        <f t="shared" si="0"/>
        <v>12156</v>
      </c>
      <c r="N21" s="15">
        <v>0</v>
      </c>
      <c r="O21" s="58">
        <f t="shared" si="1"/>
        <v>0</v>
      </c>
      <c r="P21" s="39">
        <f t="shared" si="2"/>
        <v>24</v>
      </c>
      <c r="Q21" s="40">
        <f t="shared" si="3"/>
        <v>0</v>
      </c>
      <c r="R21" s="7"/>
      <c r="S21" s="6"/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1</v>
      </c>
      <c r="AD21" s="10">
        <f t="shared" si="8"/>
        <v>1</v>
      </c>
      <c r="AE21" s="36">
        <f t="shared" si="6"/>
        <v>0.56310012437810952</v>
      </c>
      <c r="AF21" s="81">
        <f t="shared" si="7"/>
        <v>13</v>
      </c>
    </row>
    <row r="22" spans="1:32" ht="27" customHeight="1">
      <c r="A22" s="92">
        <v>14</v>
      </c>
      <c r="B22" s="11" t="s">
        <v>57</v>
      </c>
      <c r="C22" s="11" t="s">
        <v>112</v>
      </c>
      <c r="D22" s="52" t="s">
        <v>287</v>
      </c>
      <c r="E22" s="53" t="s">
        <v>360</v>
      </c>
      <c r="F22" s="30" t="s">
        <v>124</v>
      </c>
      <c r="G22" s="33">
        <v>4</v>
      </c>
      <c r="H22" s="35">
        <v>24</v>
      </c>
      <c r="I22" s="7">
        <v>5000</v>
      </c>
      <c r="J22" s="14">
        <v>21000</v>
      </c>
      <c r="K22" s="15">
        <f>L22</f>
        <v>21000</v>
      </c>
      <c r="L22" s="15">
        <f>2372*4+2878*4</f>
        <v>21000</v>
      </c>
      <c r="M22" s="15">
        <f t="shared" si="0"/>
        <v>21000</v>
      </c>
      <c r="N22" s="15">
        <v>0</v>
      </c>
      <c r="O22" s="58">
        <f t="shared" si="1"/>
        <v>0</v>
      </c>
      <c r="P22" s="39">
        <f t="shared" si="2"/>
        <v>24</v>
      </c>
      <c r="Q22" s="40">
        <f t="shared" si="3"/>
        <v>0</v>
      </c>
      <c r="R22" s="7"/>
      <c r="S22" s="6"/>
      <c r="T22" s="16"/>
      <c r="U22" s="16"/>
      <c r="V22" s="17"/>
      <c r="W22" s="5"/>
      <c r="X22" s="16"/>
      <c r="Y22" s="16"/>
      <c r="Z22" s="16"/>
      <c r="AA22" s="18"/>
      <c r="AB22" s="8">
        <f t="shared" si="4"/>
        <v>1</v>
      </c>
      <c r="AC22" s="9">
        <f t="shared" si="5"/>
        <v>1</v>
      </c>
      <c r="AD22" s="10">
        <f t="shared" si="8"/>
        <v>1</v>
      </c>
      <c r="AE22" s="36">
        <f t="shared" si="6"/>
        <v>0.56310012437810952</v>
      </c>
      <c r="AF22" s="81">
        <f t="shared" si="7"/>
        <v>14</v>
      </c>
    </row>
    <row r="23" spans="1:32" ht="27" customHeight="1">
      <c r="A23" s="106">
        <v>15</v>
      </c>
      <c r="B23" s="11" t="s">
        <v>57</v>
      </c>
      <c r="C23" s="11" t="s">
        <v>112</v>
      </c>
      <c r="D23" s="52" t="s">
        <v>115</v>
      </c>
      <c r="E23" s="53" t="s">
        <v>148</v>
      </c>
      <c r="F23" s="30" t="s">
        <v>138</v>
      </c>
      <c r="G23" s="33">
        <v>2</v>
      </c>
      <c r="H23" s="35">
        <v>24</v>
      </c>
      <c r="I23" s="7">
        <v>190000</v>
      </c>
      <c r="J23" s="14">
        <v>8600</v>
      </c>
      <c r="K23" s="15">
        <f>L23+2429+7472+8688+7444+11036+10988+11010+10896+8170+1188+8544</f>
        <v>96465</v>
      </c>
      <c r="L23" s="15">
        <f>2061*2+2239*2</f>
        <v>8600</v>
      </c>
      <c r="M23" s="15">
        <f t="shared" si="0"/>
        <v>8600</v>
      </c>
      <c r="N23" s="15">
        <v>0</v>
      </c>
      <c r="O23" s="58">
        <f t="shared" si="1"/>
        <v>0</v>
      </c>
      <c r="P23" s="39">
        <f t="shared" si="2"/>
        <v>21</v>
      </c>
      <c r="Q23" s="40">
        <f t="shared" si="3"/>
        <v>3</v>
      </c>
      <c r="R23" s="7"/>
      <c r="S23" s="6">
        <v>3</v>
      </c>
      <c r="T23" s="16"/>
      <c r="U23" s="16"/>
      <c r="V23" s="17"/>
      <c r="W23" s="5"/>
      <c r="X23" s="16"/>
      <c r="Y23" s="16"/>
      <c r="Z23" s="16"/>
      <c r="AA23" s="18"/>
      <c r="AB23" s="8">
        <f t="shared" si="4"/>
        <v>1</v>
      </c>
      <c r="AC23" s="9">
        <f t="shared" si="5"/>
        <v>0.875</v>
      </c>
      <c r="AD23" s="10">
        <f t="shared" si="8"/>
        <v>0.875</v>
      </c>
      <c r="AE23" s="36">
        <f t="shared" si="6"/>
        <v>0.56310012437810952</v>
      </c>
      <c r="AF23" s="81">
        <f t="shared" si="7"/>
        <v>15</v>
      </c>
    </row>
    <row r="24" spans="1:32" ht="26.25" customHeight="1">
      <c r="A24" s="92">
        <v>16</v>
      </c>
      <c r="B24" s="11" t="s">
        <v>57</v>
      </c>
      <c r="C24" s="11" t="s">
        <v>113</v>
      </c>
      <c r="D24" s="52"/>
      <c r="E24" s="53" t="s">
        <v>160</v>
      </c>
      <c r="F24" s="12" t="s">
        <v>114</v>
      </c>
      <c r="G24" s="12">
        <v>4</v>
      </c>
      <c r="H24" s="35">
        <v>20</v>
      </c>
      <c r="I24" s="7">
        <v>2000000</v>
      </c>
      <c r="J24" s="14">
        <v>64136</v>
      </c>
      <c r="K24" s="15">
        <f>L24+29876+62940+54476+54396+57856+63452</f>
        <v>387132</v>
      </c>
      <c r="L24" s="15">
        <f>7974*4+8060*4</f>
        <v>64136</v>
      </c>
      <c r="M24" s="15">
        <f t="shared" si="0"/>
        <v>64136</v>
      </c>
      <c r="N24" s="15">
        <v>0</v>
      </c>
      <c r="O24" s="58">
        <f t="shared" si="1"/>
        <v>0</v>
      </c>
      <c r="P24" s="39">
        <f t="shared" si="2"/>
        <v>24</v>
      </c>
      <c r="Q24" s="40">
        <f t="shared" si="3"/>
        <v>0</v>
      </c>
      <c r="R24" s="7"/>
      <c r="S24" s="6"/>
      <c r="T24" s="16"/>
      <c r="U24" s="16"/>
      <c r="V24" s="17"/>
      <c r="W24" s="5"/>
      <c r="X24" s="16"/>
      <c r="Y24" s="16"/>
      <c r="Z24" s="16"/>
      <c r="AA24" s="18"/>
      <c r="AB24" s="8">
        <f t="shared" si="4"/>
        <v>1</v>
      </c>
      <c r="AC24" s="9">
        <f t="shared" si="5"/>
        <v>1</v>
      </c>
      <c r="AD24" s="10">
        <f t="shared" si="8"/>
        <v>1</v>
      </c>
      <c r="AE24" s="36">
        <f t="shared" si="6"/>
        <v>0.56310012437810952</v>
      </c>
      <c r="AF24" s="81">
        <f t="shared" si="7"/>
        <v>16</v>
      </c>
    </row>
    <row r="25" spans="1:32" ht="21.75" customHeight="1">
      <c r="A25" s="92">
        <v>31</v>
      </c>
      <c r="B25" s="11" t="s">
        <v>57</v>
      </c>
      <c r="C25" s="11" t="s">
        <v>191</v>
      </c>
      <c r="D25" s="52"/>
      <c r="E25" s="53" t="s">
        <v>192</v>
      </c>
      <c r="F25" s="12" t="s">
        <v>193</v>
      </c>
      <c r="G25" s="12">
        <v>30</v>
      </c>
      <c r="H25" s="35">
        <v>20</v>
      </c>
      <c r="I25" s="7">
        <v>2000000</v>
      </c>
      <c r="J25" s="14">
        <v>310470</v>
      </c>
      <c r="K25" s="15">
        <f>L25+353460+498300+465060+421290+492180+498630</f>
        <v>3039390</v>
      </c>
      <c r="L25" s="15">
        <f>9409*30+940*30</f>
        <v>310470</v>
      </c>
      <c r="M25" s="15">
        <f t="shared" si="0"/>
        <v>310470</v>
      </c>
      <c r="N25" s="15">
        <v>0</v>
      </c>
      <c r="O25" s="58">
        <f t="shared" si="1"/>
        <v>0</v>
      </c>
      <c r="P25" s="39">
        <f t="shared" si="2"/>
        <v>15</v>
      </c>
      <c r="Q25" s="40">
        <f t="shared" si="3"/>
        <v>9</v>
      </c>
      <c r="R25" s="7"/>
      <c r="S25" s="6"/>
      <c r="T25" s="16"/>
      <c r="U25" s="16"/>
      <c r="V25" s="17"/>
      <c r="W25" s="5">
        <v>9</v>
      </c>
      <c r="X25" s="16"/>
      <c r="Y25" s="16"/>
      <c r="Z25" s="16"/>
      <c r="AA25" s="18"/>
      <c r="AB25" s="8">
        <f t="shared" si="4"/>
        <v>1</v>
      </c>
      <c r="AC25" s="9">
        <f t="shared" si="5"/>
        <v>0.625</v>
      </c>
      <c r="AD25" s="10">
        <f t="shared" si="8"/>
        <v>0.625</v>
      </c>
      <c r="AE25" s="36">
        <f t="shared" si="6"/>
        <v>0.56310012437810952</v>
      </c>
      <c r="AF25" s="81">
        <f t="shared" si="7"/>
        <v>31</v>
      </c>
    </row>
    <row r="26" spans="1:32" ht="21.75" customHeight="1">
      <c r="A26" s="92">
        <v>32</v>
      </c>
      <c r="B26" s="11" t="s">
        <v>57</v>
      </c>
      <c r="C26" s="11"/>
      <c r="D26" s="52"/>
      <c r="E26" s="53"/>
      <c r="F26" s="12"/>
      <c r="G26" s="12"/>
      <c r="H26" s="35">
        <v>20</v>
      </c>
      <c r="I26" s="7"/>
      <c r="J26" s="14">
        <v>0</v>
      </c>
      <c r="K26" s="15">
        <f t="shared" ref="K26" si="25">L26</f>
        <v>0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24</v>
      </c>
      <c r="R26" s="7"/>
      <c r="S26" s="6"/>
      <c r="T26" s="16"/>
      <c r="U26" s="16"/>
      <c r="V26" s="17"/>
      <c r="W26" s="5">
        <v>24</v>
      </c>
      <c r="X26" s="16"/>
      <c r="Y26" s="16"/>
      <c r="Z26" s="16"/>
      <c r="AA26" s="18"/>
      <c r="AB26" s="8" t="str">
        <f t="shared" si="4"/>
        <v>0</v>
      </c>
      <c r="AC26" s="9">
        <f t="shared" si="5"/>
        <v>0</v>
      </c>
      <c r="AD26" s="10">
        <f t="shared" si="8"/>
        <v>0</v>
      </c>
      <c r="AE26" s="36">
        <f t="shared" si="6"/>
        <v>0.56310012437810952</v>
      </c>
      <c r="AF26" s="81">
        <f t="shared" si="7"/>
        <v>32</v>
      </c>
    </row>
    <row r="27" spans="1:32" ht="21.75" customHeight="1">
      <c r="A27" s="92">
        <v>33</v>
      </c>
      <c r="B27" s="11" t="s">
        <v>57</v>
      </c>
      <c r="C27" s="11" t="s">
        <v>116</v>
      </c>
      <c r="D27" s="52" t="s">
        <v>147</v>
      </c>
      <c r="E27" s="53" t="s">
        <v>183</v>
      </c>
      <c r="F27" s="12" t="s">
        <v>124</v>
      </c>
      <c r="G27" s="12">
        <v>4</v>
      </c>
      <c r="H27" s="35">
        <v>20</v>
      </c>
      <c r="I27" s="7">
        <v>36000</v>
      </c>
      <c r="J27" s="14">
        <v>31996</v>
      </c>
      <c r="K27" s="15">
        <f>L27+20368+29324+31996</f>
        <v>81688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24</v>
      </c>
      <c r="R27" s="7"/>
      <c r="S27" s="6"/>
      <c r="T27" s="16"/>
      <c r="U27" s="16"/>
      <c r="V27" s="114"/>
      <c r="W27" s="5">
        <v>24</v>
      </c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8"/>
        <v>0</v>
      </c>
      <c r="AE27" s="36">
        <f t="shared" si="6"/>
        <v>0.56310012437810952</v>
      </c>
      <c r="AF27" s="81">
        <f t="shared" si="7"/>
        <v>33</v>
      </c>
    </row>
    <row r="28" spans="1:32" ht="21.75" customHeight="1">
      <c r="A28" s="92">
        <v>34</v>
      </c>
      <c r="B28" s="11" t="s">
        <v>57</v>
      </c>
      <c r="C28" s="11" t="s">
        <v>116</v>
      </c>
      <c r="D28" s="52" t="s">
        <v>129</v>
      </c>
      <c r="E28" s="53" t="s">
        <v>172</v>
      </c>
      <c r="F28" s="12" t="s">
        <v>125</v>
      </c>
      <c r="G28" s="12">
        <v>4</v>
      </c>
      <c r="H28" s="35">
        <v>20</v>
      </c>
      <c r="I28" s="7">
        <v>36000</v>
      </c>
      <c r="J28" s="14">
        <v>28802</v>
      </c>
      <c r="K28" s="15">
        <f>L28+13760+25860+25496+28600+28802</f>
        <v>122518</v>
      </c>
      <c r="L28" s="15"/>
      <c r="M28" s="15">
        <f t="shared" si="0"/>
        <v>0</v>
      </c>
      <c r="N28" s="15">
        <v>0</v>
      </c>
      <c r="O28" s="58" t="str">
        <f t="shared" si="1"/>
        <v>0</v>
      </c>
      <c r="P28" s="39" t="str">
        <f t="shared" si="2"/>
        <v>0</v>
      </c>
      <c r="Q28" s="40">
        <f t="shared" si="3"/>
        <v>24</v>
      </c>
      <c r="R28" s="7"/>
      <c r="S28" s="6"/>
      <c r="T28" s="16"/>
      <c r="U28" s="16"/>
      <c r="V28" s="114"/>
      <c r="W28" s="5">
        <v>24</v>
      </c>
      <c r="X28" s="16"/>
      <c r="Y28" s="16"/>
      <c r="Z28" s="16"/>
      <c r="AA28" s="18"/>
      <c r="AB28" s="8">
        <f t="shared" si="4"/>
        <v>0</v>
      </c>
      <c r="AC28" s="9">
        <f t="shared" si="5"/>
        <v>0</v>
      </c>
      <c r="AD28" s="10">
        <f t="shared" si="8"/>
        <v>0</v>
      </c>
      <c r="AE28" s="36">
        <f t="shared" si="6"/>
        <v>0.56310012437810952</v>
      </c>
      <c r="AF28" s="81">
        <f t="shared" si="7"/>
        <v>34</v>
      </c>
    </row>
    <row r="29" spans="1:32" ht="21.75" customHeight="1">
      <c r="A29" s="92">
        <v>35</v>
      </c>
      <c r="B29" s="11" t="s">
        <v>57</v>
      </c>
      <c r="C29" s="11" t="s">
        <v>116</v>
      </c>
      <c r="D29" s="52" t="s">
        <v>121</v>
      </c>
      <c r="E29" s="53" t="s">
        <v>126</v>
      </c>
      <c r="F29" s="12" t="s">
        <v>125</v>
      </c>
      <c r="G29" s="12">
        <v>4</v>
      </c>
      <c r="H29" s="35">
        <v>20</v>
      </c>
      <c r="I29" s="7">
        <v>36000</v>
      </c>
      <c r="J29" s="14">
        <v>26944</v>
      </c>
      <c r="K29" s="15">
        <f>L29+24592+26944+21716</f>
        <v>73252</v>
      </c>
      <c r="L29" s="15"/>
      <c r="M29" s="15">
        <f t="shared" si="0"/>
        <v>0</v>
      </c>
      <c r="N29" s="15">
        <v>0</v>
      </c>
      <c r="O29" s="58" t="str">
        <f t="shared" si="1"/>
        <v>0</v>
      </c>
      <c r="P29" s="39" t="str">
        <f t="shared" si="2"/>
        <v>0</v>
      </c>
      <c r="Q29" s="40">
        <f t="shared" si="3"/>
        <v>24</v>
      </c>
      <c r="R29" s="7"/>
      <c r="S29" s="6"/>
      <c r="T29" s="16"/>
      <c r="U29" s="16"/>
      <c r="V29" s="114"/>
      <c r="W29" s="5">
        <v>24</v>
      </c>
      <c r="X29" s="16"/>
      <c r="Y29" s="16"/>
      <c r="Z29" s="16"/>
      <c r="AA29" s="18"/>
      <c r="AB29" s="8">
        <f t="shared" si="4"/>
        <v>0</v>
      </c>
      <c r="AC29" s="9">
        <f t="shared" si="5"/>
        <v>0</v>
      </c>
      <c r="AD29" s="10">
        <f t="shared" si="8"/>
        <v>0</v>
      </c>
      <c r="AE29" s="36">
        <f t="shared" si="6"/>
        <v>0.56310012437810952</v>
      </c>
      <c r="AF29" s="81">
        <f t="shared" si="7"/>
        <v>35</v>
      </c>
    </row>
    <row r="30" spans="1:32" ht="21.75" customHeight="1" thickBot="1">
      <c r="A30" s="92">
        <v>36</v>
      </c>
      <c r="B30" s="11" t="s">
        <v>57</v>
      </c>
      <c r="C30" s="11" t="s">
        <v>113</v>
      </c>
      <c r="D30" s="52"/>
      <c r="E30" s="53" t="s">
        <v>182</v>
      </c>
      <c r="F30" s="12" t="s">
        <v>114</v>
      </c>
      <c r="G30" s="12">
        <v>4</v>
      </c>
      <c r="H30" s="35">
        <v>20</v>
      </c>
      <c r="I30" s="7">
        <v>1000000</v>
      </c>
      <c r="J30" s="14">
        <v>28388</v>
      </c>
      <c r="K30" s="15">
        <f>L30</f>
        <v>28388</v>
      </c>
      <c r="L30" s="15">
        <f>7097*4</f>
        <v>28388</v>
      </c>
      <c r="M30" s="15">
        <f t="shared" si="0"/>
        <v>28388</v>
      </c>
      <c r="N30" s="15">
        <v>0</v>
      </c>
      <c r="O30" s="58">
        <f t="shared" si="1"/>
        <v>0</v>
      </c>
      <c r="P30" s="39">
        <f t="shared" si="2"/>
        <v>14</v>
      </c>
      <c r="Q30" s="40">
        <f t="shared" si="3"/>
        <v>10</v>
      </c>
      <c r="R30" s="7"/>
      <c r="S30" s="6"/>
      <c r="T30" s="16">
        <v>10</v>
      </c>
      <c r="U30" s="16"/>
      <c r="V30" s="114"/>
      <c r="W30" s="5"/>
      <c r="X30" s="16"/>
      <c r="Y30" s="16"/>
      <c r="Z30" s="16"/>
      <c r="AA30" s="18"/>
      <c r="AB30" s="8">
        <f t="shared" si="4"/>
        <v>1</v>
      </c>
      <c r="AC30" s="9">
        <f t="shared" si="5"/>
        <v>0.58333333333333337</v>
      </c>
      <c r="AD30" s="10">
        <f t="shared" si="8"/>
        <v>0.58333333333333337</v>
      </c>
      <c r="AE30" s="36">
        <f t="shared" si="6"/>
        <v>0.56310012437810952</v>
      </c>
      <c r="AF30" s="81">
        <f t="shared" si="7"/>
        <v>36</v>
      </c>
    </row>
    <row r="31" spans="1:32" ht="19.5" thickBot="1">
      <c r="A31" s="435" t="s">
        <v>34</v>
      </c>
      <c r="B31" s="436"/>
      <c r="C31" s="436"/>
      <c r="D31" s="436"/>
      <c r="E31" s="436"/>
      <c r="F31" s="436"/>
      <c r="G31" s="436"/>
      <c r="H31" s="437"/>
      <c r="I31" s="22">
        <f t="shared" ref="I31:N31" si="26">SUM(I6:I30)</f>
        <v>6091800</v>
      </c>
      <c r="J31" s="19">
        <f t="shared" si="26"/>
        <v>625972</v>
      </c>
      <c r="K31" s="20">
        <f t="shared" si="26"/>
        <v>4370351</v>
      </c>
      <c r="L31" s="21">
        <f t="shared" si="26"/>
        <v>537809</v>
      </c>
      <c r="M31" s="20">
        <f t="shared" si="26"/>
        <v>537809</v>
      </c>
      <c r="N31" s="21">
        <f t="shared" si="26"/>
        <v>0</v>
      </c>
      <c r="O31" s="41">
        <f t="shared" si="1"/>
        <v>0</v>
      </c>
      <c r="P31" s="42">
        <f t="shared" ref="P31:AA31" si="27">SUM(P6:P30)</f>
        <v>338</v>
      </c>
      <c r="Q31" s="43">
        <f t="shared" si="27"/>
        <v>262</v>
      </c>
      <c r="R31" s="23">
        <f t="shared" si="27"/>
        <v>0</v>
      </c>
      <c r="S31" s="24">
        <f t="shared" si="27"/>
        <v>69</v>
      </c>
      <c r="T31" s="24">
        <f t="shared" si="27"/>
        <v>10</v>
      </c>
      <c r="U31" s="24">
        <f t="shared" si="27"/>
        <v>0</v>
      </c>
      <c r="V31" s="25">
        <f t="shared" si="27"/>
        <v>0</v>
      </c>
      <c r="W31" s="26">
        <f t="shared" si="27"/>
        <v>157</v>
      </c>
      <c r="X31" s="27">
        <f t="shared" si="27"/>
        <v>0</v>
      </c>
      <c r="Y31" s="27">
        <f t="shared" si="27"/>
        <v>0</v>
      </c>
      <c r="Z31" s="27">
        <f t="shared" si="27"/>
        <v>0</v>
      </c>
      <c r="AA31" s="27">
        <f t="shared" si="27"/>
        <v>26</v>
      </c>
      <c r="AB31" s="28">
        <f>AVERAGE(AB6:AB30)</f>
        <v>0.83275031094527352</v>
      </c>
      <c r="AC31" s="4">
        <f>AVERAGE(AC6:AC30)</f>
        <v>0.56333333333333335</v>
      </c>
      <c r="AD31" s="4">
        <f>AVERAGE(AD6:AD30)</f>
        <v>0.56310012437810952</v>
      </c>
      <c r="AE31" s="29"/>
    </row>
    <row r="32" spans="1:32">
      <c r="T32" s="50" t="s">
        <v>130</v>
      </c>
    </row>
    <row r="33" spans="1:32" ht="18.75">
      <c r="A33" s="2"/>
      <c r="B33" s="2" t="s">
        <v>35</v>
      </c>
      <c r="C33" s="2"/>
      <c r="D33" s="2"/>
      <c r="E33" s="2"/>
      <c r="F33" s="2"/>
      <c r="G33" s="2"/>
      <c r="H33" s="3"/>
      <c r="I33" s="3"/>
      <c r="J33" s="2"/>
      <c r="K33" s="2"/>
      <c r="L33" s="2"/>
      <c r="M33" s="2"/>
      <c r="N33" s="2" t="s">
        <v>36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1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 t="s">
        <v>131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</row>
    <row r="41" spans="1:32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</row>
    <row r="42" spans="1:3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82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14.2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F45" s="50"/>
    </row>
    <row r="46" spans="1:32" ht="14.2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F46" s="50"/>
    </row>
    <row r="47" spans="1:32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50"/>
    </row>
    <row r="48" spans="1:32" ht="27">
      <c r="A48" s="59"/>
      <c r="B48" s="59"/>
      <c r="C48" s="59"/>
      <c r="D48" s="59"/>
      <c r="E48" s="59"/>
      <c r="F48" s="37"/>
      <c r="G48" s="37"/>
      <c r="H48" s="38"/>
      <c r="I48" s="38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F48" s="50"/>
    </row>
    <row r="49" spans="1:32" ht="29.25" customHeight="1">
      <c r="A49" s="60"/>
      <c r="B49" s="60"/>
      <c r="C49" s="61"/>
      <c r="D49" s="61"/>
      <c r="E49" s="61"/>
      <c r="F49" s="60"/>
      <c r="G49" s="60"/>
      <c r="H49" s="60"/>
      <c r="I49" s="60"/>
      <c r="J49" s="60"/>
      <c r="K49" s="60"/>
      <c r="L49" s="60"/>
      <c r="M49" s="61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29.25" customHeight="1">
      <c r="A54" s="60"/>
      <c r="B54" s="60"/>
      <c r="C54" s="62"/>
      <c r="D54" s="61"/>
      <c r="E54" s="61"/>
      <c r="F54" s="60"/>
      <c r="G54" s="60"/>
      <c r="H54" s="60"/>
      <c r="I54" s="60"/>
      <c r="J54" s="60"/>
      <c r="K54" s="60"/>
      <c r="L54" s="60"/>
      <c r="M54" s="62"/>
      <c r="N54" s="60"/>
      <c r="O54" s="60"/>
      <c r="P54" s="63"/>
      <c r="Q54" s="63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0"/>
      <c r="AC54" s="60"/>
      <c r="AD54" s="60"/>
      <c r="AF54" s="50"/>
    </row>
    <row r="55" spans="1:32" ht="29.25" customHeight="1">
      <c r="A55" s="60"/>
      <c r="B55" s="60"/>
      <c r="C55" s="62"/>
      <c r="D55" s="61"/>
      <c r="E55" s="61"/>
      <c r="F55" s="60"/>
      <c r="G55" s="60"/>
      <c r="H55" s="60"/>
      <c r="I55" s="60"/>
      <c r="J55" s="60"/>
      <c r="K55" s="60"/>
      <c r="L55" s="60"/>
      <c r="M55" s="62"/>
      <c r="N55" s="60"/>
      <c r="O55" s="60"/>
      <c r="P55" s="63"/>
      <c r="Q55" s="63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0"/>
      <c r="AC55" s="60"/>
      <c r="AD55" s="60"/>
      <c r="AF55" s="50"/>
    </row>
    <row r="56" spans="1:32" ht="29.25" customHeight="1">
      <c r="A56" s="60"/>
      <c r="B56" s="60"/>
      <c r="C56" s="62"/>
      <c r="D56" s="61"/>
      <c r="E56" s="61"/>
      <c r="F56" s="60"/>
      <c r="G56" s="60"/>
      <c r="H56" s="60"/>
      <c r="I56" s="60"/>
      <c r="J56" s="60"/>
      <c r="K56" s="60"/>
      <c r="L56" s="60"/>
      <c r="M56" s="62"/>
      <c r="N56" s="60"/>
      <c r="O56" s="60"/>
      <c r="P56" s="63"/>
      <c r="Q56" s="63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0"/>
      <c r="AC56" s="60"/>
      <c r="AD56" s="60"/>
      <c r="AF56" s="50"/>
    </row>
    <row r="57" spans="1:32" ht="14.25" customHeigh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F57" s="50"/>
    </row>
    <row r="58" spans="1:32" ht="36" thickBot="1">
      <c r="A58" s="438" t="s">
        <v>45</v>
      </c>
      <c r="B58" s="438"/>
      <c r="C58" s="438"/>
      <c r="D58" s="438"/>
      <c r="E58" s="438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F58" s="50"/>
    </row>
    <row r="59" spans="1:32" ht="26.25" thickBot="1">
      <c r="A59" s="439" t="s">
        <v>449</v>
      </c>
      <c r="B59" s="440"/>
      <c r="C59" s="440"/>
      <c r="D59" s="440"/>
      <c r="E59" s="440"/>
      <c r="F59" s="440"/>
      <c r="G59" s="440"/>
      <c r="H59" s="440"/>
      <c r="I59" s="440"/>
      <c r="J59" s="440"/>
      <c r="K59" s="440"/>
      <c r="L59" s="440"/>
      <c r="M59" s="441"/>
      <c r="N59" s="442" t="s">
        <v>456</v>
      </c>
      <c r="O59" s="443"/>
      <c r="P59" s="443"/>
      <c r="Q59" s="443"/>
      <c r="R59" s="443"/>
      <c r="S59" s="443"/>
      <c r="T59" s="443"/>
      <c r="U59" s="443"/>
      <c r="V59" s="443"/>
      <c r="W59" s="443"/>
      <c r="X59" s="443"/>
      <c r="Y59" s="443"/>
      <c r="Z59" s="443"/>
      <c r="AA59" s="443"/>
      <c r="AB59" s="443"/>
      <c r="AC59" s="443"/>
      <c r="AD59" s="444"/>
    </row>
    <row r="60" spans="1:32" ht="27" customHeight="1">
      <c r="A60" s="445" t="s">
        <v>2</v>
      </c>
      <c r="B60" s="446"/>
      <c r="C60" s="209" t="s">
        <v>46</v>
      </c>
      <c r="D60" s="209" t="s">
        <v>47</v>
      </c>
      <c r="E60" s="209" t="s">
        <v>107</v>
      </c>
      <c r="F60" s="447" t="s">
        <v>106</v>
      </c>
      <c r="G60" s="448"/>
      <c r="H60" s="448"/>
      <c r="I60" s="448"/>
      <c r="J60" s="448"/>
      <c r="K60" s="448"/>
      <c r="L60" s="448"/>
      <c r="M60" s="449"/>
      <c r="N60" s="67" t="s">
        <v>110</v>
      </c>
      <c r="O60" s="209" t="s">
        <v>46</v>
      </c>
      <c r="P60" s="447" t="s">
        <v>47</v>
      </c>
      <c r="Q60" s="450"/>
      <c r="R60" s="447" t="s">
        <v>38</v>
      </c>
      <c r="S60" s="448"/>
      <c r="T60" s="448"/>
      <c r="U60" s="450"/>
      <c r="V60" s="447" t="s">
        <v>48</v>
      </c>
      <c r="W60" s="448"/>
      <c r="X60" s="448"/>
      <c r="Y60" s="448"/>
      <c r="Z60" s="448"/>
      <c r="AA60" s="448"/>
      <c r="AB60" s="448"/>
      <c r="AC60" s="448"/>
      <c r="AD60" s="449"/>
    </row>
    <row r="61" spans="1:32" ht="27" customHeight="1">
      <c r="A61" s="429" t="s">
        <v>127</v>
      </c>
      <c r="B61" s="420"/>
      <c r="C61" s="205" t="s">
        <v>152</v>
      </c>
      <c r="D61" s="205" t="s">
        <v>450</v>
      </c>
      <c r="E61" s="205" t="s">
        <v>180</v>
      </c>
      <c r="F61" s="417" t="s">
        <v>122</v>
      </c>
      <c r="G61" s="418"/>
      <c r="H61" s="418"/>
      <c r="I61" s="418"/>
      <c r="J61" s="418"/>
      <c r="K61" s="418"/>
      <c r="L61" s="418"/>
      <c r="M61" s="419"/>
      <c r="N61" s="213" t="s">
        <v>417</v>
      </c>
      <c r="O61" s="220" t="s">
        <v>240</v>
      </c>
      <c r="P61" s="430"/>
      <c r="Q61" s="431"/>
      <c r="R61" s="430" t="s">
        <v>460</v>
      </c>
      <c r="S61" s="432"/>
      <c r="T61" s="432"/>
      <c r="U61" s="431"/>
      <c r="V61" s="417" t="s">
        <v>122</v>
      </c>
      <c r="W61" s="418"/>
      <c r="X61" s="418"/>
      <c r="Y61" s="418"/>
      <c r="Z61" s="418"/>
      <c r="AA61" s="418"/>
      <c r="AB61" s="418"/>
      <c r="AC61" s="418"/>
      <c r="AD61" s="419"/>
    </row>
    <row r="62" spans="1:32" ht="27" customHeight="1">
      <c r="A62" s="429" t="s">
        <v>127</v>
      </c>
      <c r="B62" s="420"/>
      <c r="C62" s="205" t="s">
        <v>204</v>
      </c>
      <c r="D62" s="205" t="s">
        <v>129</v>
      </c>
      <c r="E62" s="205" t="s">
        <v>357</v>
      </c>
      <c r="F62" s="417" t="s">
        <v>153</v>
      </c>
      <c r="G62" s="418"/>
      <c r="H62" s="418"/>
      <c r="I62" s="418"/>
      <c r="J62" s="418"/>
      <c r="K62" s="418"/>
      <c r="L62" s="418"/>
      <c r="M62" s="419"/>
      <c r="N62" s="208" t="s">
        <v>461</v>
      </c>
      <c r="O62" s="202" t="s">
        <v>462</v>
      </c>
      <c r="P62" s="430"/>
      <c r="Q62" s="431"/>
      <c r="R62" s="430" t="s">
        <v>463</v>
      </c>
      <c r="S62" s="432"/>
      <c r="T62" s="432"/>
      <c r="U62" s="431"/>
      <c r="V62" s="417" t="s">
        <v>122</v>
      </c>
      <c r="W62" s="418"/>
      <c r="X62" s="418"/>
      <c r="Y62" s="418"/>
      <c r="Z62" s="418"/>
      <c r="AA62" s="418"/>
      <c r="AB62" s="418"/>
      <c r="AC62" s="418"/>
      <c r="AD62" s="419"/>
    </row>
    <row r="63" spans="1:32" ht="27" customHeight="1">
      <c r="A63" s="429" t="s">
        <v>387</v>
      </c>
      <c r="B63" s="420"/>
      <c r="C63" s="205" t="s">
        <v>143</v>
      </c>
      <c r="D63" s="205" t="s">
        <v>140</v>
      </c>
      <c r="E63" s="205" t="s">
        <v>451</v>
      </c>
      <c r="F63" s="417" t="s">
        <v>122</v>
      </c>
      <c r="G63" s="418"/>
      <c r="H63" s="418"/>
      <c r="I63" s="418"/>
      <c r="J63" s="418"/>
      <c r="K63" s="418"/>
      <c r="L63" s="418"/>
      <c r="M63" s="419"/>
      <c r="N63" s="208" t="s">
        <v>116</v>
      </c>
      <c r="O63" s="202" t="s">
        <v>154</v>
      </c>
      <c r="P63" s="430" t="s">
        <v>284</v>
      </c>
      <c r="Q63" s="431"/>
      <c r="R63" s="430" t="s">
        <v>312</v>
      </c>
      <c r="S63" s="432"/>
      <c r="T63" s="432"/>
      <c r="U63" s="431"/>
      <c r="V63" s="417" t="s">
        <v>153</v>
      </c>
      <c r="W63" s="418"/>
      <c r="X63" s="418"/>
      <c r="Y63" s="418"/>
      <c r="Z63" s="418"/>
      <c r="AA63" s="418"/>
      <c r="AB63" s="418"/>
      <c r="AC63" s="418"/>
      <c r="AD63" s="419"/>
    </row>
    <row r="64" spans="1:32" ht="27" customHeight="1">
      <c r="A64" s="429" t="s">
        <v>116</v>
      </c>
      <c r="B64" s="420"/>
      <c r="C64" s="205" t="s">
        <v>154</v>
      </c>
      <c r="D64" s="205" t="s">
        <v>284</v>
      </c>
      <c r="E64" s="205" t="s">
        <v>312</v>
      </c>
      <c r="F64" s="417" t="s">
        <v>452</v>
      </c>
      <c r="G64" s="418"/>
      <c r="H64" s="418"/>
      <c r="I64" s="418"/>
      <c r="J64" s="418"/>
      <c r="K64" s="418"/>
      <c r="L64" s="418"/>
      <c r="M64" s="419"/>
      <c r="N64" s="208" t="s">
        <v>112</v>
      </c>
      <c r="O64" s="202" t="s">
        <v>150</v>
      </c>
      <c r="P64" s="430" t="s">
        <v>464</v>
      </c>
      <c r="Q64" s="431"/>
      <c r="R64" s="430" t="s">
        <v>188</v>
      </c>
      <c r="S64" s="432"/>
      <c r="T64" s="432"/>
      <c r="U64" s="431"/>
      <c r="V64" s="417" t="s">
        <v>153</v>
      </c>
      <c r="W64" s="418"/>
      <c r="X64" s="418"/>
      <c r="Y64" s="418"/>
      <c r="Z64" s="418"/>
      <c r="AA64" s="418"/>
      <c r="AB64" s="418"/>
      <c r="AC64" s="418"/>
      <c r="AD64" s="419"/>
    </row>
    <row r="65" spans="1:32" ht="27" customHeight="1">
      <c r="A65" s="429" t="s">
        <v>112</v>
      </c>
      <c r="B65" s="420"/>
      <c r="C65" s="205" t="s">
        <v>150</v>
      </c>
      <c r="D65" s="205" t="s">
        <v>121</v>
      </c>
      <c r="E65" s="205" t="s">
        <v>188</v>
      </c>
      <c r="F65" s="417" t="s">
        <v>453</v>
      </c>
      <c r="G65" s="418"/>
      <c r="H65" s="418"/>
      <c r="I65" s="418"/>
      <c r="J65" s="418"/>
      <c r="K65" s="418"/>
      <c r="L65" s="418"/>
      <c r="M65" s="419"/>
      <c r="N65" s="208" t="s">
        <v>468</v>
      </c>
      <c r="O65" s="202" t="s">
        <v>454</v>
      </c>
      <c r="P65" s="430"/>
      <c r="Q65" s="431"/>
      <c r="R65" s="430" t="s">
        <v>465</v>
      </c>
      <c r="S65" s="432"/>
      <c r="T65" s="432"/>
      <c r="U65" s="431"/>
      <c r="V65" s="417" t="s">
        <v>122</v>
      </c>
      <c r="W65" s="418"/>
      <c r="X65" s="418"/>
      <c r="Y65" s="418"/>
      <c r="Z65" s="418"/>
      <c r="AA65" s="418"/>
      <c r="AB65" s="418"/>
      <c r="AC65" s="418"/>
      <c r="AD65" s="419"/>
    </row>
    <row r="66" spans="1:32" ht="27" customHeight="1">
      <c r="A66" s="429" t="s">
        <v>112</v>
      </c>
      <c r="B66" s="420"/>
      <c r="C66" s="214" t="s">
        <v>316</v>
      </c>
      <c r="D66" s="214" t="s">
        <v>115</v>
      </c>
      <c r="E66" s="214" t="s">
        <v>148</v>
      </c>
      <c r="F66" s="417" t="s">
        <v>244</v>
      </c>
      <c r="G66" s="418"/>
      <c r="H66" s="418"/>
      <c r="I66" s="418"/>
      <c r="J66" s="418"/>
      <c r="K66" s="418"/>
      <c r="L66" s="418"/>
      <c r="M66" s="419"/>
      <c r="N66" s="208" t="s">
        <v>468</v>
      </c>
      <c r="O66" s="202" t="s">
        <v>469</v>
      </c>
      <c r="P66" s="430"/>
      <c r="Q66" s="431"/>
      <c r="R66" s="430" t="s">
        <v>466</v>
      </c>
      <c r="S66" s="432"/>
      <c r="T66" s="432"/>
      <c r="U66" s="431"/>
      <c r="V66" s="417" t="s">
        <v>122</v>
      </c>
      <c r="W66" s="418"/>
      <c r="X66" s="418"/>
      <c r="Y66" s="418"/>
      <c r="Z66" s="418"/>
      <c r="AA66" s="418"/>
      <c r="AB66" s="418"/>
      <c r="AC66" s="418"/>
      <c r="AD66" s="419"/>
    </row>
    <row r="67" spans="1:32" ht="27" customHeight="1">
      <c r="A67" s="415" t="s">
        <v>112</v>
      </c>
      <c r="B67" s="416"/>
      <c r="C67" s="217" t="s">
        <v>454</v>
      </c>
      <c r="D67" s="217" t="s">
        <v>455</v>
      </c>
      <c r="E67" s="217" t="s">
        <v>446</v>
      </c>
      <c r="F67" s="473" t="s">
        <v>122</v>
      </c>
      <c r="G67" s="474"/>
      <c r="H67" s="474"/>
      <c r="I67" s="474"/>
      <c r="J67" s="474"/>
      <c r="K67" s="474"/>
      <c r="L67" s="474"/>
      <c r="M67" s="475"/>
      <c r="N67" s="208" t="s">
        <v>468</v>
      </c>
      <c r="O67" s="202" t="s">
        <v>470</v>
      </c>
      <c r="P67" s="430"/>
      <c r="Q67" s="431"/>
      <c r="R67" s="430" t="s">
        <v>467</v>
      </c>
      <c r="S67" s="432"/>
      <c r="T67" s="432"/>
      <c r="U67" s="431"/>
      <c r="V67" s="417" t="s">
        <v>122</v>
      </c>
      <c r="W67" s="418"/>
      <c r="X67" s="418"/>
      <c r="Y67" s="418"/>
      <c r="Z67" s="418"/>
      <c r="AA67" s="418"/>
      <c r="AB67" s="418"/>
      <c r="AC67" s="418"/>
      <c r="AD67" s="419"/>
    </row>
    <row r="68" spans="1:32" ht="27" customHeight="1">
      <c r="A68" s="415" t="s">
        <v>457</v>
      </c>
      <c r="B68" s="416"/>
      <c r="C68" s="204" t="s">
        <v>458</v>
      </c>
      <c r="D68" s="204"/>
      <c r="E68" s="204" t="s">
        <v>459</v>
      </c>
      <c r="F68" s="473" t="s">
        <v>122</v>
      </c>
      <c r="G68" s="474"/>
      <c r="H68" s="474"/>
      <c r="I68" s="474"/>
      <c r="J68" s="474"/>
      <c r="K68" s="474"/>
      <c r="L68" s="474"/>
      <c r="M68" s="475"/>
      <c r="N68" s="208"/>
      <c r="O68" s="202"/>
      <c r="P68" s="430"/>
      <c r="Q68" s="431"/>
      <c r="R68" s="430"/>
      <c r="S68" s="432"/>
      <c r="T68" s="432"/>
      <c r="U68" s="431"/>
      <c r="V68" s="417"/>
      <c r="W68" s="418"/>
      <c r="X68" s="418"/>
      <c r="Y68" s="418"/>
      <c r="Z68" s="418"/>
      <c r="AA68" s="418"/>
      <c r="AB68" s="418"/>
      <c r="AC68" s="418"/>
      <c r="AD68" s="419"/>
    </row>
    <row r="69" spans="1:32" ht="27" customHeight="1">
      <c r="A69" s="415"/>
      <c r="B69" s="416"/>
      <c r="C69" s="204"/>
      <c r="D69" s="204"/>
      <c r="E69" s="205"/>
      <c r="F69" s="417"/>
      <c r="G69" s="418"/>
      <c r="H69" s="418"/>
      <c r="I69" s="418"/>
      <c r="J69" s="418"/>
      <c r="K69" s="418"/>
      <c r="L69" s="418"/>
      <c r="M69" s="419"/>
      <c r="N69" s="208"/>
      <c r="O69" s="202"/>
      <c r="P69" s="420"/>
      <c r="Q69" s="420"/>
      <c r="R69" s="420"/>
      <c r="S69" s="420"/>
      <c r="T69" s="420"/>
      <c r="U69" s="420"/>
      <c r="V69" s="417"/>
      <c r="W69" s="418"/>
      <c r="X69" s="418"/>
      <c r="Y69" s="418"/>
      <c r="Z69" s="418"/>
      <c r="AA69" s="418"/>
      <c r="AB69" s="418"/>
      <c r="AC69" s="418"/>
      <c r="AD69" s="419"/>
      <c r="AF69" s="81">
        <f>8*3000</f>
        <v>24000</v>
      </c>
    </row>
    <row r="70" spans="1:32" ht="27" customHeight="1" thickBot="1">
      <c r="A70" s="421"/>
      <c r="B70" s="422"/>
      <c r="C70" s="206"/>
      <c r="D70" s="207"/>
      <c r="E70" s="206"/>
      <c r="F70" s="423"/>
      <c r="G70" s="424"/>
      <c r="H70" s="424"/>
      <c r="I70" s="424"/>
      <c r="J70" s="424"/>
      <c r="K70" s="424"/>
      <c r="L70" s="424"/>
      <c r="M70" s="425"/>
      <c r="N70" s="105"/>
      <c r="O70" s="97"/>
      <c r="P70" s="426"/>
      <c r="Q70" s="426"/>
      <c r="R70" s="426"/>
      <c r="S70" s="426"/>
      <c r="T70" s="426"/>
      <c r="U70" s="426"/>
      <c r="V70" s="427"/>
      <c r="W70" s="427"/>
      <c r="X70" s="427"/>
      <c r="Y70" s="427"/>
      <c r="Z70" s="427"/>
      <c r="AA70" s="427"/>
      <c r="AB70" s="427"/>
      <c r="AC70" s="427"/>
      <c r="AD70" s="428"/>
      <c r="AF70" s="81">
        <f>16*3000</f>
        <v>48000</v>
      </c>
    </row>
    <row r="71" spans="1:32" ht="27.75" thickBot="1">
      <c r="A71" s="413" t="s">
        <v>471</v>
      </c>
      <c r="B71" s="413"/>
      <c r="C71" s="413"/>
      <c r="D71" s="413"/>
      <c r="E71" s="413"/>
      <c r="F71" s="37"/>
      <c r="G71" s="37"/>
      <c r="H71" s="38"/>
      <c r="I71" s="38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F71" s="81">
        <v>24000</v>
      </c>
    </row>
    <row r="72" spans="1:32" ht="29.25" customHeight="1" thickBot="1">
      <c r="A72" s="414" t="s">
        <v>111</v>
      </c>
      <c r="B72" s="411"/>
      <c r="C72" s="203" t="s">
        <v>2</v>
      </c>
      <c r="D72" s="203" t="s">
        <v>37</v>
      </c>
      <c r="E72" s="203" t="s">
        <v>3</v>
      </c>
      <c r="F72" s="411" t="s">
        <v>109</v>
      </c>
      <c r="G72" s="411"/>
      <c r="H72" s="411"/>
      <c r="I72" s="411"/>
      <c r="J72" s="411"/>
      <c r="K72" s="411" t="s">
        <v>39</v>
      </c>
      <c r="L72" s="411"/>
      <c r="M72" s="203" t="s">
        <v>40</v>
      </c>
      <c r="N72" s="411" t="s">
        <v>41</v>
      </c>
      <c r="O72" s="411"/>
      <c r="P72" s="408" t="s">
        <v>42</v>
      </c>
      <c r="Q72" s="410"/>
      <c r="R72" s="408" t="s">
        <v>43</v>
      </c>
      <c r="S72" s="409"/>
      <c r="T72" s="409"/>
      <c r="U72" s="409"/>
      <c r="V72" s="409"/>
      <c r="W72" s="409"/>
      <c r="X72" s="409"/>
      <c r="Y72" s="409"/>
      <c r="Z72" s="409"/>
      <c r="AA72" s="410"/>
      <c r="AB72" s="411" t="s">
        <v>44</v>
      </c>
      <c r="AC72" s="411"/>
      <c r="AD72" s="412"/>
      <c r="AF72" s="81">
        <f>SUM(AF69:AF71)</f>
        <v>96000</v>
      </c>
    </row>
    <row r="73" spans="1:32" ht="25.5" customHeight="1">
      <c r="A73" s="399">
        <v>1</v>
      </c>
      <c r="B73" s="400"/>
      <c r="C73" s="98" t="s">
        <v>473</v>
      </c>
      <c r="D73" s="198"/>
      <c r="E73" s="201" t="s">
        <v>474</v>
      </c>
      <c r="F73" s="401" t="s">
        <v>472</v>
      </c>
      <c r="G73" s="391"/>
      <c r="H73" s="391"/>
      <c r="I73" s="391"/>
      <c r="J73" s="391"/>
      <c r="K73" s="391" t="s">
        <v>475</v>
      </c>
      <c r="L73" s="391"/>
      <c r="M73" s="51" t="s">
        <v>476</v>
      </c>
      <c r="N73" s="402" t="s">
        <v>477</v>
      </c>
      <c r="O73" s="402"/>
      <c r="P73" s="403"/>
      <c r="Q73" s="403"/>
      <c r="R73" s="404" t="s">
        <v>478</v>
      </c>
      <c r="S73" s="404"/>
      <c r="T73" s="404"/>
      <c r="U73" s="404"/>
      <c r="V73" s="404"/>
      <c r="W73" s="404"/>
      <c r="X73" s="404"/>
      <c r="Y73" s="404"/>
      <c r="Z73" s="404"/>
      <c r="AA73" s="404"/>
      <c r="AB73" s="391"/>
      <c r="AC73" s="391"/>
      <c r="AD73" s="392"/>
      <c r="AF73" s="50"/>
    </row>
    <row r="74" spans="1:32" ht="25.5" customHeight="1">
      <c r="A74" s="399">
        <v>2</v>
      </c>
      <c r="B74" s="400"/>
      <c r="C74" s="98"/>
      <c r="D74" s="198"/>
      <c r="E74" s="201"/>
      <c r="F74" s="401"/>
      <c r="G74" s="391"/>
      <c r="H74" s="391"/>
      <c r="I74" s="391"/>
      <c r="J74" s="391"/>
      <c r="K74" s="391"/>
      <c r="L74" s="391"/>
      <c r="M74" s="51"/>
      <c r="N74" s="402"/>
      <c r="O74" s="402"/>
      <c r="P74" s="403"/>
      <c r="Q74" s="403"/>
      <c r="R74" s="404"/>
      <c r="S74" s="404"/>
      <c r="T74" s="404"/>
      <c r="U74" s="404"/>
      <c r="V74" s="404"/>
      <c r="W74" s="404"/>
      <c r="X74" s="404"/>
      <c r="Y74" s="404"/>
      <c r="Z74" s="404"/>
      <c r="AA74" s="404"/>
      <c r="AB74" s="391"/>
      <c r="AC74" s="391"/>
      <c r="AD74" s="392"/>
      <c r="AF74" s="50"/>
    </row>
    <row r="75" spans="1:32" ht="25.5" customHeight="1">
      <c r="A75" s="399">
        <v>3</v>
      </c>
      <c r="B75" s="400"/>
      <c r="C75" s="98"/>
      <c r="D75" s="198"/>
      <c r="E75" s="201"/>
      <c r="F75" s="401"/>
      <c r="G75" s="391"/>
      <c r="H75" s="391"/>
      <c r="I75" s="391"/>
      <c r="J75" s="391"/>
      <c r="K75" s="391"/>
      <c r="L75" s="391"/>
      <c r="M75" s="51"/>
      <c r="N75" s="402"/>
      <c r="O75" s="402"/>
      <c r="P75" s="403"/>
      <c r="Q75" s="403"/>
      <c r="R75" s="404"/>
      <c r="S75" s="404"/>
      <c r="T75" s="404"/>
      <c r="U75" s="404"/>
      <c r="V75" s="404"/>
      <c r="W75" s="404"/>
      <c r="X75" s="404"/>
      <c r="Y75" s="404"/>
      <c r="Z75" s="404"/>
      <c r="AA75" s="404"/>
      <c r="AB75" s="391"/>
      <c r="AC75" s="391"/>
      <c r="AD75" s="392"/>
      <c r="AF75" s="50"/>
    </row>
    <row r="76" spans="1:32" ht="25.5" customHeight="1">
      <c r="A76" s="399">
        <v>4</v>
      </c>
      <c r="B76" s="400"/>
      <c r="C76" s="98"/>
      <c r="D76" s="198"/>
      <c r="E76" s="201"/>
      <c r="F76" s="405"/>
      <c r="G76" s="406"/>
      <c r="H76" s="406"/>
      <c r="I76" s="406"/>
      <c r="J76" s="407"/>
      <c r="K76" s="391"/>
      <c r="L76" s="391"/>
      <c r="M76" s="51"/>
      <c r="N76" s="402"/>
      <c r="O76" s="402"/>
      <c r="P76" s="403"/>
      <c r="Q76" s="403"/>
      <c r="R76" s="404"/>
      <c r="S76" s="404"/>
      <c r="T76" s="404"/>
      <c r="U76" s="404"/>
      <c r="V76" s="404"/>
      <c r="W76" s="404"/>
      <c r="X76" s="404"/>
      <c r="Y76" s="404"/>
      <c r="Z76" s="404"/>
      <c r="AA76" s="404"/>
      <c r="AB76" s="391"/>
      <c r="AC76" s="391"/>
      <c r="AD76" s="392"/>
      <c r="AF76" s="50"/>
    </row>
    <row r="77" spans="1:32" ht="25.5" customHeight="1">
      <c r="A77" s="399">
        <v>5</v>
      </c>
      <c r="B77" s="400"/>
      <c r="C77" s="98"/>
      <c r="D77" s="198"/>
      <c r="E77" s="201"/>
      <c r="F77" s="405"/>
      <c r="G77" s="406"/>
      <c r="H77" s="406"/>
      <c r="I77" s="406"/>
      <c r="J77" s="407"/>
      <c r="K77" s="391"/>
      <c r="L77" s="391"/>
      <c r="M77" s="51"/>
      <c r="N77" s="402"/>
      <c r="O77" s="402"/>
      <c r="P77" s="403"/>
      <c r="Q77" s="403"/>
      <c r="R77" s="404"/>
      <c r="S77" s="404"/>
      <c r="T77" s="404"/>
      <c r="U77" s="404"/>
      <c r="V77" s="404"/>
      <c r="W77" s="404"/>
      <c r="X77" s="404"/>
      <c r="Y77" s="404"/>
      <c r="Z77" s="404"/>
      <c r="AA77" s="404"/>
      <c r="AB77" s="391"/>
      <c r="AC77" s="391"/>
      <c r="AD77" s="392"/>
      <c r="AF77" s="50"/>
    </row>
    <row r="78" spans="1:32" ht="25.5" customHeight="1">
      <c r="A78" s="399">
        <v>6</v>
      </c>
      <c r="B78" s="400"/>
      <c r="C78" s="98"/>
      <c r="D78" s="198"/>
      <c r="E78" s="201"/>
      <c r="F78" s="405"/>
      <c r="G78" s="406"/>
      <c r="H78" s="406"/>
      <c r="I78" s="406"/>
      <c r="J78" s="407"/>
      <c r="K78" s="391"/>
      <c r="L78" s="391"/>
      <c r="M78" s="51"/>
      <c r="N78" s="402"/>
      <c r="O78" s="402"/>
      <c r="P78" s="403"/>
      <c r="Q78" s="403"/>
      <c r="R78" s="404"/>
      <c r="S78" s="404"/>
      <c r="T78" s="404"/>
      <c r="U78" s="404"/>
      <c r="V78" s="404"/>
      <c r="W78" s="404"/>
      <c r="X78" s="404"/>
      <c r="Y78" s="404"/>
      <c r="Z78" s="404"/>
      <c r="AA78" s="404"/>
      <c r="AB78" s="391"/>
      <c r="AC78" s="391"/>
      <c r="AD78" s="392"/>
      <c r="AF78" s="50"/>
    </row>
    <row r="79" spans="1:32" ht="25.5" customHeight="1">
      <c r="A79" s="399">
        <v>7</v>
      </c>
      <c r="B79" s="400"/>
      <c r="C79" s="98"/>
      <c r="D79" s="198"/>
      <c r="E79" s="201"/>
      <c r="F79" s="405"/>
      <c r="G79" s="406"/>
      <c r="H79" s="406"/>
      <c r="I79" s="406"/>
      <c r="J79" s="407"/>
      <c r="K79" s="391"/>
      <c r="L79" s="391"/>
      <c r="M79" s="51"/>
      <c r="N79" s="402"/>
      <c r="O79" s="402"/>
      <c r="P79" s="403"/>
      <c r="Q79" s="403"/>
      <c r="R79" s="404"/>
      <c r="S79" s="404"/>
      <c r="T79" s="404"/>
      <c r="U79" s="404"/>
      <c r="V79" s="404"/>
      <c r="W79" s="404"/>
      <c r="X79" s="404"/>
      <c r="Y79" s="404"/>
      <c r="Z79" s="404"/>
      <c r="AA79" s="404"/>
      <c r="AB79" s="391"/>
      <c r="AC79" s="391"/>
      <c r="AD79" s="392"/>
      <c r="AF79" s="50"/>
    </row>
    <row r="80" spans="1:32" ht="25.5" customHeight="1">
      <c r="A80" s="399">
        <v>8</v>
      </c>
      <c r="B80" s="400"/>
      <c r="C80" s="98"/>
      <c r="D80" s="198"/>
      <c r="E80" s="201"/>
      <c r="F80" s="401"/>
      <c r="G80" s="391"/>
      <c r="H80" s="391"/>
      <c r="I80" s="391"/>
      <c r="J80" s="391"/>
      <c r="K80" s="391"/>
      <c r="L80" s="391"/>
      <c r="M80" s="51"/>
      <c r="N80" s="402"/>
      <c r="O80" s="402"/>
      <c r="P80" s="403"/>
      <c r="Q80" s="403"/>
      <c r="R80" s="404"/>
      <c r="S80" s="404"/>
      <c r="T80" s="404"/>
      <c r="U80" s="404"/>
      <c r="V80" s="404"/>
      <c r="W80" s="404"/>
      <c r="X80" s="404"/>
      <c r="Y80" s="404"/>
      <c r="Z80" s="404"/>
      <c r="AA80" s="404"/>
      <c r="AB80" s="391"/>
      <c r="AC80" s="391"/>
      <c r="AD80" s="392"/>
      <c r="AF80" s="50"/>
    </row>
    <row r="81" spans="1:32" ht="25.5" customHeight="1">
      <c r="A81" s="399">
        <v>9</v>
      </c>
      <c r="B81" s="400"/>
      <c r="C81" s="98"/>
      <c r="D81" s="198"/>
      <c r="E81" s="201"/>
      <c r="F81" s="401"/>
      <c r="G81" s="391"/>
      <c r="H81" s="391"/>
      <c r="I81" s="391"/>
      <c r="J81" s="391"/>
      <c r="K81" s="391"/>
      <c r="L81" s="391"/>
      <c r="M81" s="51"/>
      <c r="N81" s="402"/>
      <c r="O81" s="402"/>
      <c r="P81" s="403"/>
      <c r="Q81" s="403"/>
      <c r="R81" s="404"/>
      <c r="S81" s="404"/>
      <c r="T81" s="404"/>
      <c r="U81" s="404"/>
      <c r="V81" s="404"/>
      <c r="W81" s="404"/>
      <c r="X81" s="404"/>
      <c r="Y81" s="404"/>
      <c r="Z81" s="404"/>
      <c r="AA81" s="404"/>
      <c r="AB81" s="391"/>
      <c r="AC81" s="391"/>
      <c r="AD81" s="392"/>
      <c r="AF81" s="50"/>
    </row>
    <row r="82" spans="1:32" ht="25.5" customHeight="1">
      <c r="A82" s="399">
        <v>10</v>
      </c>
      <c r="B82" s="400"/>
      <c r="C82" s="98"/>
      <c r="D82" s="198"/>
      <c r="E82" s="201"/>
      <c r="F82" s="401"/>
      <c r="G82" s="391"/>
      <c r="H82" s="391"/>
      <c r="I82" s="391"/>
      <c r="J82" s="391"/>
      <c r="K82" s="391"/>
      <c r="L82" s="391"/>
      <c r="M82" s="51"/>
      <c r="N82" s="402"/>
      <c r="O82" s="402"/>
      <c r="P82" s="403"/>
      <c r="Q82" s="403"/>
      <c r="R82" s="404"/>
      <c r="S82" s="404"/>
      <c r="T82" s="404"/>
      <c r="U82" s="404"/>
      <c r="V82" s="404"/>
      <c r="W82" s="404"/>
      <c r="X82" s="404"/>
      <c r="Y82" s="404"/>
      <c r="Z82" s="404"/>
      <c r="AA82" s="404"/>
      <c r="AB82" s="391"/>
      <c r="AC82" s="391"/>
      <c r="AD82" s="392"/>
      <c r="AF82" s="50"/>
    </row>
    <row r="83" spans="1:32" ht="26.25" customHeight="1" thickBot="1">
      <c r="A83" s="371" t="s">
        <v>479</v>
      </c>
      <c r="B83" s="371"/>
      <c r="C83" s="371"/>
      <c r="D83" s="371"/>
      <c r="E83" s="371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23.25" thickBot="1">
      <c r="A84" s="393" t="s">
        <v>111</v>
      </c>
      <c r="B84" s="394"/>
      <c r="C84" s="200" t="s">
        <v>2</v>
      </c>
      <c r="D84" s="200" t="s">
        <v>37</v>
      </c>
      <c r="E84" s="200" t="s">
        <v>120</v>
      </c>
      <c r="F84" s="373" t="s">
        <v>38</v>
      </c>
      <c r="G84" s="373"/>
      <c r="H84" s="373"/>
      <c r="I84" s="373"/>
      <c r="J84" s="373"/>
      <c r="K84" s="395" t="s">
        <v>58</v>
      </c>
      <c r="L84" s="396"/>
      <c r="M84" s="396"/>
      <c r="N84" s="396"/>
      <c r="O84" s="396"/>
      <c r="P84" s="396"/>
      <c r="Q84" s="396"/>
      <c r="R84" s="396"/>
      <c r="S84" s="397"/>
      <c r="T84" s="373" t="s">
        <v>49</v>
      </c>
      <c r="U84" s="373"/>
      <c r="V84" s="395" t="s">
        <v>50</v>
      </c>
      <c r="W84" s="397"/>
      <c r="X84" s="396" t="s">
        <v>51</v>
      </c>
      <c r="Y84" s="396"/>
      <c r="Z84" s="396"/>
      <c r="AA84" s="396"/>
      <c r="AB84" s="396"/>
      <c r="AC84" s="396"/>
      <c r="AD84" s="398"/>
      <c r="AF84" s="50"/>
    </row>
    <row r="85" spans="1:32" ht="33.75" customHeight="1">
      <c r="A85" s="365">
        <v>1</v>
      </c>
      <c r="B85" s="366"/>
      <c r="C85" s="199"/>
      <c r="D85" s="199"/>
      <c r="E85" s="65"/>
      <c r="F85" s="380"/>
      <c r="G85" s="381"/>
      <c r="H85" s="381"/>
      <c r="I85" s="381"/>
      <c r="J85" s="382"/>
      <c r="K85" s="383"/>
      <c r="L85" s="384"/>
      <c r="M85" s="384"/>
      <c r="N85" s="384"/>
      <c r="O85" s="384"/>
      <c r="P85" s="384"/>
      <c r="Q85" s="384"/>
      <c r="R85" s="384"/>
      <c r="S85" s="385"/>
      <c r="T85" s="386"/>
      <c r="U85" s="387"/>
      <c r="V85" s="388"/>
      <c r="W85" s="388"/>
      <c r="X85" s="389"/>
      <c r="Y85" s="389"/>
      <c r="Z85" s="389"/>
      <c r="AA85" s="389"/>
      <c r="AB85" s="389"/>
      <c r="AC85" s="389"/>
      <c r="AD85" s="390"/>
      <c r="AF85" s="50"/>
    </row>
    <row r="86" spans="1:32" ht="30" customHeight="1">
      <c r="A86" s="358">
        <f>A85+1</f>
        <v>2</v>
      </c>
      <c r="B86" s="359"/>
      <c r="C86" s="198"/>
      <c r="D86" s="198"/>
      <c r="E86" s="32"/>
      <c r="F86" s="359"/>
      <c r="G86" s="359"/>
      <c r="H86" s="359"/>
      <c r="I86" s="359"/>
      <c r="J86" s="359"/>
      <c r="K86" s="374"/>
      <c r="L86" s="375"/>
      <c r="M86" s="375"/>
      <c r="N86" s="375"/>
      <c r="O86" s="375"/>
      <c r="P86" s="375"/>
      <c r="Q86" s="375"/>
      <c r="R86" s="375"/>
      <c r="S86" s="376"/>
      <c r="T86" s="377"/>
      <c r="U86" s="377"/>
      <c r="V86" s="377"/>
      <c r="W86" s="377"/>
      <c r="X86" s="378"/>
      <c r="Y86" s="378"/>
      <c r="Z86" s="378"/>
      <c r="AA86" s="378"/>
      <c r="AB86" s="378"/>
      <c r="AC86" s="378"/>
      <c r="AD86" s="379"/>
      <c r="AF86" s="50"/>
    </row>
    <row r="87" spans="1:32" ht="30" customHeight="1">
      <c r="A87" s="358">
        <f t="shared" ref="A87:A91" si="28">A86+1</f>
        <v>3</v>
      </c>
      <c r="B87" s="359"/>
      <c r="C87" s="198"/>
      <c r="D87" s="198"/>
      <c r="E87" s="32"/>
      <c r="F87" s="359"/>
      <c r="G87" s="359"/>
      <c r="H87" s="359"/>
      <c r="I87" s="359"/>
      <c r="J87" s="359"/>
      <c r="K87" s="374"/>
      <c r="L87" s="375"/>
      <c r="M87" s="375"/>
      <c r="N87" s="375"/>
      <c r="O87" s="375"/>
      <c r="P87" s="375"/>
      <c r="Q87" s="375"/>
      <c r="R87" s="375"/>
      <c r="S87" s="376"/>
      <c r="T87" s="377"/>
      <c r="U87" s="377"/>
      <c r="V87" s="377"/>
      <c r="W87" s="377"/>
      <c r="X87" s="378"/>
      <c r="Y87" s="378"/>
      <c r="Z87" s="378"/>
      <c r="AA87" s="378"/>
      <c r="AB87" s="378"/>
      <c r="AC87" s="378"/>
      <c r="AD87" s="379"/>
      <c r="AF87" s="50"/>
    </row>
    <row r="88" spans="1:32" ht="30" customHeight="1">
      <c r="A88" s="358">
        <f t="shared" si="28"/>
        <v>4</v>
      </c>
      <c r="B88" s="359"/>
      <c r="C88" s="198"/>
      <c r="D88" s="198"/>
      <c r="E88" s="32"/>
      <c r="F88" s="359"/>
      <c r="G88" s="359"/>
      <c r="H88" s="359"/>
      <c r="I88" s="359"/>
      <c r="J88" s="359"/>
      <c r="K88" s="374"/>
      <c r="L88" s="375"/>
      <c r="M88" s="375"/>
      <c r="N88" s="375"/>
      <c r="O88" s="375"/>
      <c r="P88" s="375"/>
      <c r="Q88" s="375"/>
      <c r="R88" s="375"/>
      <c r="S88" s="376"/>
      <c r="T88" s="377"/>
      <c r="U88" s="377"/>
      <c r="V88" s="377"/>
      <c r="W88" s="377"/>
      <c r="X88" s="378"/>
      <c r="Y88" s="378"/>
      <c r="Z88" s="378"/>
      <c r="AA88" s="378"/>
      <c r="AB88" s="378"/>
      <c r="AC88" s="378"/>
      <c r="AD88" s="379"/>
      <c r="AF88" s="50"/>
    </row>
    <row r="89" spans="1:32" ht="30" customHeight="1">
      <c r="A89" s="358">
        <f t="shared" si="28"/>
        <v>5</v>
      </c>
      <c r="B89" s="359"/>
      <c r="C89" s="198"/>
      <c r="D89" s="198"/>
      <c r="E89" s="32"/>
      <c r="F89" s="359"/>
      <c r="G89" s="359"/>
      <c r="H89" s="359"/>
      <c r="I89" s="359"/>
      <c r="J89" s="359"/>
      <c r="K89" s="374"/>
      <c r="L89" s="375"/>
      <c r="M89" s="375"/>
      <c r="N89" s="375"/>
      <c r="O89" s="375"/>
      <c r="P89" s="375"/>
      <c r="Q89" s="375"/>
      <c r="R89" s="375"/>
      <c r="S89" s="376"/>
      <c r="T89" s="377"/>
      <c r="U89" s="377"/>
      <c r="V89" s="377"/>
      <c r="W89" s="377"/>
      <c r="X89" s="378"/>
      <c r="Y89" s="378"/>
      <c r="Z89" s="378"/>
      <c r="AA89" s="378"/>
      <c r="AB89" s="378"/>
      <c r="AC89" s="378"/>
      <c r="AD89" s="379"/>
      <c r="AF89" s="50"/>
    </row>
    <row r="90" spans="1:32" ht="30" customHeight="1">
      <c r="A90" s="358">
        <f t="shared" si="28"/>
        <v>6</v>
      </c>
      <c r="B90" s="359"/>
      <c r="C90" s="198"/>
      <c r="D90" s="198"/>
      <c r="E90" s="32"/>
      <c r="F90" s="359"/>
      <c r="G90" s="359"/>
      <c r="H90" s="359"/>
      <c r="I90" s="359"/>
      <c r="J90" s="359"/>
      <c r="K90" s="374"/>
      <c r="L90" s="375"/>
      <c r="M90" s="375"/>
      <c r="N90" s="375"/>
      <c r="O90" s="375"/>
      <c r="P90" s="375"/>
      <c r="Q90" s="375"/>
      <c r="R90" s="375"/>
      <c r="S90" s="376"/>
      <c r="T90" s="377"/>
      <c r="U90" s="377"/>
      <c r="V90" s="377"/>
      <c r="W90" s="377"/>
      <c r="X90" s="378"/>
      <c r="Y90" s="378"/>
      <c r="Z90" s="378"/>
      <c r="AA90" s="378"/>
      <c r="AB90" s="378"/>
      <c r="AC90" s="378"/>
      <c r="AD90" s="379"/>
      <c r="AF90" s="50"/>
    </row>
    <row r="91" spans="1:32" ht="30" customHeight="1">
      <c r="A91" s="358">
        <f t="shared" si="28"/>
        <v>7</v>
      </c>
      <c r="B91" s="359"/>
      <c r="C91" s="198"/>
      <c r="D91" s="198"/>
      <c r="E91" s="32"/>
      <c r="F91" s="359"/>
      <c r="G91" s="359"/>
      <c r="H91" s="359"/>
      <c r="I91" s="359"/>
      <c r="J91" s="359"/>
      <c r="K91" s="374"/>
      <c r="L91" s="375"/>
      <c r="M91" s="375"/>
      <c r="N91" s="375"/>
      <c r="O91" s="375"/>
      <c r="P91" s="375"/>
      <c r="Q91" s="375"/>
      <c r="R91" s="375"/>
      <c r="S91" s="376"/>
      <c r="T91" s="377"/>
      <c r="U91" s="377"/>
      <c r="V91" s="377"/>
      <c r="W91" s="377"/>
      <c r="X91" s="378"/>
      <c r="Y91" s="378"/>
      <c r="Z91" s="378"/>
      <c r="AA91" s="378"/>
      <c r="AB91" s="378"/>
      <c r="AC91" s="378"/>
      <c r="AD91" s="379"/>
      <c r="AF91" s="50"/>
    </row>
    <row r="92" spans="1:32" ht="36" thickBot="1">
      <c r="A92" s="371" t="s">
        <v>480</v>
      </c>
      <c r="B92" s="371"/>
      <c r="C92" s="371"/>
      <c r="D92" s="371"/>
      <c r="E92" s="371"/>
      <c r="F92" s="37"/>
      <c r="G92" s="37"/>
      <c r="H92" s="38"/>
      <c r="I92" s="38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F92" s="50"/>
    </row>
    <row r="93" spans="1:32" ht="30.75" customHeight="1" thickBot="1">
      <c r="A93" s="372" t="s">
        <v>111</v>
      </c>
      <c r="B93" s="373"/>
      <c r="C93" s="363" t="s">
        <v>52</v>
      </c>
      <c r="D93" s="363"/>
      <c r="E93" s="363" t="s">
        <v>53</v>
      </c>
      <c r="F93" s="363"/>
      <c r="G93" s="363"/>
      <c r="H93" s="363"/>
      <c r="I93" s="363"/>
      <c r="J93" s="363"/>
      <c r="K93" s="363" t="s">
        <v>54</v>
      </c>
      <c r="L93" s="363"/>
      <c r="M93" s="363"/>
      <c r="N93" s="363"/>
      <c r="O93" s="363"/>
      <c r="P93" s="363"/>
      <c r="Q93" s="363"/>
      <c r="R93" s="363"/>
      <c r="S93" s="363"/>
      <c r="T93" s="363" t="s">
        <v>55</v>
      </c>
      <c r="U93" s="363"/>
      <c r="V93" s="363" t="s">
        <v>56</v>
      </c>
      <c r="W93" s="363"/>
      <c r="X93" s="363"/>
      <c r="Y93" s="363" t="s">
        <v>51</v>
      </c>
      <c r="Z93" s="363"/>
      <c r="AA93" s="363"/>
      <c r="AB93" s="363"/>
      <c r="AC93" s="363"/>
      <c r="AD93" s="364"/>
      <c r="AF93" s="50"/>
    </row>
    <row r="94" spans="1:32" ht="30.75" customHeight="1">
      <c r="A94" s="365">
        <v>1</v>
      </c>
      <c r="B94" s="366"/>
      <c r="C94" s="367"/>
      <c r="D94" s="367"/>
      <c r="E94" s="367"/>
      <c r="F94" s="367"/>
      <c r="G94" s="367"/>
      <c r="H94" s="367"/>
      <c r="I94" s="367"/>
      <c r="J94" s="367"/>
      <c r="K94" s="367"/>
      <c r="L94" s="367"/>
      <c r="M94" s="367"/>
      <c r="N94" s="367"/>
      <c r="O94" s="367"/>
      <c r="P94" s="367"/>
      <c r="Q94" s="367"/>
      <c r="R94" s="367"/>
      <c r="S94" s="367"/>
      <c r="T94" s="367"/>
      <c r="U94" s="367"/>
      <c r="V94" s="368"/>
      <c r="W94" s="368"/>
      <c r="X94" s="368"/>
      <c r="Y94" s="369"/>
      <c r="Z94" s="369"/>
      <c r="AA94" s="369"/>
      <c r="AB94" s="369"/>
      <c r="AC94" s="369"/>
      <c r="AD94" s="370"/>
      <c r="AF94" s="50"/>
    </row>
    <row r="95" spans="1:32" ht="30.75" customHeight="1">
      <c r="A95" s="358">
        <v>2</v>
      </c>
      <c r="B95" s="359"/>
      <c r="C95" s="360"/>
      <c r="D95" s="360"/>
      <c r="E95" s="360"/>
      <c r="F95" s="360"/>
      <c r="G95" s="360"/>
      <c r="H95" s="360"/>
      <c r="I95" s="360"/>
      <c r="J95" s="360"/>
      <c r="K95" s="360"/>
      <c r="L95" s="360"/>
      <c r="M95" s="360"/>
      <c r="N95" s="360"/>
      <c r="O95" s="360"/>
      <c r="P95" s="360"/>
      <c r="Q95" s="360"/>
      <c r="R95" s="360"/>
      <c r="S95" s="360"/>
      <c r="T95" s="361"/>
      <c r="U95" s="361"/>
      <c r="V95" s="362"/>
      <c r="W95" s="362"/>
      <c r="X95" s="362"/>
      <c r="Y95" s="350"/>
      <c r="Z95" s="350"/>
      <c r="AA95" s="350"/>
      <c r="AB95" s="350"/>
      <c r="AC95" s="350"/>
      <c r="AD95" s="351"/>
      <c r="AF95" s="50"/>
    </row>
    <row r="96" spans="1:32" ht="30.75" customHeight="1" thickBot="1">
      <c r="A96" s="352">
        <v>3</v>
      </c>
      <c r="B96" s="353"/>
      <c r="C96" s="354"/>
      <c r="D96" s="354"/>
      <c r="E96" s="354"/>
      <c r="F96" s="354"/>
      <c r="G96" s="354"/>
      <c r="H96" s="354"/>
      <c r="I96" s="354"/>
      <c r="J96" s="354"/>
      <c r="K96" s="354"/>
      <c r="L96" s="354"/>
      <c r="M96" s="354"/>
      <c r="N96" s="354"/>
      <c r="O96" s="354"/>
      <c r="P96" s="354"/>
      <c r="Q96" s="354"/>
      <c r="R96" s="354"/>
      <c r="S96" s="354"/>
      <c r="T96" s="354"/>
      <c r="U96" s="354"/>
      <c r="V96" s="355"/>
      <c r="W96" s="355"/>
      <c r="X96" s="355"/>
      <c r="Y96" s="356"/>
      <c r="Z96" s="356"/>
      <c r="AA96" s="356"/>
      <c r="AB96" s="356"/>
      <c r="AC96" s="356"/>
      <c r="AD96" s="357"/>
      <c r="AF96" s="50"/>
    </row>
  </sheetData>
  <mergeCells count="232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31:H31"/>
    <mergeCell ref="A58:E58"/>
    <mergeCell ref="A59:M59"/>
    <mergeCell ref="N59:AD59"/>
    <mergeCell ref="A60:B60"/>
    <mergeCell ref="F60:M60"/>
    <mergeCell ref="P60:Q60"/>
    <mergeCell ref="R60:U60"/>
    <mergeCell ref="V60:AD60"/>
    <mergeCell ref="I4:O4"/>
    <mergeCell ref="P4:Q4"/>
    <mergeCell ref="R4:V4"/>
    <mergeCell ref="W4:AA4"/>
    <mergeCell ref="AB4:AB5"/>
    <mergeCell ref="AC4:AC5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A64:B64"/>
    <mergeCell ref="F64:M64"/>
    <mergeCell ref="P64:Q64"/>
    <mergeCell ref="R64:U64"/>
    <mergeCell ref="V64:AD64"/>
    <mergeCell ref="A65:B65"/>
    <mergeCell ref="F65:M65"/>
    <mergeCell ref="P65:Q65"/>
    <mergeCell ref="R65:U65"/>
    <mergeCell ref="V65:AD65"/>
    <mergeCell ref="A66:B66"/>
    <mergeCell ref="F66:M66"/>
    <mergeCell ref="P66:Q66"/>
    <mergeCell ref="R66:U66"/>
    <mergeCell ref="V66:AD66"/>
    <mergeCell ref="R69:U69"/>
    <mergeCell ref="V69:AD69"/>
    <mergeCell ref="A70:B70"/>
    <mergeCell ref="F70:M70"/>
    <mergeCell ref="P70:Q70"/>
    <mergeCell ref="R70:U70"/>
    <mergeCell ref="V70:AD70"/>
    <mergeCell ref="A67:B67"/>
    <mergeCell ref="F67:M67"/>
    <mergeCell ref="P67:Q67"/>
    <mergeCell ref="R67:U67"/>
    <mergeCell ref="V67:AD67"/>
    <mergeCell ref="A68:B68"/>
    <mergeCell ref="F68:M68"/>
    <mergeCell ref="P68:Q68"/>
    <mergeCell ref="R68:U68"/>
    <mergeCell ref="V68:AD68"/>
    <mergeCell ref="A71:E71"/>
    <mergeCell ref="A72:B72"/>
    <mergeCell ref="F72:J72"/>
    <mergeCell ref="K72:L72"/>
    <mergeCell ref="N72:O72"/>
    <mergeCell ref="P72:Q72"/>
    <mergeCell ref="A69:B69"/>
    <mergeCell ref="F69:M69"/>
    <mergeCell ref="P69:Q69"/>
    <mergeCell ref="R72:AA72"/>
    <mergeCell ref="AB72:AD72"/>
    <mergeCell ref="A73:B73"/>
    <mergeCell ref="F73:J73"/>
    <mergeCell ref="K73:L73"/>
    <mergeCell ref="N73:O73"/>
    <mergeCell ref="P73:Q73"/>
    <mergeCell ref="R73:AA73"/>
    <mergeCell ref="AB73:AD73"/>
    <mergeCell ref="AB74:AD74"/>
    <mergeCell ref="A75:B75"/>
    <mergeCell ref="F75:J75"/>
    <mergeCell ref="K75:L75"/>
    <mergeCell ref="N75:O75"/>
    <mergeCell ref="P75:Q75"/>
    <mergeCell ref="R75:AA75"/>
    <mergeCell ref="AB75:AD75"/>
    <mergeCell ref="A74:B74"/>
    <mergeCell ref="F74:J74"/>
    <mergeCell ref="K74:L74"/>
    <mergeCell ref="N74:O74"/>
    <mergeCell ref="P74:Q74"/>
    <mergeCell ref="R74:AA74"/>
    <mergeCell ref="AB76:AD76"/>
    <mergeCell ref="A77:B77"/>
    <mergeCell ref="F77:J77"/>
    <mergeCell ref="K77:L77"/>
    <mergeCell ref="N77:O77"/>
    <mergeCell ref="P77:Q77"/>
    <mergeCell ref="R77:AA77"/>
    <mergeCell ref="AB77:AD77"/>
    <mergeCell ref="A76:B76"/>
    <mergeCell ref="F76:J76"/>
    <mergeCell ref="K76:L76"/>
    <mergeCell ref="N76:O76"/>
    <mergeCell ref="P76:Q76"/>
    <mergeCell ref="R76:AA76"/>
    <mergeCell ref="AB78:AD78"/>
    <mergeCell ref="A79:B79"/>
    <mergeCell ref="F79:J79"/>
    <mergeCell ref="K79:L79"/>
    <mergeCell ref="N79:O79"/>
    <mergeCell ref="P79:Q79"/>
    <mergeCell ref="R79:AA79"/>
    <mergeCell ref="AB79:AD79"/>
    <mergeCell ref="A78:B78"/>
    <mergeCell ref="F78:J78"/>
    <mergeCell ref="K78:L78"/>
    <mergeCell ref="N78:O78"/>
    <mergeCell ref="P78:Q78"/>
    <mergeCell ref="R78:AA78"/>
    <mergeCell ref="AB80:AD80"/>
    <mergeCell ref="A81:B81"/>
    <mergeCell ref="F81:J81"/>
    <mergeCell ref="K81:L81"/>
    <mergeCell ref="N81:O81"/>
    <mergeCell ref="P81:Q81"/>
    <mergeCell ref="R81:AA81"/>
    <mergeCell ref="AB81:AD81"/>
    <mergeCell ref="A80:B80"/>
    <mergeCell ref="F80:J80"/>
    <mergeCell ref="K80:L80"/>
    <mergeCell ref="N80:O80"/>
    <mergeCell ref="P80:Q80"/>
    <mergeCell ref="R80:AA80"/>
    <mergeCell ref="AB82:AD82"/>
    <mergeCell ref="A83:E83"/>
    <mergeCell ref="A84:B84"/>
    <mergeCell ref="F84:J84"/>
    <mergeCell ref="K84:S84"/>
    <mergeCell ref="T84:U84"/>
    <mergeCell ref="V84:W84"/>
    <mergeCell ref="X84:AD84"/>
    <mergeCell ref="A82:B82"/>
    <mergeCell ref="F82:J82"/>
    <mergeCell ref="K82:L82"/>
    <mergeCell ref="N82:O82"/>
    <mergeCell ref="P82:Q82"/>
    <mergeCell ref="R82:AA82"/>
    <mergeCell ref="A86:B86"/>
    <mergeCell ref="F86:J86"/>
    <mergeCell ref="K86:S86"/>
    <mergeCell ref="T86:U86"/>
    <mergeCell ref="V86:W86"/>
    <mergeCell ref="X86:AD86"/>
    <mergeCell ref="A85:B85"/>
    <mergeCell ref="F85:J85"/>
    <mergeCell ref="K85:S85"/>
    <mergeCell ref="T85:U85"/>
    <mergeCell ref="V85:W85"/>
    <mergeCell ref="X85:AD85"/>
    <mergeCell ref="A88:B88"/>
    <mergeCell ref="F88:J88"/>
    <mergeCell ref="K88:S88"/>
    <mergeCell ref="T88:U88"/>
    <mergeCell ref="V88:W88"/>
    <mergeCell ref="X88:AD88"/>
    <mergeCell ref="A87:B87"/>
    <mergeCell ref="F87:J87"/>
    <mergeCell ref="K87:S87"/>
    <mergeCell ref="T87:U87"/>
    <mergeCell ref="V87:W87"/>
    <mergeCell ref="X87:AD87"/>
    <mergeCell ref="V91:W91"/>
    <mergeCell ref="X91:AD91"/>
    <mergeCell ref="A90:B90"/>
    <mergeCell ref="F90:J90"/>
    <mergeCell ref="K90:S90"/>
    <mergeCell ref="T90:U90"/>
    <mergeCell ref="V90:W90"/>
    <mergeCell ref="X90:AD90"/>
    <mergeCell ref="A89:B89"/>
    <mergeCell ref="F89:J89"/>
    <mergeCell ref="K89:S89"/>
    <mergeCell ref="T89:U89"/>
    <mergeCell ref="V89:W89"/>
    <mergeCell ref="X89:AD89"/>
    <mergeCell ref="A92:E92"/>
    <mergeCell ref="A93:B93"/>
    <mergeCell ref="C93:D93"/>
    <mergeCell ref="E93:J93"/>
    <mergeCell ref="K93:S93"/>
    <mergeCell ref="T93:U93"/>
    <mergeCell ref="A91:B91"/>
    <mergeCell ref="F91:J91"/>
    <mergeCell ref="K91:S91"/>
    <mergeCell ref="T91:U91"/>
    <mergeCell ref="V93:X93"/>
    <mergeCell ref="Y93:AD93"/>
    <mergeCell ref="A94:B94"/>
    <mergeCell ref="C94:D94"/>
    <mergeCell ref="E94:J94"/>
    <mergeCell ref="K94:S94"/>
    <mergeCell ref="T94:U94"/>
    <mergeCell ref="V94:X94"/>
    <mergeCell ref="Y94:AD94"/>
    <mergeCell ref="Y95:AD95"/>
    <mergeCell ref="A96:B96"/>
    <mergeCell ref="C96:D96"/>
    <mergeCell ref="E96:J96"/>
    <mergeCell ref="K96:S96"/>
    <mergeCell ref="T96:U96"/>
    <mergeCell ref="V96:X96"/>
    <mergeCell ref="Y96:AD96"/>
    <mergeCell ref="A95:B95"/>
    <mergeCell ref="C95:D95"/>
    <mergeCell ref="E95:J95"/>
    <mergeCell ref="K95:S95"/>
    <mergeCell ref="T95:U95"/>
    <mergeCell ref="V95:X9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56" max="2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72AAF-522C-418A-871D-79EF4844F121}">
  <sheetPr codeName="Sheet10">
    <pageSetUpPr fitToPage="1"/>
  </sheetPr>
  <dimension ref="A1:AF95"/>
  <sheetViews>
    <sheetView view="pageBreakPreview" zoomScale="70" zoomScaleNormal="72" zoomScaleSheetLayoutView="70" workbookViewId="0">
      <selection activeCell="A92" sqref="A92:B92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1.125" style="50" customWidth="1"/>
    <col min="15" max="15" width="8.75" style="50" customWidth="1"/>
    <col min="16" max="17" width="9.25" style="50" bestFit="1" customWidth="1"/>
    <col min="18" max="18" width="7.75" style="50" bestFit="1" customWidth="1"/>
    <col min="19" max="19" width="9.25" style="50" bestFit="1" customWidth="1"/>
    <col min="20" max="20" width="6.625" style="50" bestFit="1" customWidth="1"/>
    <col min="21" max="21" width="6.875" style="50" bestFit="1" customWidth="1"/>
    <col min="22" max="23" width="9.25" style="50" bestFit="1" customWidth="1"/>
    <col min="24" max="24" width="7.25" style="50" bestFit="1" customWidth="1"/>
    <col min="25" max="26" width="6.25" style="50" bestFit="1" customWidth="1"/>
    <col min="27" max="27" width="9.25" style="50" bestFit="1" customWidth="1"/>
    <col min="28" max="28" width="8.75" style="50" bestFit="1" customWidth="1"/>
    <col min="29" max="30" width="8.375" style="50" bestFit="1" customWidth="1"/>
    <col min="31" max="31" width="6.25" style="50" bestFit="1" customWidth="1"/>
    <col min="32" max="32" width="9.125" style="81" bestFit="1" customWidth="1"/>
    <col min="33" max="33" width="17.625" style="50" customWidth="1"/>
    <col min="34" max="16384" width="9" style="50"/>
  </cols>
  <sheetData>
    <row r="1" spans="1:32" ht="44.25" customHeight="1">
      <c r="A1" s="461" t="s">
        <v>481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461"/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462"/>
      <c r="B3" s="462"/>
      <c r="C3" s="462"/>
      <c r="D3" s="462"/>
      <c r="E3" s="462"/>
      <c r="F3" s="462"/>
      <c r="G3" s="462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463" t="s">
        <v>0</v>
      </c>
      <c r="B4" s="465" t="s">
        <v>1</v>
      </c>
      <c r="C4" s="465" t="s">
        <v>2</v>
      </c>
      <c r="D4" s="468" t="s">
        <v>3</v>
      </c>
      <c r="E4" s="470" t="s">
        <v>4</v>
      </c>
      <c r="F4" s="468" t="s">
        <v>5</v>
      </c>
      <c r="G4" s="465" t="s">
        <v>6</v>
      </c>
      <c r="H4" s="471" t="s">
        <v>7</v>
      </c>
      <c r="I4" s="451" t="s">
        <v>8</v>
      </c>
      <c r="J4" s="452"/>
      <c r="K4" s="452"/>
      <c r="L4" s="452"/>
      <c r="M4" s="452"/>
      <c r="N4" s="452"/>
      <c r="O4" s="453"/>
      <c r="P4" s="454" t="s">
        <v>9</v>
      </c>
      <c r="Q4" s="455"/>
      <c r="R4" s="456" t="s">
        <v>10</v>
      </c>
      <c r="S4" s="457"/>
      <c r="T4" s="457"/>
      <c r="U4" s="457"/>
      <c r="V4" s="458"/>
      <c r="W4" s="457" t="s">
        <v>11</v>
      </c>
      <c r="X4" s="457"/>
      <c r="Y4" s="457"/>
      <c r="Z4" s="457"/>
      <c r="AA4" s="458"/>
      <c r="AB4" s="459" t="s">
        <v>12</v>
      </c>
      <c r="AC4" s="433" t="s">
        <v>13</v>
      </c>
      <c r="AD4" s="433" t="s">
        <v>14</v>
      </c>
      <c r="AE4" s="54"/>
    </row>
    <row r="5" spans="1:32" ht="51" customHeight="1" thickBot="1">
      <c r="A5" s="464"/>
      <c r="B5" s="466"/>
      <c r="C5" s="467"/>
      <c r="D5" s="469"/>
      <c r="E5" s="469"/>
      <c r="F5" s="469"/>
      <c r="G5" s="466"/>
      <c r="H5" s="472"/>
      <c r="I5" s="55" t="s">
        <v>15</v>
      </c>
      <c r="J5" s="56" t="s">
        <v>16</v>
      </c>
      <c r="K5" s="211" t="s">
        <v>17</v>
      </c>
      <c r="L5" s="211" t="s">
        <v>18</v>
      </c>
      <c r="M5" s="211" t="s">
        <v>19</v>
      </c>
      <c r="N5" s="211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7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460"/>
      <c r="AC5" s="434"/>
      <c r="AD5" s="434"/>
      <c r="AE5" s="54"/>
    </row>
    <row r="6" spans="1:32" ht="27" customHeight="1">
      <c r="A6" s="106">
        <v>1</v>
      </c>
      <c r="B6" s="11" t="s">
        <v>57</v>
      </c>
      <c r="C6" s="34" t="s">
        <v>387</v>
      </c>
      <c r="D6" s="52" t="s">
        <v>140</v>
      </c>
      <c r="E6" s="53" t="s">
        <v>415</v>
      </c>
      <c r="F6" s="30" t="s">
        <v>139</v>
      </c>
      <c r="G6" s="12">
        <v>1</v>
      </c>
      <c r="H6" s="13">
        <v>24</v>
      </c>
      <c r="I6" s="31">
        <v>11500</v>
      </c>
      <c r="J6" s="14">
        <v>6081</v>
      </c>
      <c r="K6" s="15">
        <f>L6+4993</f>
        <v>11074</v>
      </c>
      <c r="L6" s="15">
        <f>3180+2901</f>
        <v>6081</v>
      </c>
      <c r="M6" s="15">
        <f t="shared" ref="M6:M29" si="0">L6-N6</f>
        <v>6081</v>
      </c>
      <c r="N6" s="15">
        <v>0</v>
      </c>
      <c r="O6" s="58">
        <f t="shared" ref="O6:O30" si="1">IF(L6=0,"0",N6/L6)</f>
        <v>0</v>
      </c>
      <c r="P6" s="39">
        <f t="shared" ref="P6:P29" si="2">IF(L6=0,"0",(24-Q6))</f>
        <v>24</v>
      </c>
      <c r="Q6" s="40">
        <f t="shared" ref="Q6:Q29" si="3">SUM(R6:AA6)</f>
        <v>0</v>
      </c>
      <c r="R6" s="7"/>
      <c r="S6" s="6"/>
      <c r="T6" s="16"/>
      <c r="U6" s="16"/>
      <c r="V6" s="17"/>
      <c r="W6" s="5"/>
      <c r="X6" s="16"/>
      <c r="Y6" s="16"/>
      <c r="Z6" s="16"/>
      <c r="AA6" s="18"/>
      <c r="AB6" s="8">
        <f t="shared" ref="AB6:AB29" si="4">IF(J6=0,"0",(L6/J6))</f>
        <v>1</v>
      </c>
      <c r="AC6" s="9">
        <f t="shared" ref="AC6:AC29" si="5">IF(P6=0,"0",(P6/24))</f>
        <v>1</v>
      </c>
      <c r="AD6" s="10">
        <f>AC6*AB6*(1-O6)</f>
        <v>1</v>
      </c>
      <c r="AE6" s="36">
        <f t="shared" ref="AE6:AE29" si="6">$AD$30</f>
        <v>0.55862000713761029</v>
      </c>
      <c r="AF6" s="81">
        <f t="shared" ref="AF6:AF29" si="7">A6</f>
        <v>1</v>
      </c>
    </row>
    <row r="7" spans="1:32" ht="27" customHeight="1">
      <c r="A7" s="106">
        <v>2</v>
      </c>
      <c r="B7" s="11" t="s">
        <v>57</v>
      </c>
      <c r="C7" s="34" t="s">
        <v>461</v>
      </c>
      <c r="D7" s="52" t="s">
        <v>482</v>
      </c>
      <c r="E7" s="53" t="s">
        <v>483</v>
      </c>
      <c r="F7" s="30" t="s">
        <v>484</v>
      </c>
      <c r="G7" s="12">
        <v>3</v>
      </c>
      <c r="H7" s="13">
        <v>24</v>
      </c>
      <c r="I7" s="31">
        <v>40000</v>
      </c>
      <c r="J7" s="14">
        <v>13566</v>
      </c>
      <c r="K7" s="15">
        <f>L7</f>
        <v>13566</v>
      </c>
      <c r="L7" s="15">
        <f>1388*3+3134*3</f>
        <v>13566</v>
      </c>
      <c r="M7" s="15">
        <f t="shared" si="0"/>
        <v>13566</v>
      </c>
      <c r="N7" s="15">
        <v>0</v>
      </c>
      <c r="O7" s="58">
        <f t="shared" si="1"/>
        <v>0</v>
      </c>
      <c r="P7" s="39">
        <f t="shared" si="2"/>
        <v>18</v>
      </c>
      <c r="Q7" s="40">
        <f t="shared" si="3"/>
        <v>6</v>
      </c>
      <c r="R7" s="7"/>
      <c r="S7" s="6">
        <v>6</v>
      </c>
      <c r="T7" s="16"/>
      <c r="U7" s="16"/>
      <c r="V7" s="17"/>
      <c r="W7" s="5"/>
      <c r="X7" s="16"/>
      <c r="Y7" s="16"/>
      <c r="Z7" s="16"/>
      <c r="AA7" s="18"/>
      <c r="AB7" s="8">
        <f t="shared" si="4"/>
        <v>1</v>
      </c>
      <c r="AC7" s="9">
        <f t="shared" si="5"/>
        <v>0.75</v>
      </c>
      <c r="AD7" s="10">
        <f t="shared" ref="AD7:AD29" si="8">AC7*AB7*(1-O7)</f>
        <v>0.75</v>
      </c>
      <c r="AE7" s="36">
        <f t="shared" si="6"/>
        <v>0.55862000713761029</v>
      </c>
      <c r="AF7" s="81">
        <f t="shared" si="7"/>
        <v>2</v>
      </c>
    </row>
    <row r="8" spans="1:32" ht="27" customHeight="1">
      <c r="A8" s="92">
        <v>3</v>
      </c>
      <c r="B8" s="11" t="s">
        <v>57</v>
      </c>
      <c r="C8" s="34" t="s">
        <v>417</v>
      </c>
      <c r="D8" s="52"/>
      <c r="E8" s="53" t="s">
        <v>444</v>
      </c>
      <c r="F8" s="30" t="s">
        <v>286</v>
      </c>
      <c r="G8" s="12" t="s">
        <v>445</v>
      </c>
      <c r="H8" s="13">
        <v>22</v>
      </c>
      <c r="I8" s="31">
        <v>3700</v>
      </c>
      <c r="J8" s="5">
        <v>1585</v>
      </c>
      <c r="K8" s="15">
        <f>L8+3046</f>
        <v>4631</v>
      </c>
      <c r="L8" s="15">
        <f>1585</f>
        <v>1585</v>
      </c>
      <c r="M8" s="15">
        <f t="shared" si="0"/>
        <v>1585</v>
      </c>
      <c r="N8" s="15">
        <v>0</v>
      </c>
      <c r="O8" s="58">
        <f t="shared" si="1"/>
        <v>0</v>
      </c>
      <c r="P8" s="39">
        <f t="shared" si="2"/>
        <v>7</v>
      </c>
      <c r="Q8" s="40">
        <f t="shared" si="3"/>
        <v>17</v>
      </c>
      <c r="R8" s="7"/>
      <c r="S8" s="6"/>
      <c r="T8" s="16"/>
      <c r="U8" s="16"/>
      <c r="V8" s="17"/>
      <c r="W8" s="5">
        <v>17</v>
      </c>
      <c r="X8" s="16"/>
      <c r="Y8" s="16"/>
      <c r="Z8" s="16"/>
      <c r="AA8" s="18"/>
      <c r="AB8" s="8">
        <f t="shared" si="4"/>
        <v>1</v>
      </c>
      <c r="AC8" s="9">
        <f t="shared" si="5"/>
        <v>0.29166666666666669</v>
      </c>
      <c r="AD8" s="10">
        <f t="shared" si="8"/>
        <v>0.29166666666666669</v>
      </c>
      <c r="AE8" s="36">
        <f t="shared" si="6"/>
        <v>0.55862000713761029</v>
      </c>
      <c r="AF8" s="81">
        <f t="shared" si="7"/>
        <v>3</v>
      </c>
    </row>
    <row r="9" spans="1:32" ht="27" customHeight="1">
      <c r="A9" s="92">
        <v>3</v>
      </c>
      <c r="B9" s="11" t="s">
        <v>57</v>
      </c>
      <c r="C9" s="34" t="s">
        <v>417</v>
      </c>
      <c r="D9" s="52"/>
      <c r="E9" s="53" t="s">
        <v>460</v>
      </c>
      <c r="F9" s="30" t="s">
        <v>286</v>
      </c>
      <c r="G9" s="12" t="s">
        <v>445</v>
      </c>
      <c r="H9" s="13">
        <v>22</v>
      </c>
      <c r="I9" s="31">
        <v>3000</v>
      </c>
      <c r="J9" s="5">
        <v>2580</v>
      </c>
      <c r="K9" s="15">
        <f>L9</f>
        <v>2580</v>
      </c>
      <c r="L9" s="15">
        <f>513+2067</f>
        <v>2580</v>
      </c>
      <c r="M9" s="15">
        <f t="shared" ref="M9" si="9">L9-N9</f>
        <v>2580</v>
      </c>
      <c r="N9" s="15">
        <v>0</v>
      </c>
      <c r="O9" s="58">
        <f t="shared" ref="O9" si="10">IF(L9=0,"0",N9/L9)</f>
        <v>0</v>
      </c>
      <c r="P9" s="39">
        <f t="shared" ref="P9" si="11">IF(L9=0,"0",(24-Q9))</f>
        <v>12</v>
      </c>
      <c r="Q9" s="40">
        <f t="shared" ref="Q9" si="12">SUM(R9:AA9)</f>
        <v>12</v>
      </c>
      <c r="R9" s="7"/>
      <c r="S9" s="6">
        <v>4</v>
      </c>
      <c r="T9" s="16">
        <v>8</v>
      </c>
      <c r="U9" s="16"/>
      <c r="V9" s="17"/>
      <c r="W9" s="5"/>
      <c r="X9" s="16"/>
      <c r="Y9" s="16"/>
      <c r="Z9" s="16"/>
      <c r="AA9" s="18"/>
      <c r="AB9" s="8">
        <f t="shared" ref="AB9" si="13">IF(J9=0,"0",(L9/J9))</f>
        <v>1</v>
      </c>
      <c r="AC9" s="9">
        <f t="shared" ref="AC9" si="14">IF(P9=0,"0",(P9/24))</f>
        <v>0.5</v>
      </c>
      <c r="AD9" s="10">
        <f t="shared" ref="AD9" si="15">AC9*AB9*(1-O9)</f>
        <v>0.5</v>
      </c>
      <c r="AE9" s="36">
        <f t="shared" si="6"/>
        <v>0.55862000713761029</v>
      </c>
      <c r="AF9" s="81">
        <f t="shared" ref="AF9" si="16">A9</f>
        <v>3</v>
      </c>
    </row>
    <row r="10" spans="1:32" ht="27" customHeight="1">
      <c r="A10" s="92">
        <v>4</v>
      </c>
      <c r="B10" s="11" t="s">
        <v>57</v>
      </c>
      <c r="C10" s="34" t="s">
        <v>116</v>
      </c>
      <c r="D10" s="52" t="s">
        <v>284</v>
      </c>
      <c r="E10" s="53" t="s">
        <v>312</v>
      </c>
      <c r="F10" s="30" t="s">
        <v>323</v>
      </c>
      <c r="G10" s="12">
        <v>1</v>
      </c>
      <c r="H10" s="13">
        <v>24</v>
      </c>
      <c r="I10" s="7">
        <v>60000</v>
      </c>
      <c r="J10" s="14">
        <v>4873</v>
      </c>
      <c r="K10" s="15">
        <f>L10+3954+360+4890+6432</f>
        <v>20509</v>
      </c>
      <c r="L10" s="15">
        <f>2940+1933</f>
        <v>4873</v>
      </c>
      <c r="M10" s="15">
        <f t="shared" si="0"/>
        <v>4873</v>
      </c>
      <c r="N10" s="15">
        <v>0</v>
      </c>
      <c r="O10" s="58">
        <f t="shared" si="1"/>
        <v>0</v>
      </c>
      <c r="P10" s="39">
        <f t="shared" si="2"/>
        <v>21</v>
      </c>
      <c r="Q10" s="40">
        <f t="shared" si="3"/>
        <v>3</v>
      </c>
      <c r="R10" s="7"/>
      <c r="S10" s="6">
        <v>3</v>
      </c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0.875</v>
      </c>
      <c r="AD10" s="10">
        <f t="shared" si="8"/>
        <v>0.875</v>
      </c>
      <c r="AE10" s="36">
        <f t="shared" si="6"/>
        <v>0.55862000713761029</v>
      </c>
      <c r="AF10" s="81">
        <f t="shared" si="7"/>
        <v>4</v>
      </c>
    </row>
    <row r="11" spans="1:32" ht="27" customHeight="1">
      <c r="A11" s="92">
        <v>5</v>
      </c>
      <c r="B11" s="11" t="s">
        <v>57</v>
      </c>
      <c r="C11" s="11" t="s">
        <v>112</v>
      </c>
      <c r="D11" s="52" t="s">
        <v>121</v>
      </c>
      <c r="E11" s="53" t="s">
        <v>188</v>
      </c>
      <c r="F11" s="30" t="s">
        <v>124</v>
      </c>
      <c r="G11" s="33">
        <v>1</v>
      </c>
      <c r="H11" s="35">
        <v>24</v>
      </c>
      <c r="I11" s="7">
        <v>115000</v>
      </c>
      <c r="J11" s="14">
        <v>2790</v>
      </c>
      <c r="K11" s="15">
        <f>L11+5338+5669+5744+4980+3619+1932+309</f>
        <v>30381</v>
      </c>
      <c r="L11" s="15">
        <f>2790</f>
        <v>2790</v>
      </c>
      <c r="M11" s="15">
        <f t="shared" si="0"/>
        <v>2790</v>
      </c>
      <c r="N11" s="15">
        <v>0</v>
      </c>
      <c r="O11" s="58">
        <f t="shared" si="1"/>
        <v>0</v>
      </c>
      <c r="P11" s="39">
        <f t="shared" si="2"/>
        <v>13</v>
      </c>
      <c r="Q11" s="40">
        <f t="shared" si="3"/>
        <v>11</v>
      </c>
      <c r="R11" s="7"/>
      <c r="S11" s="6">
        <v>11</v>
      </c>
      <c r="T11" s="16"/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0.54166666666666663</v>
      </c>
      <c r="AD11" s="10">
        <f t="shared" si="8"/>
        <v>0.54166666666666663</v>
      </c>
      <c r="AE11" s="36">
        <f t="shared" si="6"/>
        <v>0.55862000713761029</v>
      </c>
      <c r="AF11" s="81">
        <f t="shared" si="7"/>
        <v>5</v>
      </c>
    </row>
    <row r="12" spans="1:32" ht="27" customHeight="1">
      <c r="A12" s="92">
        <v>6</v>
      </c>
      <c r="B12" s="11" t="s">
        <v>57</v>
      </c>
      <c r="C12" s="11" t="s">
        <v>116</v>
      </c>
      <c r="D12" s="52" t="s">
        <v>147</v>
      </c>
      <c r="E12" s="53" t="s">
        <v>373</v>
      </c>
      <c r="F12" s="30" t="s">
        <v>286</v>
      </c>
      <c r="G12" s="33">
        <v>1</v>
      </c>
      <c r="H12" s="35">
        <v>24</v>
      </c>
      <c r="I12" s="7">
        <v>800</v>
      </c>
      <c r="J12" s="14">
        <v>800</v>
      </c>
      <c r="K12" s="15">
        <f>L12</f>
        <v>800</v>
      </c>
      <c r="L12" s="15">
        <v>800</v>
      </c>
      <c r="M12" s="15">
        <f t="shared" si="0"/>
        <v>800</v>
      </c>
      <c r="N12" s="15">
        <v>0</v>
      </c>
      <c r="O12" s="58">
        <f t="shared" si="1"/>
        <v>0</v>
      </c>
      <c r="P12" s="39">
        <f t="shared" si="2"/>
        <v>4</v>
      </c>
      <c r="Q12" s="40">
        <f t="shared" si="3"/>
        <v>20</v>
      </c>
      <c r="R12" s="7"/>
      <c r="S12" s="6"/>
      <c r="T12" s="16"/>
      <c r="U12" s="16"/>
      <c r="V12" s="17"/>
      <c r="W12" s="5">
        <v>20</v>
      </c>
      <c r="X12" s="16"/>
      <c r="Y12" s="16"/>
      <c r="Z12" s="16"/>
      <c r="AA12" s="18"/>
      <c r="AB12" s="8">
        <f t="shared" si="4"/>
        <v>1</v>
      </c>
      <c r="AC12" s="9">
        <f t="shared" si="5"/>
        <v>0.16666666666666666</v>
      </c>
      <c r="AD12" s="10">
        <f t="shared" si="8"/>
        <v>0.16666666666666666</v>
      </c>
      <c r="AE12" s="36">
        <f t="shared" si="6"/>
        <v>0.55862000713761029</v>
      </c>
      <c r="AF12" s="81">
        <f t="shared" si="7"/>
        <v>6</v>
      </c>
    </row>
    <row r="13" spans="1:32" ht="27" customHeight="1">
      <c r="A13" s="92">
        <v>6</v>
      </c>
      <c r="B13" s="11" t="s">
        <v>57</v>
      </c>
      <c r="C13" s="11" t="s">
        <v>161</v>
      </c>
      <c r="D13" s="52"/>
      <c r="E13" s="53" t="s">
        <v>485</v>
      </c>
      <c r="F13" s="30" t="s">
        <v>145</v>
      </c>
      <c r="G13" s="33">
        <v>2</v>
      </c>
      <c r="H13" s="35">
        <v>24</v>
      </c>
      <c r="I13" s="7">
        <v>13000</v>
      </c>
      <c r="J13" s="14">
        <v>6400</v>
      </c>
      <c r="K13" s="15">
        <f>L13</f>
        <v>6400</v>
      </c>
      <c r="L13" s="15">
        <f>858*2+2342*2</f>
        <v>6400</v>
      </c>
      <c r="M13" s="15">
        <f t="shared" ref="M13" si="17">L13-N13</f>
        <v>6400</v>
      </c>
      <c r="N13" s="15">
        <v>0</v>
      </c>
      <c r="O13" s="58">
        <f t="shared" ref="O13" si="18">IF(L13=0,"0",N13/L13)</f>
        <v>0</v>
      </c>
      <c r="P13" s="39">
        <f t="shared" ref="P13" si="19">IF(L13=0,"0",(24-Q13))</f>
        <v>18</v>
      </c>
      <c r="Q13" s="40">
        <f t="shared" ref="Q13" si="20">SUM(R13:AA13)</f>
        <v>6</v>
      </c>
      <c r="R13" s="7"/>
      <c r="S13" s="6"/>
      <c r="T13" s="16">
        <v>6</v>
      </c>
      <c r="U13" s="16"/>
      <c r="V13" s="17"/>
      <c r="W13" s="5"/>
      <c r="X13" s="16"/>
      <c r="Y13" s="16"/>
      <c r="Z13" s="16"/>
      <c r="AA13" s="18"/>
      <c r="AB13" s="8">
        <f t="shared" ref="AB13" si="21">IF(J13=0,"0",(L13/J13))</f>
        <v>1</v>
      </c>
      <c r="AC13" s="9">
        <f t="shared" ref="AC13" si="22">IF(P13=0,"0",(P13/24))</f>
        <v>0.75</v>
      </c>
      <c r="AD13" s="10">
        <f t="shared" ref="AD13" si="23">AC13*AB13*(1-O13)</f>
        <v>0.75</v>
      </c>
      <c r="AE13" s="36">
        <f t="shared" si="6"/>
        <v>0.55862000713761029</v>
      </c>
      <c r="AF13" s="81">
        <f t="shared" ref="AF13" si="24">A13</f>
        <v>6</v>
      </c>
    </row>
    <row r="14" spans="1:32" ht="27" customHeight="1">
      <c r="A14" s="92">
        <v>7</v>
      </c>
      <c r="B14" s="11" t="s">
        <v>57</v>
      </c>
      <c r="C14" s="34" t="s">
        <v>116</v>
      </c>
      <c r="D14" s="52" t="s">
        <v>115</v>
      </c>
      <c r="E14" s="53" t="s">
        <v>214</v>
      </c>
      <c r="F14" s="30" t="s">
        <v>235</v>
      </c>
      <c r="G14" s="12">
        <v>1</v>
      </c>
      <c r="H14" s="13">
        <v>22</v>
      </c>
      <c r="I14" s="31">
        <v>60000</v>
      </c>
      <c r="J14" s="5">
        <v>3030</v>
      </c>
      <c r="K14" s="15">
        <f>L14+7218+9738+8082+9034+9324+9374+7651</f>
        <v>63451</v>
      </c>
      <c r="L14" s="15">
        <f>1515*2</f>
        <v>3030</v>
      </c>
      <c r="M14" s="15">
        <f t="shared" si="0"/>
        <v>3030</v>
      </c>
      <c r="N14" s="15">
        <v>0</v>
      </c>
      <c r="O14" s="58">
        <f t="shared" si="1"/>
        <v>0</v>
      </c>
      <c r="P14" s="39">
        <f t="shared" si="2"/>
        <v>11</v>
      </c>
      <c r="Q14" s="40">
        <f t="shared" si="3"/>
        <v>13</v>
      </c>
      <c r="R14" s="7"/>
      <c r="S14" s="6">
        <v>13</v>
      </c>
      <c r="T14" s="16"/>
      <c r="U14" s="16"/>
      <c r="V14" s="17"/>
      <c r="W14" s="5"/>
      <c r="X14" s="16"/>
      <c r="Y14" s="16"/>
      <c r="Z14" s="16"/>
      <c r="AA14" s="18"/>
      <c r="AB14" s="8">
        <f t="shared" si="4"/>
        <v>1</v>
      </c>
      <c r="AC14" s="9">
        <f t="shared" si="5"/>
        <v>0.45833333333333331</v>
      </c>
      <c r="AD14" s="10">
        <f t="shared" si="8"/>
        <v>0.45833333333333331</v>
      </c>
      <c r="AE14" s="36">
        <f t="shared" si="6"/>
        <v>0.55862000713761029</v>
      </c>
      <c r="AF14" s="81">
        <f t="shared" si="7"/>
        <v>7</v>
      </c>
    </row>
    <row r="15" spans="1:32" ht="27" customHeight="1">
      <c r="A15" s="92">
        <v>8</v>
      </c>
      <c r="B15" s="11" t="s">
        <v>57</v>
      </c>
      <c r="C15" s="11" t="s">
        <v>127</v>
      </c>
      <c r="D15" s="52" t="s">
        <v>209</v>
      </c>
      <c r="E15" s="53" t="s">
        <v>180</v>
      </c>
      <c r="F15" s="30" t="s">
        <v>123</v>
      </c>
      <c r="G15" s="33">
        <v>1</v>
      </c>
      <c r="H15" s="35">
        <v>22</v>
      </c>
      <c r="I15" s="7">
        <v>17400</v>
      </c>
      <c r="J15" s="14">
        <v>4459</v>
      </c>
      <c r="K15" s="15">
        <f>L15+2074</f>
        <v>6533</v>
      </c>
      <c r="L15" s="15">
        <f>2097+2362</f>
        <v>4459</v>
      </c>
      <c r="M15" s="15">
        <f t="shared" si="0"/>
        <v>4459</v>
      </c>
      <c r="N15" s="15">
        <v>0</v>
      </c>
      <c r="O15" s="58">
        <f t="shared" si="1"/>
        <v>0</v>
      </c>
      <c r="P15" s="39">
        <f t="shared" si="2"/>
        <v>24</v>
      </c>
      <c r="Q15" s="40">
        <f t="shared" si="3"/>
        <v>0</v>
      </c>
      <c r="R15" s="7"/>
      <c r="S15" s="6"/>
      <c r="T15" s="16"/>
      <c r="U15" s="16"/>
      <c r="V15" s="17"/>
      <c r="W15" s="5"/>
      <c r="X15" s="16"/>
      <c r="Y15" s="16"/>
      <c r="Z15" s="16"/>
      <c r="AA15" s="18"/>
      <c r="AB15" s="8">
        <f t="shared" si="4"/>
        <v>1</v>
      </c>
      <c r="AC15" s="9">
        <f t="shared" si="5"/>
        <v>1</v>
      </c>
      <c r="AD15" s="10">
        <f t="shared" si="8"/>
        <v>1</v>
      </c>
      <c r="AE15" s="36">
        <f t="shared" si="6"/>
        <v>0.55862000713761029</v>
      </c>
      <c r="AF15" s="81">
        <f t="shared" si="7"/>
        <v>8</v>
      </c>
    </row>
    <row r="16" spans="1:32" ht="27" customHeight="1">
      <c r="A16" s="99">
        <v>9</v>
      </c>
      <c r="B16" s="11" t="s">
        <v>57</v>
      </c>
      <c r="C16" s="34" t="s">
        <v>112</v>
      </c>
      <c r="D16" s="52" t="s">
        <v>115</v>
      </c>
      <c r="E16" s="53" t="s">
        <v>165</v>
      </c>
      <c r="F16" s="30" t="s">
        <v>167</v>
      </c>
      <c r="G16" s="33">
        <v>1</v>
      </c>
      <c r="H16" s="35">
        <v>50</v>
      </c>
      <c r="I16" s="7">
        <v>300</v>
      </c>
      <c r="J16" s="5">
        <v>391</v>
      </c>
      <c r="K16" s="15">
        <f>L16+300</f>
        <v>300</v>
      </c>
      <c r="L16" s="15"/>
      <c r="M16" s="15">
        <f t="shared" si="0"/>
        <v>0</v>
      </c>
      <c r="N16" s="15">
        <v>0</v>
      </c>
      <c r="O16" s="58" t="str">
        <f t="shared" si="1"/>
        <v>0</v>
      </c>
      <c r="P16" s="39" t="str">
        <f t="shared" si="2"/>
        <v>0</v>
      </c>
      <c r="Q16" s="40">
        <f t="shared" si="3"/>
        <v>24</v>
      </c>
      <c r="R16" s="7"/>
      <c r="S16" s="6"/>
      <c r="T16" s="16"/>
      <c r="U16" s="16"/>
      <c r="V16" s="17"/>
      <c r="W16" s="5"/>
      <c r="X16" s="16"/>
      <c r="Y16" s="16"/>
      <c r="Z16" s="16"/>
      <c r="AA16" s="18">
        <v>24</v>
      </c>
      <c r="AB16" s="8">
        <f t="shared" si="4"/>
        <v>0</v>
      </c>
      <c r="AC16" s="9">
        <f t="shared" si="5"/>
        <v>0</v>
      </c>
      <c r="AD16" s="10">
        <f t="shared" si="8"/>
        <v>0</v>
      </c>
      <c r="AE16" s="36">
        <f t="shared" si="6"/>
        <v>0.55862000713761029</v>
      </c>
      <c r="AF16" s="81">
        <f t="shared" si="7"/>
        <v>9</v>
      </c>
    </row>
    <row r="17" spans="1:32" ht="27" customHeight="1">
      <c r="A17" s="106">
        <v>10</v>
      </c>
      <c r="B17" s="11" t="s">
        <v>57</v>
      </c>
      <c r="C17" s="34" t="s">
        <v>127</v>
      </c>
      <c r="D17" s="52" t="s">
        <v>313</v>
      </c>
      <c r="E17" s="53" t="s">
        <v>324</v>
      </c>
      <c r="F17" s="30" t="s">
        <v>325</v>
      </c>
      <c r="G17" s="12">
        <v>4</v>
      </c>
      <c r="H17" s="13">
        <v>24</v>
      </c>
      <c r="I17" s="31">
        <v>200000</v>
      </c>
      <c r="J17" s="14">
        <v>40080</v>
      </c>
      <c r="K17" s="15">
        <f>L17+34980+32440+20828+34276</f>
        <v>162604</v>
      </c>
      <c r="L17" s="15">
        <f>4807*4+5213*4</f>
        <v>40080</v>
      </c>
      <c r="M17" s="15">
        <f t="shared" si="0"/>
        <v>40080</v>
      </c>
      <c r="N17" s="15">
        <v>0</v>
      </c>
      <c r="O17" s="58">
        <f t="shared" si="1"/>
        <v>0</v>
      </c>
      <c r="P17" s="39">
        <f t="shared" si="2"/>
        <v>24</v>
      </c>
      <c r="Q17" s="40">
        <f t="shared" si="3"/>
        <v>0</v>
      </c>
      <c r="R17" s="7"/>
      <c r="S17" s="6"/>
      <c r="T17" s="16"/>
      <c r="U17" s="16"/>
      <c r="V17" s="17"/>
      <c r="W17" s="5"/>
      <c r="X17" s="16"/>
      <c r="Y17" s="16"/>
      <c r="Z17" s="16"/>
      <c r="AA17" s="18"/>
      <c r="AB17" s="8">
        <f t="shared" si="4"/>
        <v>1</v>
      </c>
      <c r="AC17" s="9">
        <f t="shared" si="5"/>
        <v>1</v>
      </c>
      <c r="AD17" s="10">
        <f t="shared" si="8"/>
        <v>1</v>
      </c>
      <c r="AE17" s="36">
        <f t="shared" si="6"/>
        <v>0.55862000713761029</v>
      </c>
      <c r="AF17" s="81">
        <f t="shared" si="7"/>
        <v>10</v>
      </c>
    </row>
    <row r="18" spans="1:32" ht="27" customHeight="1">
      <c r="A18" s="106">
        <v>11</v>
      </c>
      <c r="B18" s="11" t="s">
        <v>57</v>
      </c>
      <c r="C18" s="34" t="s">
        <v>112</v>
      </c>
      <c r="D18" s="52" t="s">
        <v>115</v>
      </c>
      <c r="E18" s="53" t="s">
        <v>486</v>
      </c>
      <c r="F18" s="30" t="s">
        <v>286</v>
      </c>
      <c r="G18" s="12">
        <v>1</v>
      </c>
      <c r="H18" s="13">
        <v>24</v>
      </c>
      <c r="I18" s="7">
        <v>5000</v>
      </c>
      <c r="J18" s="14">
        <v>1828</v>
      </c>
      <c r="K18" s="15">
        <f>L18</f>
        <v>1828</v>
      </c>
      <c r="L18" s="15">
        <v>1828</v>
      </c>
      <c r="M18" s="15">
        <f t="shared" si="0"/>
        <v>1828</v>
      </c>
      <c r="N18" s="15">
        <v>0</v>
      </c>
      <c r="O18" s="58">
        <f t="shared" si="1"/>
        <v>0</v>
      </c>
      <c r="P18" s="39">
        <f t="shared" si="2"/>
        <v>11</v>
      </c>
      <c r="Q18" s="40">
        <f t="shared" si="3"/>
        <v>13</v>
      </c>
      <c r="R18" s="7"/>
      <c r="S18" s="6">
        <v>13</v>
      </c>
      <c r="T18" s="16"/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0.45833333333333331</v>
      </c>
      <c r="AD18" s="10">
        <f t="shared" si="8"/>
        <v>0.45833333333333331</v>
      </c>
      <c r="AE18" s="36">
        <f t="shared" si="6"/>
        <v>0.55862000713761029</v>
      </c>
      <c r="AF18" s="81">
        <f t="shared" si="7"/>
        <v>11</v>
      </c>
    </row>
    <row r="19" spans="1:32" ht="27" customHeight="1">
      <c r="A19" s="106">
        <v>12</v>
      </c>
      <c r="B19" s="11" t="s">
        <v>57</v>
      </c>
      <c r="C19" s="34" t="s">
        <v>127</v>
      </c>
      <c r="D19" s="52" t="s">
        <v>129</v>
      </c>
      <c r="E19" s="53" t="s">
        <v>487</v>
      </c>
      <c r="F19" s="30" t="s">
        <v>228</v>
      </c>
      <c r="G19" s="12">
        <v>2</v>
      </c>
      <c r="H19" s="13">
        <v>24</v>
      </c>
      <c r="I19" s="7">
        <v>13000</v>
      </c>
      <c r="J19" s="14">
        <v>6526</v>
      </c>
      <c r="K19" s="15">
        <f>L19</f>
        <v>6526</v>
      </c>
      <c r="L19" s="15">
        <f>700*2+2563*2</f>
        <v>6526</v>
      </c>
      <c r="M19" s="15">
        <f t="shared" si="0"/>
        <v>6526</v>
      </c>
      <c r="N19" s="15">
        <v>0</v>
      </c>
      <c r="O19" s="58">
        <f t="shared" si="1"/>
        <v>0</v>
      </c>
      <c r="P19" s="39">
        <f t="shared" si="2"/>
        <v>18</v>
      </c>
      <c r="Q19" s="40">
        <f t="shared" si="3"/>
        <v>6</v>
      </c>
      <c r="R19" s="7"/>
      <c r="S19" s="6"/>
      <c r="T19" s="16">
        <v>6</v>
      </c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0.75</v>
      </c>
      <c r="AD19" s="10">
        <f t="shared" si="8"/>
        <v>0.75</v>
      </c>
      <c r="AE19" s="36">
        <f t="shared" si="6"/>
        <v>0.55862000713761029</v>
      </c>
      <c r="AF19" s="81">
        <f t="shared" si="7"/>
        <v>12</v>
      </c>
    </row>
    <row r="20" spans="1:32" ht="27" customHeight="1">
      <c r="A20" s="92">
        <v>13</v>
      </c>
      <c r="B20" s="11" t="s">
        <v>57</v>
      </c>
      <c r="C20" s="34" t="s">
        <v>116</v>
      </c>
      <c r="D20" s="52" t="s">
        <v>115</v>
      </c>
      <c r="E20" s="53" t="s">
        <v>198</v>
      </c>
      <c r="F20" s="30" t="s">
        <v>138</v>
      </c>
      <c r="G20" s="12">
        <v>2</v>
      </c>
      <c r="H20" s="13">
        <v>22</v>
      </c>
      <c r="I20" s="31">
        <v>90000</v>
      </c>
      <c r="J20" s="5">
        <v>11744</v>
      </c>
      <c r="K20" s="15">
        <f>L20+9112+12392+12128+9906+11662+11012+12156</f>
        <v>90112</v>
      </c>
      <c r="L20" s="15">
        <f>2800*2+3072*2</f>
        <v>11744</v>
      </c>
      <c r="M20" s="15">
        <f t="shared" si="0"/>
        <v>11744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si="8"/>
        <v>1</v>
      </c>
      <c r="AE20" s="36">
        <f t="shared" si="6"/>
        <v>0.55862000713761029</v>
      </c>
      <c r="AF20" s="81">
        <f t="shared" si="7"/>
        <v>13</v>
      </c>
    </row>
    <row r="21" spans="1:32" ht="27" customHeight="1">
      <c r="A21" s="92">
        <v>14</v>
      </c>
      <c r="B21" s="11" t="s">
        <v>57</v>
      </c>
      <c r="C21" s="11" t="s">
        <v>161</v>
      </c>
      <c r="D21" s="52"/>
      <c r="E21" s="53" t="s">
        <v>488</v>
      </c>
      <c r="F21" s="30" t="s">
        <v>145</v>
      </c>
      <c r="G21" s="33">
        <v>2</v>
      </c>
      <c r="H21" s="35">
        <v>24</v>
      </c>
      <c r="I21" s="7">
        <v>13000</v>
      </c>
      <c r="J21" s="14">
        <v>7480</v>
      </c>
      <c r="K21" s="15">
        <f>L21</f>
        <v>7480</v>
      </c>
      <c r="L21" s="15">
        <f>2213*2+1008*2+1038</f>
        <v>7480</v>
      </c>
      <c r="M21" s="15">
        <f t="shared" si="0"/>
        <v>7480</v>
      </c>
      <c r="N21" s="15">
        <v>0</v>
      </c>
      <c r="O21" s="58">
        <f t="shared" si="1"/>
        <v>0</v>
      </c>
      <c r="P21" s="39">
        <f t="shared" si="2"/>
        <v>22</v>
      </c>
      <c r="Q21" s="40">
        <f t="shared" si="3"/>
        <v>2</v>
      </c>
      <c r="R21" s="7"/>
      <c r="S21" s="6">
        <v>2</v>
      </c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0.91666666666666663</v>
      </c>
      <c r="AD21" s="10">
        <f t="shared" si="8"/>
        <v>0.91666666666666663</v>
      </c>
      <c r="AE21" s="36">
        <f t="shared" si="6"/>
        <v>0.55862000713761029</v>
      </c>
      <c r="AF21" s="81">
        <f t="shared" si="7"/>
        <v>14</v>
      </c>
    </row>
    <row r="22" spans="1:32" ht="27" customHeight="1">
      <c r="A22" s="106">
        <v>15</v>
      </c>
      <c r="B22" s="11" t="s">
        <v>57</v>
      </c>
      <c r="C22" s="11" t="s">
        <v>112</v>
      </c>
      <c r="D22" s="52" t="s">
        <v>115</v>
      </c>
      <c r="E22" s="53" t="s">
        <v>148</v>
      </c>
      <c r="F22" s="30" t="s">
        <v>138</v>
      </c>
      <c r="G22" s="33">
        <v>2</v>
      </c>
      <c r="H22" s="35">
        <v>24</v>
      </c>
      <c r="I22" s="7">
        <v>190000</v>
      </c>
      <c r="J22" s="14">
        <v>10428</v>
      </c>
      <c r="K22" s="15">
        <f>L22+2429+7472+8688+7444+11036+10988+11010+10896+8170+1188+8544+8600</f>
        <v>106893</v>
      </c>
      <c r="L22" s="15">
        <f>2760*2+2454*2</f>
        <v>10428</v>
      </c>
      <c r="M22" s="15">
        <f t="shared" si="0"/>
        <v>10428</v>
      </c>
      <c r="N22" s="15">
        <v>0</v>
      </c>
      <c r="O22" s="58">
        <f t="shared" si="1"/>
        <v>0</v>
      </c>
      <c r="P22" s="39">
        <f t="shared" si="2"/>
        <v>24</v>
      </c>
      <c r="Q22" s="40">
        <f t="shared" si="3"/>
        <v>0</v>
      </c>
      <c r="R22" s="7"/>
      <c r="S22" s="6"/>
      <c r="T22" s="16"/>
      <c r="U22" s="16"/>
      <c r="V22" s="17"/>
      <c r="W22" s="5"/>
      <c r="X22" s="16"/>
      <c r="Y22" s="16"/>
      <c r="Z22" s="16"/>
      <c r="AA22" s="18"/>
      <c r="AB22" s="8">
        <f t="shared" si="4"/>
        <v>1</v>
      </c>
      <c r="AC22" s="9">
        <f t="shared" si="5"/>
        <v>1</v>
      </c>
      <c r="AD22" s="10">
        <f t="shared" si="8"/>
        <v>1</v>
      </c>
      <c r="AE22" s="36">
        <f t="shared" si="6"/>
        <v>0.55862000713761029</v>
      </c>
      <c r="AF22" s="81">
        <f t="shared" si="7"/>
        <v>15</v>
      </c>
    </row>
    <row r="23" spans="1:32" ht="26.25" customHeight="1">
      <c r="A23" s="92">
        <v>16</v>
      </c>
      <c r="B23" s="11" t="s">
        <v>57</v>
      </c>
      <c r="C23" s="11" t="s">
        <v>113</v>
      </c>
      <c r="D23" s="52"/>
      <c r="E23" s="53" t="s">
        <v>160</v>
      </c>
      <c r="F23" s="12" t="s">
        <v>114</v>
      </c>
      <c r="G23" s="12">
        <v>4</v>
      </c>
      <c r="H23" s="35">
        <v>20</v>
      </c>
      <c r="I23" s="7">
        <v>2000000</v>
      </c>
      <c r="J23" s="14">
        <v>64136</v>
      </c>
      <c r="K23" s="15">
        <f>L23+29876+62940+54476+54396+57856+63452+64136</f>
        <v>447968</v>
      </c>
      <c r="L23" s="15">
        <f>7106*4+8103*4</f>
        <v>60836</v>
      </c>
      <c r="M23" s="15">
        <f t="shared" si="0"/>
        <v>60836</v>
      </c>
      <c r="N23" s="15">
        <v>0</v>
      </c>
      <c r="O23" s="58">
        <f t="shared" si="1"/>
        <v>0</v>
      </c>
      <c r="P23" s="39">
        <f t="shared" si="2"/>
        <v>24</v>
      </c>
      <c r="Q23" s="40">
        <f t="shared" si="3"/>
        <v>0</v>
      </c>
      <c r="R23" s="7"/>
      <c r="S23" s="6"/>
      <c r="T23" s="16"/>
      <c r="U23" s="16"/>
      <c r="V23" s="17"/>
      <c r="W23" s="5"/>
      <c r="X23" s="16"/>
      <c r="Y23" s="16"/>
      <c r="Z23" s="16"/>
      <c r="AA23" s="18"/>
      <c r="AB23" s="8">
        <f t="shared" si="4"/>
        <v>0.94854683796931516</v>
      </c>
      <c r="AC23" s="9">
        <f t="shared" si="5"/>
        <v>1</v>
      </c>
      <c r="AD23" s="10">
        <f t="shared" si="8"/>
        <v>0.94854683796931516</v>
      </c>
      <c r="AE23" s="36">
        <f t="shared" si="6"/>
        <v>0.55862000713761029</v>
      </c>
      <c r="AF23" s="81">
        <f t="shared" si="7"/>
        <v>16</v>
      </c>
    </row>
    <row r="24" spans="1:32" ht="21.75" customHeight="1">
      <c r="A24" s="92">
        <v>31</v>
      </c>
      <c r="B24" s="11" t="s">
        <v>57</v>
      </c>
      <c r="C24" s="11" t="s">
        <v>191</v>
      </c>
      <c r="D24" s="52"/>
      <c r="E24" s="53" t="s">
        <v>192</v>
      </c>
      <c r="F24" s="12" t="s">
        <v>193</v>
      </c>
      <c r="G24" s="12">
        <v>30</v>
      </c>
      <c r="H24" s="35">
        <v>20</v>
      </c>
      <c r="I24" s="7">
        <v>2000000</v>
      </c>
      <c r="J24" s="14">
        <v>310470</v>
      </c>
      <c r="K24" s="15">
        <f>L24+353460+498300+465060+421290+492180+498630+310470</f>
        <v>3039390</v>
      </c>
      <c r="L24" s="15"/>
      <c r="M24" s="15">
        <f t="shared" si="0"/>
        <v>0</v>
      </c>
      <c r="N24" s="15">
        <v>0</v>
      </c>
      <c r="O24" s="58" t="str">
        <f t="shared" si="1"/>
        <v>0</v>
      </c>
      <c r="P24" s="39" t="str">
        <f t="shared" si="2"/>
        <v>0</v>
      </c>
      <c r="Q24" s="40">
        <f t="shared" si="3"/>
        <v>24</v>
      </c>
      <c r="R24" s="7"/>
      <c r="S24" s="6"/>
      <c r="T24" s="16"/>
      <c r="U24" s="16"/>
      <c r="V24" s="17"/>
      <c r="W24" s="5">
        <v>24</v>
      </c>
      <c r="X24" s="16"/>
      <c r="Y24" s="16"/>
      <c r="Z24" s="16"/>
      <c r="AA24" s="18"/>
      <c r="AB24" s="8">
        <f t="shared" si="4"/>
        <v>0</v>
      </c>
      <c r="AC24" s="9">
        <f t="shared" si="5"/>
        <v>0</v>
      </c>
      <c r="AD24" s="10">
        <f t="shared" si="8"/>
        <v>0</v>
      </c>
      <c r="AE24" s="36">
        <f t="shared" si="6"/>
        <v>0.55862000713761029</v>
      </c>
      <c r="AF24" s="81">
        <f t="shared" si="7"/>
        <v>31</v>
      </c>
    </row>
    <row r="25" spans="1:32" ht="21.75" customHeight="1">
      <c r="A25" s="92">
        <v>32</v>
      </c>
      <c r="B25" s="11" t="s">
        <v>57</v>
      </c>
      <c r="C25" s="11"/>
      <c r="D25" s="52"/>
      <c r="E25" s="53"/>
      <c r="F25" s="12"/>
      <c r="G25" s="12"/>
      <c r="H25" s="35">
        <v>20</v>
      </c>
      <c r="I25" s="7"/>
      <c r="J25" s="14">
        <v>0</v>
      </c>
      <c r="K25" s="15">
        <f t="shared" ref="K25" si="25">L25</f>
        <v>0</v>
      </c>
      <c r="L25" s="15"/>
      <c r="M25" s="15">
        <f t="shared" si="0"/>
        <v>0</v>
      </c>
      <c r="N25" s="15">
        <v>0</v>
      </c>
      <c r="O25" s="58" t="str">
        <f t="shared" si="1"/>
        <v>0</v>
      </c>
      <c r="P25" s="39" t="str">
        <f t="shared" si="2"/>
        <v>0</v>
      </c>
      <c r="Q25" s="40">
        <f t="shared" si="3"/>
        <v>24</v>
      </c>
      <c r="R25" s="7"/>
      <c r="S25" s="6"/>
      <c r="T25" s="16"/>
      <c r="U25" s="16"/>
      <c r="V25" s="17"/>
      <c r="W25" s="5">
        <v>24</v>
      </c>
      <c r="X25" s="16"/>
      <c r="Y25" s="16"/>
      <c r="Z25" s="16"/>
      <c r="AA25" s="18"/>
      <c r="AB25" s="8" t="str">
        <f t="shared" si="4"/>
        <v>0</v>
      </c>
      <c r="AC25" s="9">
        <f t="shared" si="5"/>
        <v>0</v>
      </c>
      <c r="AD25" s="10">
        <f t="shared" si="8"/>
        <v>0</v>
      </c>
      <c r="AE25" s="36">
        <f t="shared" si="6"/>
        <v>0.55862000713761029</v>
      </c>
      <c r="AF25" s="81">
        <f t="shared" si="7"/>
        <v>32</v>
      </c>
    </row>
    <row r="26" spans="1:32" ht="21.75" customHeight="1">
      <c r="A26" s="92">
        <v>33</v>
      </c>
      <c r="B26" s="11" t="s">
        <v>57</v>
      </c>
      <c r="C26" s="11" t="s">
        <v>116</v>
      </c>
      <c r="D26" s="52" t="s">
        <v>147</v>
      </c>
      <c r="E26" s="53" t="s">
        <v>183</v>
      </c>
      <c r="F26" s="12" t="s">
        <v>124</v>
      </c>
      <c r="G26" s="12">
        <v>4</v>
      </c>
      <c r="H26" s="35">
        <v>20</v>
      </c>
      <c r="I26" s="7">
        <v>36000</v>
      </c>
      <c r="J26" s="14">
        <v>31996</v>
      </c>
      <c r="K26" s="15">
        <f>L26+20368+29324+31996</f>
        <v>81688</v>
      </c>
      <c r="L26" s="15"/>
      <c r="M26" s="15">
        <f t="shared" si="0"/>
        <v>0</v>
      </c>
      <c r="N26" s="15">
        <v>0</v>
      </c>
      <c r="O26" s="58" t="str">
        <f t="shared" si="1"/>
        <v>0</v>
      </c>
      <c r="P26" s="39" t="str">
        <f t="shared" si="2"/>
        <v>0</v>
      </c>
      <c r="Q26" s="40">
        <f t="shared" si="3"/>
        <v>24</v>
      </c>
      <c r="R26" s="7"/>
      <c r="S26" s="6"/>
      <c r="T26" s="16"/>
      <c r="U26" s="16"/>
      <c r="V26" s="114"/>
      <c r="W26" s="5">
        <v>24</v>
      </c>
      <c r="X26" s="16"/>
      <c r="Y26" s="16"/>
      <c r="Z26" s="16"/>
      <c r="AA26" s="18"/>
      <c r="AB26" s="8">
        <f t="shared" si="4"/>
        <v>0</v>
      </c>
      <c r="AC26" s="9">
        <f t="shared" si="5"/>
        <v>0</v>
      </c>
      <c r="AD26" s="10">
        <f t="shared" si="8"/>
        <v>0</v>
      </c>
      <c r="AE26" s="36">
        <f t="shared" si="6"/>
        <v>0.55862000713761029</v>
      </c>
      <c r="AF26" s="81">
        <f t="shared" si="7"/>
        <v>33</v>
      </c>
    </row>
    <row r="27" spans="1:32" ht="21.75" customHeight="1">
      <c r="A27" s="92">
        <v>34</v>
      </c>
      <c r="B27" s="11" t="s">
        <v>57</v>
      </c>
      <c r="C27" s="11" t="s">
        <v>116</v>
      </c>
      <c r="D27" s="52" t="s">
        <v>129</v>
      </c>
      <c r="E27" s="53" t="s">
        <v>172</v>
      </c>
      <c r="F27" s="12" t="s">
        <v>125</v>
      </c>
      <c r="G27" s="12">
        <v>4</v>
      </c>
      <c r="H27" s="35">
        <v>20</v>
      </c>
      <c r="I27" s="7">
        <v>36000</v>
      </c>
      <c r="J27" s="14">
        <v>28802</v>
      </c>
      <c r="K27" s="15">
        <f>L27+13760+25860+25496+28600+28802</f>
        <v>122518</v>
      </c>
      <c r="L27" s="15"/>
      <c r="M27" s="15">
        <f t="shared" si="0"/>
        <v>0</v>
      </c>
      <c r="N27" s="15">
        <v>0</v>
      </c>
      <c r="O27" s="58" t="str">
        <f t="shared" si="1"/>
        <v>0</v>
      </c>
      <c r="P27" s="39" t="str">
        <f t="shared" si="2"/>
        <v>0</v>
      </c>
      <c r="Q27" s="40">
        <f t="shared" si="3"/>
        <v>24</v>
      </c>
      <c r="R27" s="7"/>
      <c r="S27" s="6"/>
      <c r="T27" s="16"/>
      <c r="U27" s="16"/>
      <c r="V27" s="114"/>
      <c r="W27" s="5">
        <v>24</v>
      </c>
      <c r="X27" s="16"/>
      <c r="Y27" s="16"/>
      <c r="Z27" s="16"/>
      <c r="AA27" s="18"/>
      <c r="AB27" s="8">
        <f t="shared" si="4"/>
        <v>0</v>
      </c>
      <c r="AC27" s="9">
        <f t="shared" si="5"/>
        <v>0</v>
      </c>
      <c r="AD27" s="10">
        <f t="shared" si="8"/>
        <v>0</v>
      </c>
      <c r="AE27" s="36">
        <f t="shared" si="6"/>
        <v>0.55862000713761029</v>
      </c>
      <c r="AF27" s="81">
        <f t="shared" si="7"/>
        <v>34</v>
      </c>
    </row>
    <row r="28" spans="1:32" ht="21.75" customHeight="1">
      <c r="A28" s="92">
        <v>35</v>
      </c>
      <c r="B28" s="11" t="s">
        <v>57</v>
      </c>
      <c r="C28" s="11" t="s">
        <v>116</v>
      </c>
      <c r="D28" s="52" t="s">
        <v>121</v>
      </c>
      <c r="E28" s="53" t="s">
        <v>126</v>
      </c>
      <c r="F28" s="12" t="s">
        <v>125</v>
      </c>
      <c r="G28" s="12">
        <v>4</v>
      </c>
      <c r="H28" s="35">
        <v>20</v>
      </c>
      <c r="I28" s="7">
        <v>36000</v>
      </c>
      <c r="J28" s="14">
        <v>26944</v>
      </c>
      <c r="K28" s="15">
        <f>L28+24592+26944+21716</f>
        <v>73252</v>
      </c>
      <c r="L28" s="15"/>
      <c r="M28" s="15">
        <f t="shared" si="0"/>
        <v>0</v>
      </c>
      <c r="N28" s="15">
        <v>0</v>
      </c>
      <c r="O28" s="58" t="str">
        <f t="shared" si="1"/>
        <v>0</v>
      </c>
      <c r="P28" s="39" t="str">
        <f t="shared" si="2"/>
        <v>0</v>
      </c>
      <c r="Q28" s="40">
        <f t="shared" si="3"/>
        <v>24</v>
      </c>
      <c r="R28" s="7"/>
      <c r="S28" s="6"/>
      <c r="T28" s="16"/>
      <c r="U28" s="16"/>
      <c r="V28" s="114"/>
      <c r="W28" s="5">
        <v>24</v>
      </c>
      <c r="X28" s="16"/>
      <c r="Y28" s="16"/>
      <c r="Z28" s="16"/>
      <c r="AA28" s="18"/>
      <c r="AB28" s="8">
        <f t="shared" si="4"/>
        <v>0</v>
      </c>
      <c r="AC28" s="9">
        <f t="shared" si="5"/>
        <v>0</v>
      </c>
      <c r="AD28" s="10">
        <f t="shared" si="8"/>
        <v>0</v>
      </c>
      <c r="AE28" s="36">
        <f t="shared" si="6"/>
        <v>0.55862000713761029</v>
      </c>
      <c r="AF28" s="81">
        <f t="shared" si="7"/>
        <v>35</v>
      </c>
    </row>
    <row r="29" spans="1:32" ht="21.75" customHeight="1" thickBot="1">
      <c r="A29" s="92">
        <v>36</v>
      </c>
      <c r="B29" s="11" t="s">
        <v>57</v>
      </c>
      <c r="C29" s="11" t="s">
        <v>113</v>
      </c>
      <c r="D29" s="52"/>
      <c r="E29" s="53" t="s">
        <v>182</v>
      </c>
      <c r="F29" s="12" t="s">
        <v>114</v>
      </c>
      <c r="G29" s="12">
        <v>4</v>
      </c>
      <c r="H29" s="35">
        <v>20</v>
      </c>
      <c r="I29" s="7">
        <v>1000000</v>
      </c>
      <c r="J29" s="14">
        <v>70816</v>
      </c>
      <c r="K29" s="15">
        <f>L29+28388</f>
        <v>99204</v>
      </c>
      <c r="L29" s="15">
        <f>9660*4+8044*4</f>
        <v>70816</v>
      </c>
      <c r="M29" s="15">
        <f t="shared" si="0"/>
        <v>70816</v>
      </c>
      <c r="N29" s="15">
        <v>0</v>
      </c>
      <c r="O29" s="58">
        <f t="shared" si="1"/>
        <v>0</v>
      </c>
      <c r="P29" s="39">
        <f t="shared" si="2"/>
        <v>24</v>
      </c>
      <c r="Q29" s="40">
        <f t="shared" si="3"/>
        <v>0</v>
      </c>
      <c r="R29" s="7"/>
      <c r="S29" s="6"/>
      <c r="T29" s="16"/>
      <c r="U29" s="16"/>
      <c r="V29" s="114"/>
      <c r="W29" s="5"/>
      <c r="X29" s="16"/>
      <c r="Y29" s="16"/>
      <c r="Z29" s="16"/>
      <c r="AA29" s="18"/>
      <c r="AB29" s="8">
        <f t="shared" si="4"/>
        <v>1</v>
      </c>
      <c r="AC29" s="9">
        <f t="shared" si="5"/>
        <v>1</v>
      </c>
      <c r="AD29" s="10">
        <f t="shared" si="8"/>
        <v>1</v>
      </c>
      <c r="AE29" s="36">
        <f t="shared" si="6"/>
        <v>0.55862000713761029</v>
      </c>
      <c r="AF29" s="81">
        <f t="shared" si="7"/>
        <v>36</v>
      </c>
    </row>
    <row r="30" spans="1:32" ht="19.5" thickBot="1">
      <c r="A30" s="435" t="s">
        <v>34</v>
      </c>
      <c r="B30" s="436"/>
      <c r="C30" s="436"/>
      <c r="D30" s="436"/>
      <c r="E30" s="436"/>
      <c r="F30" s="436"/>
      <c r="G30" s="436"/>
      <c r="H30" s="437"/>
      <c r="I30" s="22">
        <f t="shared" ref="I30:N30" si="26">SUM(I6:I29)</f>
        <v>5943700</v>
      </c>
      <c r="J30" s="19">
        <f t="shared" si="26"/>
        <v>657805</v>
      </c>
      <c r="K30" s="20">
        <f t="shared" si="26"/>
        <v>4399688</v>
      </c>
      <c r="L30" s="21">
        <f t="shared" si="26"/>
        <v>255902</v>
      </c>
      <c r="M30" s="20">
        <f t="shared" si="26"/>
        <v>255902</v>
      </c>
      <c r="N30" s="21">
        <f t="shared" si="26"/>
        <v>0</v>
      </c>
      <c r="O30" s="41">
        <f t="shared" si="1"/>
        <v>0</v>
      </c>
      <c r="P30" s="42">
        <f t="shared" ref="P30:AA30" si="27">SUM(P6:P29)</f>
        <v>323</v>
      </c>
      <c r="Q30" s="43">
        <f t="shared" si="27"/>
        <v>253</v>
      </c>
      <c r="R30" s="23">
        <f t="shared" si="27"/>
        <v>0</v>
      </c>
      <c r="S30" s="24">
        <f t="shared" si="27"/>
        <v>52</v>
      </c>
      <c r="T30" s="24">
        <f t="shared" si="27"/>
        <v>20</v>
      </c>
      <c r="U30" s="24">
        <f t="shared" si="27"/>
        <v>0</v>
      </c>
      <c r="V30" s="25">
        <f t="shared" si="27"/>
        <v>0</v>
      </c>
      <c r="W30" s="26">
        <f t="shared" si="27"/>
        <v>157</v>
      </c>
      <c r="X30" s="27">
        <f t="shared" si="27"/>
        <v>0</v>
      </c>
      <c r="Y30" s="27">
        <f t="shared" si="27"/>
        <v>0</v>
      </c>
      <c r="Z30" s="27">
        <f t="shared" si="27"/>
        <v>0</v>
      </c>
      <c r="AA30" s="27">
        <f t="shared" si="27"/>
        <v>24</v>
      </c>
      <c r="AB30" s="28">
        <f>AVERAGE(AB6:AB29)</f>
        <v>0.78037160165083974</v>
      </c>
      <c r="AC30" s="4">
        <f>AVERAGE(AC6:AC29)</f>
        <v>0.56076388888888884</v>
      </c>
      <c r="AD30" s="4">
        <f>AVERAGE(AD6:AD29)</f>
        <v>0.55862000713761029</v>
      </c>
      <c r="AE30" s="29"/>
    </row>
    <row r="31" spans="1:32">
      <c r="T31" s="50" t="s">
        <v>130</v>
      </c>
    </row>
    <row r="32" spans="1:32" ht="18.75">
      <c r="A32" s="2"/>
      <c r="B32" s="2" t="s">
        <v>35</v>
      </c>
      <c r="C32" s="2"/>
      <c r="D32" s="2"/>
      <c r="E32" s="2"/>
      <c r="F32" s="2"/>
      <c r="G32" s="2"/>
      <c r="H32" s="3"/>
      <c r="I32" s="3"/>
      <c r="J32" s="2"/>
      <c r="K32" s="2"/>
      <c r="L32" s="2"/>
      <c r="M32" s="2"/>
      <c r="N32" s="2" t="s">
        <v>36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1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2">
      <c r="A38" s="49"/>
      <c r="B38" s="49" t="s">
        <v>131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</row>
    <row r="41" spans="1:32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F41" s="82"/>
    </row>
    <row r="42" spans="1:32" ht="14.2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F42" s="50"/>
    </row>
    <row r="43" spans="1:32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F43" s="50"/>
    </row>
    <row r="44" spans="1:32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F44" s="50"/>
    </row>
    <row r="45" spans="1:32" ht="14.2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F45" s="50"/>
    </row>
    <row r="46" spans="1:32" ht="14.2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F46" s="50"/>
    </row>
    <row r="47" spans="1:32" ht="27">
      <c r="A47" s="59"/>
      <c r="B47" s="59"/>
      <c r="C47" s="59"/>
      <c r="D47" s="59"/>
      <c r="E47" s="59"/>
      <c r="F47" s="37"/>
      <c r="G47" s="37"/>
      <c r="H47" s="38"/>
      <c r="I47" s="38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F47" s="50"/>
    </row>
    <row r="48" spans="1:32" ht="29.25" customHeight="1">
      <c r="A48" s="60"/>
      <c r="B48" s="60"/>
      <c r="C48" s="61"/>
      <c r="D48" s="61"/>
      <c r="E48" s="61"/>
      <c r="F48" s="60"/>
      <c r="G48" s="60"/>
      <c r="H48" s="60"/>
      <c r="I48" s="60"/>
      <c r="J48" s="60"/>
      <c r="K48" s="60"/>
      <c r="L48" s="60"/>
      <c r="M48" s="61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F48" s="50"/>
    </row>
    <row r="49" spans="1:32" ht="29.25" customHeight="1">
      <c r="A49" s="60"/>
      <c r="B49" s="60"/>
      <c r="C49" s="62"/>
      <c r="D49" s="61"/>
      <c r="E49" s="61"/>
      <c r="F49" s="60"/>
      <c r="G49" s="60"/>
      <c r="H49" s="60"/>
      <c r="I49" s="60"/>
      <c r="J49" s="60"/>
      <c r="K49" s="60"/>
      <c r="L49" s="60"/>
      <c r="M49" s="62"/>
      <c r="N49" s="60"/>
      <c r="O49" s="60"/>
      <c r="P49" s="63"/>
      <c r="Q49" s="63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0"/>
      <c r="AC49" s="60"/>
      <c r="AD49" s="60"/>
      <c r="AF49" s="50"/>
    </row>
    <row r="50" spans="1:32" ht="29.25" customHeight="1">
      <c r="A50" s="60"/>
      <c r="B50" s="60"/>
      <c r="C50" s="62"/>
      <c r="D50" s="61"/>
      <c r="E50" s="61"/>
      <c r="F50" s="60"/>
      <c r="G50" s="60"/>
      <c r="H50" s="60"/>
      <c r="I50" s="60"/>
      <c r="J50" s="60"/>
      <c r="K50" s="60"/>
      <c r="L50" s="60"/>
      <c r="M50" s="62"/>
      <c r="N50" s="60"/>
      <c r="O50" s="60"/>
      <c r="P50" s="63"/>
      <c r="Q50" s="63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0"/>
      <c r="AC50" s="60"/>
      <c r="AD50" s="60"/>
      <c r="AF50" s="50"/>
    </row>
    <row r="51" spans="1:32" ht="29.25" customHeight="1">
      <c r="A51" s="60"/>
      <c r="B51" s="60"/>
      <c r="C51" s="62"/>
      <c r="D51" s="61"/>
      <c r="E51" s="61"/>
      <c r="F51" s="60"/>
      <c r="G51" s="60"/>
      <c r="H51" s="60"/>
      <c r="I51" s="60"/>
      <c r="J51" s="60"/>
      <c r="K51" s="60"/>
      <c r="L51" s="60"/>
      <c r="M51" s="62"/>
      <c r="N51" s="60"/>
      <c r="O51" s="60"/>
      <c r="P51" s="63"/>
      <c r="Q51" s="63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0"/>
      <c r="AC51" s="60"/>
      <c r="AD51" s="60"/>
      <c r="AF51" s="50"/>
    </row>
    <row r="52" spans="1:32" ht="29.25" customHeight="1">
      <c r="A52" s="60"/>
      <c r="B52" s="60"/>
      <c r="C52" s="62"/>
      <c r="D52" s="61"/>
      <c r="E52" s="61"/>
      <c r="F52" s="60"/>
      <c r="G52" s="60"/>
      <c r="H52" s="60"/>
      <c r="I52" s="60"/>
      <c r="J52" s="60"/>
      <c r="K52" s="60"/>
      <c r="L52" s="60"/>
      <c r="M52" s="62"/>
      <c r="N52" s="60"/>
      <c r="O52" s="60"/>
      <c r="P52" s="63"/>
      <c r="Q52" s="63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0"/>
      <c r="AC52" s="60"/>
      <c r="AD52" s="60"/>
      <c r="AF52" s="50"/>
    </row>
    <row r="53" spans="1:32" ht="29.25" customHeight="1">
      <c r="A53" s="60"/>
      <c r="B53" s="60"/>
      <c r="C53" s="62"/>
      <c r="D53" s="61"/>
      <c r="E53" s="61"/>
      <c r="F53" s="60"/>
      <c r="G53" s="60"/>
      <c r="H53" s="60"/>
      <c r="I53" s="60"/>
      <c r="J53" s="60"/>
      <c r="K53" s="60"/>
      <c r="L53" s="60"/>
      <c r="M53" s="62"/>
      <c r="N53" s="60"/>
      <c r="O53" s="60"/>
      <c r="P53" s="63"/>
      <c r="Q53" s="63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0"/>
      <c r="AC53" s="60"/>
      <c r="AD53" s="60"/>
      <c r="AF53" s="50"/>
    </row>
    <row r="54" spans="1:32" ht="29.25" customHeight="1">
      <c r="A54" s="60"/>
      <c r="B54" s="60"/>
      <c r="C54" s="62"/>
      <c r="D54" s="61"/>
      <c r="E54" s="61"/>
      <c r="F54" s="60"/>
      <c r="G54" s="60"/>
      <c r="H54" s="60"/>
      <c r="I54" s="60"/>
      <c r="J54" s="60"/>
      <c r="K54" s="60"/>
      <c r="L54" s="60"/>
      <c r="M54" s="62"/>
      <c r="N54" s="60"/>
      <c r="O54" s="60"/>
      <c r="P54" s="63"/>
      <c r="Q54" s="63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0"/>
      <c r="AC54" s="60"/>
      <c r="AD54" s="60"/>
      <c r="AF54" s="50"/>
    </row>
    <row r="55" spans="1:32" ht="29.25" customHeight="1">
      <c r="A55" s="60"/>
      <c r="B55" s="60"/>
      <c r="C55" s="62"/>
      <c r="D55" s="61"/>
      <c r="E55" s="61"/>
      <c r="F55" s="60"/>
      <c r="G55" s="60"/>
      <c r="H55" s="60"/>
      <c r="I55" s="60"/>
      <c r="J55" s="60"/>
      <c r="K55" s="60"/>
      <c r="L55" s="60"/>
      <c r="M55" s="62"/>
      <c r="N55" s="60"/>
      <c r="O55" s="60"/>
      <c r="P55" s="63"/>
      <c r="Q55" s="63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0"/>
      <c r="AC55" s="60"/>
      <c r="AD55" s="60"/>
      <c r="AF55" s="50"/>
    </row>
    <row r="56" spans="1:32" ht="14.25" customHeight="1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F56" s="50"/>
    </row>
    <row r="57" spans="1:32" ht="36" thickBot="1">
      <c r="A57" s="438" t="s">
        <v>45</v>
      </c>
      <c r="B57" s="438"/>
      <c r="C57" s="438"/>
      <c r="D57" s="438"/>
      <c r="E57" s="438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F57" s="50"/>
    </row>
    <row r="58" spans="1:32" ht="26.25" thickBot="1">
      <c r="A58" s="439" t="s">
        <v>489</v>
      </c>
      <c r="B58" s="440"/>
      <c r="C58" s="440"/>
      <c r="D58" s="440"/>
      <c r="E58" s="440"/>
      <c r="F58" s="440"/>
      <c r="G58" s="440"/>
      <c r="H58" s="440"/>
      <c r="I58" s="440"/>
      <c r="J58" s="440"/>
      <c r="K58" s="440"/>
      <c r="L58" s="440"/>
      <c r="M58" s="441"/>
      <c r="N58" s="442" t="s">
        <v>496</v>
      </c>
      <c r="O58" s="443"/>
      <c r="P58" s="443"/>
      <c r="Q58" s="443"/>
      <c r="R58" s="443"/>
      <c r="S58" s="443"/>
      <c r="T58" s="443"/>
      <c r="U58" s="443"/>
      <c r="V58" s="443"/>
      <c r="W58" s="443"/>
      <c r="X58" s="443"/>
      <c r="Y58" s="443"/>
      <c r="Z58" s="443"/>
      <c r="AA58" s="443"/>
      <c r="AB58" s="443"/>
      <c r="AC58" s="443"/>
      <c r="AD58" s="444"/>
    </row>
    <row r="59" spans="1:32" ht="27" customHeight="1">
      <c r="A59" s="445" t="s">
        <v>2</v>
      </c>
      <c r="B59" s="446"/>
      <c r="C59" s="212" t="s">
        <v>46</v>
      </c>
      <c r="D59" s="212" t="s">
        <v>47</v>
      </c>
      <c r="E59" s="212" t="s">
        <v>107</v>
      </c>
      <c r="F59" s="447" t="s">
        <v>106</v>
      </c>
      <c r="G59" s="448"/>
      <c r="H59" s="448"/>
      <c r="I59" s="448"/>
      <c r="J59" s="448"/>
      <c r="K59" s="448"/>
      <c r="L59" s="448"/>
      <c r="M59" s="449"/>
      <c r="N59" s="67" t="s">
        <v>110</v>
      </c>
      <c r="O59" s="212" t="s">
        <v>46</v>
      </c>
      <c r="P59" s="447" t="s">
        <v>47</v>
      </c>
      <c r="Q59" s="450"/>
      <c r="R59" s="447" t="s">
        <v>38</v>
      </c>
      <c r="S59" s="448"/>
      <c r="T59" s="448"/>
      <c r="U59" s="450"/>
      <c r="V59" s="447" t="s">
        <v>48</v>
      </c>
      <c r="W59" s="448"/>
      <c r="X59" s="448"/>
      <c r="Y59" s="448"/>
      <c r="Z59" s="448"/>
      <c r="AA59" s="448"/>
      <c r="AB59" s="448"/>
      <c r="AC59" s="448"/>
      <c r="AD59" s="449"/>
    </row>
    <row r="60" spans="1:32" ht="27" customHeight="1">
      <c r="A60" s="429" t="s">
        <v>116</v>
      </c>
      <c r="B60" s="420"/>
      <c r="C60" s="214" t="s">
        <v>490</v>
      </c>
      <c r="D60" s="214" t="s">
        <v>115</v>
      </c>
      <c r="E60" s="214" t="s">
        <v>491</v>
      </c>
      <c r="F60" s="417" t="s">
        <v>153</v>
      </c>
      <c r="G60" s="418"/>
      <c r="H60" s="418"/>
      <c r="I60" s="418"/>
      <c r="J60" s="418"/>
      <c r="K60" s="418"/>
      <c r="L60" s="418"/>
      <c r="M60" s="419"/>
      <c r="N60" s="213" t="s">
        <v>116</v>
      </c>
      <c r="O60" s="220" t="s">
        <v>143</v>
      </c>
      <c r="P60" s="430" t="s">
        <v>498</v>
      </c>
      <c r="Q60" s="431"/>
      <c r="R60" s="430" t="s">
        <v>497</v>
      </c>
      <c r="S60" s="432"/>
      <c r="T60" s="432"/>
      <c r="U60" s="431"/>
      <c r="V60" s="417" t="s">
        <v>122</v>
      </c>
      <c r="W60" s="418"/>
      <c r="X60" s="418"/>
      <c r="Y60" s="418"/>
      <c r="Z60" s="418"/>
      <c r="AA60" s="418"/>
      <c r="AB60" s="418"/>
      <c r="AC60" s="418"/>
      <c r="AD60" s="419"/>
    </row>
    <row r="61" spans="1:32" ht="27" customHeight="1">
      <c r="A61" s="429" t="s">
        <v>161</v>
      </c>
      <c r="B61" s="420"/>
      <c r="C61" s="214" t="s">
        <v>204</v>
      </c>
      <c r="D61" s="214"/>
      <c r="E61" s="214" t="s">
        <v>487</v>
      </c>
      <c r="F61" s="417" t="s">
        <v>122</v>
      </c>
      <c r="G61" s="418"/>
      <c r="H61" s="418"/>
      <c r="I61" s="418"/>
      <c r="J61" s="418"/>
      <c r="K61" s="418"/>
      <c r="L61" s="418"/>
      <c r="M61" s="419"/>
      <c r="N61" s="213" t="s">
        <v>504</v>
      </c>
      <c r="O61" s="220" t="s">
        <v>505</v>
      </c>
      <c r="P61" s="430" t="s">
        <v>506</v>
      </c>
      <c r="Q61" s="431"/>
      <c r="R61" s="430" t="s">
        <v>503</v>
      </c>
      <c r="S61" s="432"/>
      <c r="T61" s="432"/>
      <c r="U61" s="431"/>
      <c r="V61" s="417" t="s">
        <v>122</v>
      </c>
      <c r="W61" s="418"/>
      <c r="X61" s="418"/>
      <c r="Y61" s="418"/>
      <c r="Z61" s="418"/>
      <c r="AA61" s="418"/>
      <c r="AB61" s="418"/>
      <c r="AC61" s="418"/>
      <c r="AD61" s="419"/>
    </row>
    <row r="62" spans="1:32" ht="27" customHeight="1">
      <c r="A62" s="429" t="s">
        <v>161</v>
      </c>
      <c r="B62" s="420"/>
      <c r="C62" s="214" t="s">
        <v>151</v>
      </c>
      <c r="D62" s="214"/>
      <c r="E62" s="214" t="s">
        <v>485</v>
      </c>
      <c r="F62" s="417" t="s">
        <v>122</v>
      </c>
      <c r="G62" s="418"/>
      <c r="H62" s="418"/>
      <c r="I62" s="418"/>
      <c r="J62" s="418"/>
      <c r="K62" s="418"/>
      <c r="L62" s="418"/>
      <c r="M62" s="419"/>
      <c r="N62" s="213" t="s">
        <v>504</v>
      </c>
      <c r="O62" s="220" t="s">
        <v>508</v>
      </c>
      <c r="P62" s="430" t="s">
        <v>506</v>
      </c>
      <c r="Q62" s="431"/>
      <c r="R62" s="430" t="s">
        <v>507</v>
      </c>
      <c r="S62" s="432"/>
      <c r="T62" s="432"/>
      <c r="U62" s="431"/>
      <c r="V62" s="417" t="s">
        <v>264</v>
      </c>
      <c r="W62" s="418"/>
      <c r="X62" s="418"/>
      <c r="Y62" s="418"/>
      <c r="Z62" s="418"/>
      <c r="AA62" s="418"/>
      <c r="AB62" s="418"/>
      <c r="AC62" s="418"/>
      <c r="AD62" s="419"/>
    </row>
    <row r="63" spans="1:32" ht="27" customHeight="1">
      <c r="A63" s="429" t="s">
        <v>116</v>
      </c>
      <c r="B63" s="420"/>
      <c r="C63" s="214" t="s">
        <v>154</v>
      </c>
      <c r="D63" s="214" t="s">
        <v>284</v>
      </c>
      <c r="E63" s="214" t="s">
        <v>312</v>
      </c>
      <c r="F63" s="417" t="s">
        <v>153</v>
      </c>
      <c r="G63" s="418"/>
      <c r="H63" s="418"/>
      <c r="I63" s="418"/>
      <c r="J63" s="418"/>
      <c r="K63" s="418"/>
      <c r="L63" s="418"/>
      <c r="M63" s="419"/>
      <c r="N63" s="213" t="s">
        <v>509</v>
      </c>
      <c r="O63" s="220" t="s">
        <v>510</v>
      </c>
      <c r="P63" s="430"/>
      <c r="Q63" s="431"/>
      <c r="R63" s="430" t="s">
        <v>488</v>
      </c>
      <c r="S63" s="432"/>
      <c r="T63" s="432"/>
      <c r="U63" s="431"/>
      <c r="V63" s="417" t="s">
        <v>153</v>
      </c>
      <c r="W63" s="418"/>
      <c r="X63" s="418"/>
      <c r="Y63" s="418"/>
      <c r="Z63" s="418"/>
      <c r="AA63" s="418"/>
      <c r="AB63" s="418"/>
      <c r="AC63" s="418"/>
      <c r="AD63" s="419"/>
    </row>
    <row r="64" spans="1:32" ht="27" customHeight="1">
      <c r="A64" s="429" t="s">
        <v>112</v>
      </c>
      <c r="B64" s="420"/>
      <c r="C64" s="214" t="s">
        <v>150</v>
      </c>
      <c r="D64" s="214" t="s">
        <v>121</v>
      </c>
      <c r="E64" s="214" t="s">
        <v>188</v>
      </c>
      <c r="F64" s="417" t="s">
        <v>157</v>
      </c>
      <c r="G64" s="418"/>
      <c r="H64" s="418"/>
      <c r="I64" s="418"/>
      <c r="J64" s="418"/>
      <c r="K64" s="418"/>
      <c r="L64" s="418"/>
      <c r="M64" s="419"/>
      <c r="N64" s="213"/>
      <c r="O64" s="220"/>
      <c r="P64" s="430"/>
      <c r="Q64" s="431"/>
      <c r="R64" s="430"/>
      <c r="S64" s="432"/>
      <c r="T64" s="432"/>
      <c r="U64" s="431"/>
      <c r="V64" s="417"/>
      <c r="W64" s="418"/>
      <c r="X64" s="418"/>
      <c r="Y64" s="418"/>
      <c r="Z64" s="418"/>
      <c r="AA64" s="418"/>
      <c r="AB64" s="418"/>
      <c r="AC64" s="418"/>
      <c r="AD64" s="419"/>
    </row>
    <row r="65" spans="1:32" ht="27" customHeight="1">
      <c r="A65" s="429" t="s">
        <v>161</v>
      </c>
      <c r="B65" s="420"/>
      <c r="C65" s="214" t="s">
        <v>212</v>
      </c>
      <c r="D65" s="214"/>
      <c r="E65" s="214" t="s">
        <v>488</v>
      </c>
      <c r="F65" s="417" t="s">
        <v>492</v>
      </c>
      <c r="G65" s="418"/>
      <c r="H65" s="418"/>
      <c r="I65" s="418"/>
      <c r="J65" s="418"/>
      <c r="K65" s="418"/>
      <c r="L65" s="418"/>
      <c r="M65" s="419"/>
      <c r="N65" s="213"/>
      <c r="O65" s="220"/>
      <c r="P65" s="430"/>
      <c r="Q65" s="431"/>
      <c r="R65" s="430"/>
      <c r="S65" s="432"/>
      <c r="T65" s="432"/>
      <c r="U65" s="431"/>
      <c r="V65" s="417"/>
      <c r="W65" s="418"/>
      <c r="X65" s="418"/>
      <c r="Y65" s="418"/>
      <c r="Z65" s="418"/>
      <c r="AA65" s="418"/>
      <c r="AB65" s="418"/>
      <c r="AC65" s="418"/>
      <c r="AD65" s="419"/>
    </row>
    <row r="66" spans="1:32" ht="27" customHeight="1">
      <c r="A66" s="415" t="s">
        <v>116</v>
      </c>
      <c r="B66" s="416"/>
      <c r="C66" s="217" t="s">
        <v>454</v>
      </c>
      <c r="D66" s="217" t="s">
        <v>493</v>
      </c>
      <c r="E66" s="217" t="s">
        <v>494</v>
      </c>
      <c r="F66" s="473" t="s">
        <v>340</v>
      </c>
      <c r="G66" s="474"/>
      <c r="H66" s="474"/>
      <c r="I66" s="474"/>
      <c r="J66" s="474"/>
      <c r="K66" s="474"/>
      <c r="L66" s="474"/>
      <c r="M66" s="475"/>
      <c r="N66" s="213"/>
      <c r="O66" s="220"/>
      <c r="P66" s="430"/>
      <c r="Q66" s="431"/>
      <c r="R66" s="430"/>
      <c r="S66" s="432"/>
      <c r="T66" s="432"/>
      <c r="U66" s="431"/>
      <c r="V66" s="417"/>
      <c r="W66" s="418"/>
      <c r="X66" s="418"/>
      <c r="Y66" s="418"/>
      <c r="Z66" s="418"/>
      <c r="AA66" s="418"/>
      <c r="AB66" s="418"/>
      <c r="AC66" s="418"/>
      <c r="AD66" s="419"/>
    </row>
    <row r="67" spans="1:32" ht="27" customHeight="1">
      <c r="A67" s="415" t="s">
        <v>457</v>
      </c>
      <c r="B67" s="416"/>
      <c r="C67" s="217" t="s">
        <v>458</v>
      </c>
      <c r="D67" s="217"/>
      <c r="E67" s="217" t="s">
        <v>460</v>
      </c>
      <c r="F67" s="473" t="s">
        <v>495</v>
      </c>
      <c r="G67" s="474"/>
      <c r="H67" s="474"/>
      <c r="I67" s="474"/>
      <c r="J67" s="474"/>
      <c r="K67" s="474"/>
      <c r="L67" s="474"/>
      <c r="M67" s="475"/>
      <c r="N67" s="213"/>
      <c r="O67" s="220"/>
      <c r="P67" s="430"/>
      <c r="Q67" s="431"/>
      <c r="R67" s="430"/>
      <c r="S67" s="432"/>
      <c r="T67" s="432"/>
      <c r="U67" s="431"/>
      <c r="V67" s="417"/>
      <c r="W67" s="418"/>
      <c r="X67" s="418"/>
      <c r="Y67" s="418"/>
      <c r="Z67" s="418"/>
      <c r="AA67" s="418"/>
      <c r="AB67" s="418"/>
      <c r="AC67" s="418"/>
      <c r="AD67" s="419"/>
    </row>
    <row r="68" spans="1:32" ht="27" customHeight="1">
      <c r="A68" s="415" t="s">
        <v>501</v>
      </c>
      <c r="B68" s="416"/>
      <c r="C68" s="217" t="s">
        <v>502</v>
      </c>
      <c r="D68" s="217"/>
      <c r="E68" s="214" t="s">
        <v>499</v>
      </c>
      <c r="F68" s="473" t="s">
        <v>500</v>
      </c>
      <c r="G68" s="474"/>
      <c r="H68" s="474"/>
      <c r="I68" s="474"/>
      <c r="J68" s="474"/>
      <c r="K68" s="474"/>
      <c r="L68" s="474"/>
      <c r="M68" s="475"/>
      <c r="N68" s="213"/>
      <c r="O68" s="220"/>
      <c r="P68" s="420"/>
      <c r="Q68" s="420"/>
      <c r="R68" s="420"/>
      <c r="S68" s="420"/>
      <c r="T68" s="420"/>
      <c r="U68" s="420"/>
      <c r="V68" s="417"/>
      <c r="W68" s="418"/>
      <c r="X68" s="418"/>
      <c r="Y68" s="418"/>
      <c r="Z68" s="418"/>
      <c r="AA68" s="418"/>
      <c r="AB68" s="418"/>
      <c r="AC68" s="418"/>
      <c r="AD68" s="419"/>
      <c r="AF68" s="81">
        <f>8*3000</f>
        <v>24000</v>
      </c>
    </row>
    <row r="69" spans="1:32" ht="27" customHeight="1" thickBot="1">
      <c r="A69" s="421"/>
      <c r="B69" s="422"/>
      <c r="C69" s="215"/>
      <c r="D69" s="216"/>
      <c r="E69" s="215"/>
      <c r="F69" s="423"/>
      <c r="G69" s="424"/>
      <c r="H69" s="424"/>
      <c r="I69" s="424"/>
      <c r="J69" s="424"/>
      <c r="K69" s="424"/>
      <c r="L69" s="424"/>
      <c r="M69" s="425"/>
      <c r="N69" s="105"/>
      <c r="O69" s="97"/>
      <c r="P69" s="426"/>
      <c r="Q69" s="426"/>
      <c r="R69" s="426"/>
      <c r="S69" s="426"/>
      <c r="T69" s="426"/>
      <c r="U69" s="426"/>
      <c r="V69" s="427"/>
      <c r="W69" s="427"/>
      <c r="X69" s="427"/>
      <c r="Y69" s="427"/>
      <c r="Z69" s="427"/>
      <c r="AA69" s="427"/>
      <c r="AB69" s="427"/>
      <c r="AC69" s="427"/>
      <c r="AD69" s="428"/>
      <c r="AF69" s="81">
        <f>16*3000</f>
        <v>48000</v>
      </c>
    </row>
    <row r="70" spans="1:32" ht="27.75" thickBot="1">
      <c r="A70" s="413" t="s">
        <v>511</v>
      </c>
      <c r="B70" s="413"/>
      <c r="C70" s="413"/>
      <c r="D70" s="413"/>
      <c r="E70" s="413"/>
      <c r="F70" s="37"/>
      <c r="G70" s="37"/>
      <c r="H70" s="38"/>
      <c r="I70" s="38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F70" s="81">
        <v>24000</v>
      </c>
    </row>
    <row r="71" spans="1:32" ht="29.25" customHeight="1" thickBot="1">
      <c r="A71" s="414" t="s">
        <v>111</v>
      </c>
      <c r="B71" s="411"/>
      <c r="C71" s="218" t="s">
        <v>2</v>
      </c>
      <c r="D71" s="218" t="s">
        <v>37</v>
      </c>
      <c r="E71" s="218" t="s">
        <v>3</v>
      </c>
      <c r="F71" s="411" t="s">
        <v>109</v>
      </c>
      <c r="G71" s="411"/>
      <c r="H71" s="411"/>
      <c r="I71" s="411"/>
      <c r="J71" s="411"/>
      <c r="K71" s="411" t="s">
        <v>39</v>
      </c>
      <c r="L71" s="411"/>
      <c r="M71" s="218" t="s">
        <v>40</v>
      </c>
      <c r="N71" s="411" t="s">
        <v>41</v>
      </c>
      <c r="O71" s="411"/>
      <c r="P71" s="408" t="s">
        <v>42</v>
      </c>
      <c r="Q71" s="410"/>
      <c r="R71" s="408" t="s">
        <v>43</v>
      </c>
      <c r="S71" s="409"/>
      <c r="T71" s="409"/>
      <c r="U71" s="409"/>
      <c r="V71" s="409"/>
      <c r="W71" s="409"/>
      <c r="X71" s="409"/>
      <c r="Y71" s="409"/>
      <c r="Z71" s="409"/>
      <c r="AA71" s="410"/>
      <c r="AB71" s="411" t="s">
        <v>44</v>
      </c>
      <c r="AC71" s="411"/>
      <c r="AD71" s="412"/>
      <c r="AF71" s="81">
        <f>SUM(AF68:AF70)</f>
        <v>96000</v>
      </c>
    </row>
    <row r="72" spans="1:32" ht="25.5" customHeight="1">
      <c r="A72" s="399">
        <v>1</v>
      </c>
      <c r="B72" s="400"/>
      <c r="C72" s="98" t="s">
        <v>473</v>
      </c>
      <c r="D72" s="222"/>
      <c r="E72" s="219" t="s">
        <v>474</v>
      </c>
      <c r="F72" s="401" t="s">
        <v>472</v>
      </c>
      <c r="G72" s="391"/>
      <c r="H72" s="391"/>
      <c r="I72" s="391"/>
      <c r="J72" s="391"/>
      <c r="K72" s="391" t="s">
        <v>475</v>
      </c>
      <c r="L72" s="391"/>
      <c r="M72" s="51" t="s">
        <v>476</v>
      </c>
      <c r="N72" s="402" t="s">
        <v>204</v>
      </c>
      <c r="O72" s="402"/>
      <c r="P72" s="403">
        <v>50</v>
      </c>
      <c r="Q72" s="403"/>
      <c r="R72" s="404"/>
      <c r="S72" s="404"/>
      <c r="T72" s="404"/>
      <c r="U72" s="404"/>
      <c r="V72" s="404"/>
      <c r="W72" s="404"/>
      <c r="X72" s="404"/>
      <c r="Y72" s="404"/>
      <c r="Z72" s="404"/>
      <c r="AA72" s="404"/>
      <c r="AB72" s="391"/>
      <c r="AC72" s="391"/>
      <c r="AD72" s="392"/>
      <c r="AF72" s="50"/>
    </row>
    <row r="73" spans="1:32" ht="25.5" customHeight="1">
      <c r="A73" s="399">
        <v>2</v>
      </c>
      <c r="B73" s="400"/>
      <c r="C73" s="98" t="s">
        <v>512</v>
      </c>
      <c r="D73" s="222"/>
      <c r="E73" s="219" t="s">
        <v>513</v>
      </c>
      <c r="F73" s="401" t="s">
        <v>494</v>
      </c>
      <c r="G73" s="391"/>
      <c r="H73" s="391"/>
      <c r="I73" s="391"/>
      <c r="J73" s="391"/>
      <c r="K73" s="391">
        <v>7301</v>
      </c>
      <c r="L73" s="391"/>
      <c r="M73" s="51" t="s">
        <v>222</v>
      </c>
      <c r="N73" s="402" t="s">
        <v>151</v>
      </c>
      <c r="O73" s="402"/>
      <c r="P73" s="403">
        <v>50</v>
      </c>
      <c r="Q73" s="403"/>
      <c r="R73" s="404"/>
      <c r="S73" s="404"/>
      <c r="T73" s="404"/>
      <c r="U73" s="404"/>
      <c r="V73" s="404"/>
      <c r="W73" s="404"/>
      <c r="X73" s="404"/>
      <c r="Y73" s="404"/>
      <c r="Z73" s="404"/>
      <c r="AA73" s="404"/>
      <c r="AB73" s="391"/>
      <c r="AC73" s="391"/>
      <c r="AD73" s="392"/>
      <c r="AF73" s="50"/>
    </row>
    <row r="74" spans="1:32" ht="25.5" customHeight="1">
      <c r="A74" s="399">
        <v>3</v>
      </c>
      <c r="B74" s="400"/>
      <c r="C74" s="98" t="s">
        <v>512</v>
      </c>
      <c r="D74" s="222"/>
      <c r="E74" s="219" t="s">
        <v>506</v>
      </c>
      <c r="F74" s="401" t="s">
        <v>514</v>
      </c>
      <c r="G74" s="391"/>
      <c r="H74" s="391"/>
      <c r="I74" s="391"/>
      <c r="J74" s="391"/>
      <c r="K74" s="391" t="s">
        <v>515</v>
      </c>
      <c r="L74" s="391"/>
      <c r="M74" s="51" t="s">
        <v>222</v>
      </c>
      <c r="N74" s="402" t="s">
        <v>187</v>
      </c>
      <c r="O74" s="402"/>
      <c r="P74" s="403">
        <v>50</v>
      </c>
      <c r="Q74" s="403"/>
      <c r="R74" s="404" t="s">
        <v>516</v>
      </c>
      <c r="S74" s="404"/>
      <c r="T74" s="404"/>
      <c r="U74" s="404"/>
      <c r="V74" s="404"/>
      <c r="W74" s="404"/>
      <c r="X74" s="404"/>
      <c r="Y74" s="404"/>
      <c r="Z74" s="404"/>
      <c r="AA74" s="404"/>
      <c r="AB74" s="391"/>
      <c r="AC74" s="391"/>
      <c r="AD74" s="392"/>
      <c r="AF74" s="50"/>
    </row>
    <row r="75" spans="1:32" ht="25.5" customHeight="1">
      <c r="A75" s="399">
        <v>4</v>
      </c>
      <c r="B75" s="400"/>
      <c r="C75" s="98" t="s">
        <v>512</v>
      </c>
      <c r="D75" s="222"/>
      <c r="E75" s="219" t="s">
        <v>498</v>
      </c>
      <c r="F75" s="405" t="s">
        <v>517</v>
      </c>
      <c r="G75" s="406"/>
      <c r="H75" s="406"/>
      <c r="I75" s="406"/>
      <c r="J75" s="407"/>
      <c r="K75" s="391" t="s">
        <v>518</v>
      </c>
      <c r="L75" s="391"/>
      <c r="M75" s="51" t="s">
        <v>222</v>
      </c>
      <c r="N75" s="402" t="s">
        <v>204</v>
      </c>
      <c r="O75" s="402"/>
      <c r="P75" s="403">
        <v>50</v>
      </c>
      <c r="Q75" s="403"/>
      <c r="R75" s="404"/>
      <c r="S75" s="404"/>
      <c r="T75" s="404"/>
      <c r="U75" s="404"/>
      <c r="V75" s="404"/>
      <c r="W75" s="404"/>
      <c r="X75" s="404"/>
      <c r="Y75" s="404"/>
      <c r="Z75" s="404"/>
      <c r="AA75" s="404"/>
      <c r="AB75" s="391"/>
      <c r="AC75" s="391"/>
      <c r="AD75" s="392"/>
      <c r="AF75" s="50"/>
    </row>
    <row r="76" spans="1:32" ht="25.5" customHeight="1">
      <c r="A76" s="399">
        <v>5</v>
      </c>
      <c r="B76" s="400"/>
      <c r="C76" s="98"/>
      <c r="D76" s="222"/>
      <c r="E76" s="219"/>
      <c r="F76" s="405"/>
      <c r="G76" s="406"/>
      <c r="H76" s="406"/>
      <c r="I76" s="406"/>
      <c r="J76" s="407"/>
      <c r="K76" s="391"/>
      <c r="L76" s="391"/>
      <c r="M76" s="51"/>
      <c r="N76" s="402"/>
      <c r="O76" s="402"/>
      <c r="P76" s="403"/>
      <c r="Q76" s="403"/>
      <c r="R76" s="404"/>
      <c r="S76" s="404"/>
      <c r="T76" s="404"/>
      <c r="U76" s="404"/>
      <c r="V76" s="404"/>
      <c r="W76" s="404"/>
      <c r="X76" s="404"/>
      <c r="Y76" s="404"/>
      <c r="Z76" s="404"/>
      <c r="AA76" s="404"/>
      <c r="AB76" s="391"/>
      <c r="AC76" s="391"/>
      <c r="AD76" s="392"/>
      <c r="AF76" s="50"/>
    </row>
    <row r="77" spans="1:32" ht="25.5" customHeight="1">
      <c r="A77" s="399">
        <v>6</v>
      </c>
      <c r="B77" s="400"/>
      <c r="C77" s="98"/>
      <c r="D77" s="222"/>
      <c r="E77" s="219"/>
      <c r="F77" s="405"/>
      <c r="G77" s="406"/>
      <c r="H77" s="406"/>
      <c r="I77" s="406"/>
      <c r="J77" s="407"/>
      <c r="K77" s="391"/>
      <c r="L77" s="391"/>
      <c r="M77" s="51"/>
      <c r="N77" s="402"/>
      <c r="O77" s="402"/>
      <c r="P77" s="403"/>
      <c r="Q77" s="403"/>
      <c r="R77" s="404"/>
      <c r="S77" s="404"/>
      <c r="T77" s="404"/>
      <c r="U77" s="404"/>
      <c r="V77" s="404"/>
      <c r="W77" s="404"/>
      <c r="X77" s="404"/>
      <c r="Y77" s="404"/>
      <c r="Z77" s="404"/>
      <c r="AA77" s="404"/>
      <c r="AB77" s="391"/>
      <c r="AC77" s="391"/>
      <c r="AD77" s="392"/>
      <c r="AF77" s="50"/>
    </row>
    <row r="78" spans="1:32" ht="25.5" customHeight="1">
      <c r="A78" s="399">
        <v>7</v>
      </c>
      <c r="B78" s="400"/>
      <c r="C78" s="98"/>
      <c r="D78" s="222"/>
      <c r="E78" s="219"/>
      <c r="F78" s="405"/>
      <c r="G78" s="406"/>
      <c r="H78" s="406"/>
      <c r="I78" s="406"/>
      <c r="J78" s="407"/>
      <c r="K78" s="391"/>
      <c r="L78" s="391"/>
      <c r="M78" s="51"/>
      <c r="N78" s="402"/>
      <c r="O78" s="402"/>
      <c r="P78" s="403"/>
      <c r="Q78" s="403"/>
      <c r="R78" s="404"/>
      <c r="S78" s="404"/>
      <c r="T78" s="404"/>
      <c r="U78" s="404"/>
      <c r="V78" s="404"/>
      <c r="W78" s="404"/>
      <c r="X78" s="404"/>
      <c r="Y78" s="404"/>
      <c r="Z78" s="404"/>
      <c r="AA78" s="404"/>
      <c r="AB78" s="391"/>
      <c r="AC78" s="391"/>
      <c r="AD78" s="392"/>
      <c r="AF78" s="50"/>
    </row>
    <row r="79" spans="1:32" ht="25.5" customHeight="1">
      <c r="A79" s="399">
        <v>8</v>
      </c>
      <c r="B79" s="400"/>
      <c r="C79" s="98"/>
      <c r="D79" s="222"/>
      <c r="E79" s="219"/>
      <c r="F79" s="401"/>
      <c r="G79" s="391"/>
      <c r="H79" s="391"/>
      <c r="I79" s="391"/>
      <c r="J79" s="391"/>
      <c r="K79" s="391"/>
      <c r="L79" s="391"/>
      <c r="M79" s="51"/>
      <c r="N79" s="402"/>
      <c r="O79" s="402"/>
      <c r="P79" s="403"/>
      <c r="Q79" s="403"/>
      <c r="R79" s="404"/>
      <c r="S79" s="404"/>
      <c r="T79" s="404"/>
      <c r="U79" s="404"/>
      <c r="V79" s="404"/>
      <c r="W79" s="404"/>
      <c r="X79" s="404"/>
      <c r="Y79" s="404"/>
      <c r="Z79" s="404"/>
      <c r="AA79" s="404"/>
      <c r="AB79" s="391"/>
      <c r="AC79" s="391"/>
      <c r="AD79" s="392"/>
      <c r="AF79" s="50"/>
    </row>
    <row r="80" spans="1:32" ht="25.5" customHeight="1">
      <c r="A80" s="399">
        <v>9</v>
      </c>
      <c r="B80" s="400"/>
      <c r="C80" s="98"/>
      <c r="D80" s="222"/>
      <c r="E80" s="219"/>
      <c r="F80" s="401"/>
      <c r="G80" s="391"/>
      <c r="H80" s="391"/>
      <c r="I80" s="391"/>
      <c r="J80" s="391"/>
      <c r="K80" s="391"/>
      <c r="L80" s="391"/>
      <c r="M80" s="51"/>
      <c r="N80" s="402"/>
      <c r="O80" s="402"/>
      <c r="P80" s="403"/>
      <c r="Q80" s="403"/>
      <c r="R80" s="404"/>
      <c r="S80" s="404"/>
      <c r="T80" s="404"/>
      <c r="U80" s="404"/>
      <c r="V80" s="404"/>
      <c r="W80" s="404"/>
      <c r="X80" s="404"/>
      <c r="Y80" s="404"/>
      <c r="Z80" s="404"/>
      <c r="AA80" s="404"/>
      <c r="AB80" s="391"/>
      <c r="AC80" s="391"/>
      <c r="AD80" s="392"/>
      <c r="AF80" s="50"/>
    </row>
    <row r="81" spans="1:32" ht="25.5" customHeight="1">
      <c r="A81" s="399">
        <v>10</v>
      </c>
      <c r="B81" s="400"/>
      <c r="C81" s="98"/>
      <c r="D81" s="222"/>
      <c r="E81" s="219"/>
      <c r="F81" s="401"/>
      <c r="G81" s="391"/>
      <c r="H81" s="391"/>
      <c r="I81" s="391"/>
      <c r="J81" s="391"/>
      <c r="K81" s="391"/>
      <c r="L81" s="391"/>
      <c r="M81" s="51"/>
      <c r="N81" s="402"/>
      <c r="O81" s="402"/>
      <c r="P81" s="403"/>
      <c r="Q81" s="403"/>
      <c r="R81" s="404"/>
      <c r="S81" s="404"/>
      <c r="T81" s="404"/>
      <c r="U81" s="404"/>
      <c r="V81" s="404"/>
      <c r="W81" s="404"/>
      <c r="X81" s="404"/>
      <c r="Y81" s="404"/>
      <c r="Z81" s="404"/>
      <c r="AA81" s="404"/>
      <c r="AB81" s="391"/>
      <c r="AC81" s="391"/>
      <c r="AD81" s="392"/>
      <c r="AF81" s="50"/>
    </row>
    <row r="82" spans="1:32" ht="26.25" customHeight="1" thickBot="1">
      <c r="A82" s="371" t="s">
        <v>519</v>
      </c>
      <c r="B82" s="371"/>
      <c r="C82" s="371"/>
      <c r="D82" s="371"/>
      <c r="E82" s="371"/>
      <c r="F82" s="37"/>
      <c r="G82" s="37"/>
      <c r="H82" s="38"/>
      <c r="I82" s="38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F82" s="50"/>
    </row>
    <row r="83" spans="1:32" ht="23.25" thickBot="1">
      <c r="A83" s="393" t="s">
        <v>111</v>
      </c>
      <c r="B83" s="394"/>
      <c r="C83" s="221" t="s">
        <v>2</v>
      </c>
      <c r="D83" s="221" t="s">
        <v>37</v>
      </c>
      <c r="E83" s="221" t="s">
        <v>120</v>
      </c>
      <c r="F83" s="373" t="s">
        <v>38</v>
      </c>
      <c r="G83" s="373"/>
      <c r="H83" s="373"/>
      <c r="I83" s="373"/>
      <c r="J83" s="373"/>
      <c r="K83" s="395" t="s">
        <v>58</v>
      </c>
      <c r="L83" s="396"/>
      <c r="M83" s="396"/>
      <c r="N83" s="396"/>
      <c r="O83" s="396"/>
      <c r="P83" s="396"/>
      <c r="Q83" s="396"/>
      <c r="R83" s="396"/>
      <c r="S83" s="397"/>
      <c r="T83" s="373" t="s">
        <v>49</v>
      </c>
      <c r="U83" s="373"/>
      <c r="V83" s="395" t="s">
        <v>50</v>
      </c>
      <c r="W83" s="397"/>
      <c r="X83" s="396" t="s">
        <v>51</v>
      </c>
      <c r="Y83" s="396"/>
      <c r="Z83" s="396"/>
      <c r="AA83" s="396"/>
      <c r="AB83" s="396"/>
      <c r="AC83" s="396"/>
      <c r="AD83" s="398"/>
      <c r="AF83" s="50"/>
    </row>
    <row r="84" spans="1:32" ht="33.75" customHeight="1">
      <c r="A84" s="365">
        <v>1</v>
      </c>
      <c r="B84" s="366"/>
      <c r="C84" s="223"/>
      <c r="D84" s="223"/>
      <c r="E84" s="65"/>
      <c r="F84" s="380"/>
      <c r="G84" s="381"/>
      <c r="H84" s="381"/>
      <c r="I84" s="381"/>
      <c r="J84" s="382"/>
      <c r="K84" s="383"/>
      <c r="L84" s="384"/>
      <c r="M84" s="384"/>
      <c r="N84" s="384"/>
      <c r="O84" s="384"/>
      <c r="P84" s="384"/>
      <c r="Q84" s="384"/>
      <c r="R84" s="384"/>
      <c r="S84" s="385"/>
      <c r="T84" s="386"/>
      <c r="U84" s="387"/>
      <c r="V84" s="388"/>
      <c r="W84" s="388"/>
      <c r="X84" s="389"/>
      <c r="Y84" s="389"/>
      <c r="Z84" s="389"/>
      <c r="AA84" s="389"/>
      <c r="AB84" s="389"/>
      <c r="AC84" s="389"/>
      <c r="AD84" s="390"/>
      <c r="AF84" s="50"/>
    </row>
    <row r="85" spans="1:32" ht="30" customHeight="1">
      <c r="A85" s="358">
        <f>A84+1</f>
        <v>2</v>
      </c>
      <c r="B85" s="359"/>
      <c r="C85" s="222"/>
      <c r="D85" s="222"/>
      <c r="E85" s="32"/>
      <c r="F85" s="359"/>
      <c r="G85" s="359"/>
      <c r="H85" s="359"/>
      <c r="I85" s="359"/>
      <c r="J85" s="359"/>
      <c r="K85" s="374"/>
      <c r="L85" s="375"/>
      <c r="M85" s="375"/>
      <c r="N85" s="375"/>
      <c r="O85" s="375"/>
      <c r="P85" s="375"/>
      <c r="Q85" s="375"/>
      <c r="R85" s="375"/>
      <c r="S85" s="376"/>
      <c r="T85" s="377"/>
      <c r="U85" s="377"/>
      <c r="V85" s="377"/>
      <c r="W85" s="377"/>
      <c r="X85" s="378"/>
      <c r="Y85" s="378"/>
      <c r="Z85" s="378"/>
      <c r="AA85" s="378"/>
      <c r="AB85" s="378"/>
      <c r="AC85" s="378"/>
      <c r="AD85" s="379"/>
      <c r="AF85" s="50"/>
    </row>
    <row r="86" spans="1:32" ht="30" customHeight="1">
      <c r="A86" s="358">
        <f t="shared" ref="A86:A90" si="28">A85+1</f>
        <v>3</v>
      </c>
      <c r="B86" s="359"/>
      <c r="C86" s="222"/>
      <c r="D86" s="222"/>
      <c r="E86" s="32"/>
      <c r="F86" s="359"/>
      <c r="G86" s="359"/>
      <c r="H86" s="359"/>
      <c r="I86" s="359"/>
      <c r="J86" s="359"/>
      <c r="K86" s="374"/>
      <c r="L86" s="375"/>
      <c r="M86" s="375"/>
      <c r="N86" s="375"/>
      <c r="O86" s="375"/>
      <c r="P86" s="375"/>
      <c r="Q86" s="375"/>
      <c r="R86" s="375"/>
      <c r="S86" s="376"/>
      <c r="T86" s="377"/>
      <c r="U86" s="377"/>
      <c r="V86" s="377"/>
      <c r="W86" s="377"/>
      <c r="X86" s="378"/>
      <c r="Y86" s="378"/>
      <c r="Z86" s="378"/>
      <c r="AA86" s="378"/>
      <c r="AB86" s="378"/>
      <c r="AC86" s="378"/>
      <c r="AD86" s="379"/>
      <c r="AF86" s="50"/>
    </row>
    <row r="87" spans="1:32" ht="30" customHeight="1">
      <c r="A87" s="358">
        <f t="shared" si="28"/>
        <v>4</v>
      </c>
      <c r="B87" s="359"/>
      <c r="C87" s="222"/>
      <c r="D87" s="222"/>
      <c r="E87" s="32"/>
      <c r="F87" s="359"/>
      <c r="G87" s="359"/>
      <c r="H87" s="359"/>
      <c r="I87" s="359"/>
      <c r="J87" s="359"/>
      <c r="K87" s="374"/>
      <c r="L87" s="375"/>
      <c r="M87" s="375"/>
      <c r="N87" s="375"/>
      <c r="O87" s="375"/>
      <c r="P87" s="375"/>
      <c r="Q87" s="375"/>
      <c r="R87" s="375"/>
      <c r="S87" s="376"/>
      <c r="T87" s="377"/>
      <c r="U87" s="377"/>
      <c r="V87" s="377"/>
      <c r="W87" s="377"/>
      <c r="X87" s="378"/>
      <c r="Y87" s="378"/>
      <c r="Z87" s="378"/>
      <c r="AA87" s="378"/>
      <c r="AB87" s="378"/>
      <c r="AC87" s="378"/>
      <c r="AD87" s="379"/>
      <c r="AF87" s="50"/>
    </row>
    <row r="88" spans="1:32" ht="30" customHeight="1">
      <c r="A88" s="358">
        <f t="shared" si="28"/>
        <v>5</v>
      </c>
      <c r="B88" s="359"/>
      <c r="C88" s="222"/>
      <c r="D88" s="222"/>
      <c r="E88" s="32"/>
      <c r="F88" s="359"/>
      <c r="G88" s="359"/>
      <c r="H88" s="359"/>
      <c r="I88" s="359"/>
      <c r="J88" s="359"/>
      <c r="K88" s="374"/>
      <c r="L88" s="375"/>
      <c r="M88" s="375"/>
      <c r="N88" s="375"/>
      <c r="O88" s="375"/>
      <c r="P88" s="375"/>
      <c r="Q88" s="375"/>
      <c r="R88" s="375"/>
      <c r="S88" s="376"/>
      <c r="T88" s="377"/>
      <c r="U88" s="377"/>
      <c r="V88" s="377"/>
      <c r="W88" s="377"/>
      <c r="X88" s="378"/>
      <c r="Y88" s="378"/>
      <c r="Z88" s="378"/>
      <c r="AA88" s="378"/>
      <c r="AB88" s="378"/>
      <c r="AC88" s="378"/>
      <c r="AD88" s="379"/>
      <c r="AF88" s="50"/>
    </row>
    <row r="89" spans="1:32" ht="30" customHeight="1">
      <c r="A89" s="358">
        <f t="shared" si="28"/>
        <v>6</v>
      </c>
      <c r="B89" s="359"/>
      <c r="C89" s="222"/>
      <c r="D89" s="222"/>
      <c r="E89" s="32"/>
      <c r="F89" s="359"/>
      <c r="G89" s="359"/>
      <c r="H89" s="359"/>
      <c r="I89" s="359"/>
      <c r="J89" s="359"/>
      <c r="K89" s="374"/>
      <c r="L89" s="375"/>
      <c r="M89" s="375"/>
      <c r="N89" s="375"/>
      <c r="O89" s="375"/>
      <c r="P89" s="375"/>
      <c r="Q89" s="375"/>
      <c r="R89" s="375"/>
      <c r="S89" s="376"/>
      <c r="T89" s="377"/>
      <c r="U89" s="377"/>
      <c r="V89" s="377"/>
      <c r="W89" s="377"/>
      <c r="X89" s="378"/>
      <c r="Y89" s="378"/>
      <c r="Z89" s="378"/>
      <c r="AA89" s="378"/>
      <c r="AB89" s="378"/>
      <c r="AC89" s="378"/>
      <c r="AD89" s="379"/>
      <c r="AF89" s="50"/>
    </row>
    <row r="90" spans="1:32" ht="30" customHeight="1">
      <c r="A90" s="358">
        <f t="shared" si="28"/>
        <v>7</v>
      </c>
      <c r="B90" s="359"/>
      <c r="C90" s="222"/>
      <c r="D90" s="222"/>
      <c r="E90" s="32"/>
      <c r="F90" s="359"/>
      <c r="G90" s="359"/>
      <c r="H90" s="359"/>
      <c r="I90" s="359"/>
      <c r="J90" s="359"/>
      <c r="K90" s="374"/>
      <c r="L90" s="375"/>
      <c r="M90" s="375"/>
      <c r="N90" s="375"/>
      <c r="O90" s="375"/>
      <c r="P90" s="375"/>
      <c r="Q90" s="375"/>
      <c r="R90" s="375"/>
      <c r="S90" s="376"/>
      <c r="T90" s="377"/>
      <c r="U90" s="377"/>
      <c r="V90" s="377"/>
      <c r="W90" s="377"/>
      <c r="X90" s="378"/>
      <c r="Y90" s="378"/>
      <c r="Z90" s="378"/>
      <c r="AA90" s="378"/>
      <c r="AB90" s="378"/>
      <c r="AC90" s="378"/>
      <c r="AD90" s="379"/>
      <c r="AF90" s="50"/>
    </row>
    <row r="91" spans="1:32" ht="36" thickBot="1">
      <c r="A91" s="371" t="s">
        <v>520</v>
      </c>
      <c r="B91" s="371"/>
      <c r="C91" s="371"/>
      <c r="D91" s="371"/>
      <c r="E91" s="371"/>
      <c r="F91" s="37"/>
      <c r="G91" s="37"/>
      <c r="H91" s="38"/>
      <c r="I91" s="38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F91" s="50"/>
    </row>
    <row r="92" spans="1:32" ht="30.75" customHeight="1" thickBot="1">
      <c r="A92" s="372" t="s">
        <v>111</v>
      </c>
      <c r="B92" s="373"/>
      <c r="C92" s="363" t="s">
        <v>52</v>
      </c>
      <c r="D92" s="363"/>
      <c r="E92" s="363" t="s">
        <v>53</v>
      </c>
      <c r="F92" s="363"/>
      <c r="G92" s="363"/>
      <c r="H92" s="363"/>
      <c r="I92" s="363"/>
      <c r="J92" s="363"/>
      <c r="K92" s="363" t="s">
        <v>54</v>
      </c>
      <c r="L92" s="363"/>
      <c r="M92" s="363"/>
      <c r="N92" s="363"/>
      <c r="O92" s="363"/>
      <c r="P92" s="363"/>
      <c r="Q92" s="363"/>
      <c r="R92" s="363"/>
      <c r="S92" s="363"/>
      <c r="T92" s="363" t="s">
        <v>55</v>
      </c>
      <c r="U92" s="363"/>
      <c r="V92" s="363" t="s">
        <v>56</v>
      </c>
      <c r="W92" s="363"/>
      <c r="X92" s="363"/>
      <c r="Y92" s="363" t="s">
        <v>51</v>
      </c>
      <c r="Z92" s="363"/>
      <c r="AA92" s="363"/>
      <c r="AB92" s="363"/>
      <c r="AC92" s="363"/>
      <c r="AD92" s="364"/>
      <c r="AF92" s="50"/>
    </row>
    <row r="93" spans="1:32" ht="30.75" customHeight="1">
      <c r="A93" s="365">
        <v>1</v>
      </c>
      <c r="B93" s="366"/>
      <c r="C93" s="367"/>
      <c r="D93" s="367"/>
      <c r="E93" s="367"/>
      <c r="F93" s="367"/>
      <c r="G93" s="367"/>
      <c r="H93" s="367"/>
      <c r="I93" s="367"/>
      <c r="J93" s="367"/>
      <c r="K93" s="367"/>
      <c r="L93" s="367"/>
      <c r="M93" s="367"/>
      <c r="N93" s="367"/>
      <c r="O93" s="367"/>
      <c r="P93" s="367"/>
      <c r="Q93" s="367"/>
      <c r="R93" s="367"/>
      <c r="S93" s="367"/>
      <c r="T93" s="367"/>
      <c r="U93" s="367"/>
      <c r="V93" s="368"/>
      <c r="W93" s="368"/>
      <c r="X93" s="368"/>
      <c r="Y93" s="369"/>
      <c r="Z93" s="369"/>
      <c r="AA93" s="369"/>
      <c r="AB93" s="369"/>
      <c r="AC93" s="369"/>
      <c r="AD93" s="370"/>
      <c r="AF93" s="50"/>
    </row>
    <row r="94" spans="1:32" ht="30.75" customHeight="1">
      <c r="A94" s="358">
        <v>2</v>
      </c>
      <c r="B94" s="359"/>
      <c r="C94" s="360"/>
      <c r="D94" s="360"/>
      <c r="E94" s="360"/>
      <c r="F94" s="360"/>
      <c r="G94" s="360"/>
      <c r="H94" s="360"/>
      <c r="I94" s="360"/>
      <c r="J94" s="360"/>
      <c r="K94" s="360"/>
      <c r="L94" s="360"/>
      <c r="M94" s="360"/>
      <c r="N94" s="360"/>
      <c r="O94" s="360"/>
      <c r="P94" s="360"/>
      <c r="Q94" s="360"/>
      <c r="R94" s="360"/>
      <c r="S94" s="360"/>
      <c r="T94" s="361"/>
      <c r="U94" s="361"/>
      <c r="V94" s="362"/>
      <c r="W94" s="362"/>
      <c r="X94" s="362"/>
      <c r="Y94" s="350"/>
      <c r="Z94" s="350"/>
      <c r="AA94" s="350"/>
      <c r="AB94" s="350"/>
      <c r="AC94" s="350"/>
      <c r="AD94" s="351"/>
      <c r="AF94" s="50"/>
    </row>
    <row r="95" spans="1:32" ht="30.75" customHeight="1" thickBot="1">
      <c r="A95" s="352">
        <v>3</v>
      </c>
      <c r="B95" s="353"/>
      <c r="C95" s="354"/>
      <c r="D95" s="354"/>
      <c r="E95" s="354"/>
      <c r="F95" s="354"/>
      <c r="G95" s="354"/>
      <c r="H95" s="354"/>
      <c r="I95" s="354"/>
      <c r="J95" s="354"/>
      <c r="K95" s="354"/>
      <c r="L95" s="354"/>
      <c r="M95" s="354"/>
      <c r="N95" s="354"/>
      <c r="O95" s="354"/>
      <c r="P95" s="354"/>
      <c r="Q95" s="354"/>
      <c r="R95" s="354"/>
      <c r="S95" s="354"/>
      <c r="T95" s="354"/>
      <c r="U95" s="354"/>
      <c r="V95" s="355"/>
      <c r="W95" s="355"/>
      <c r="X95" s="355"/>
      <c r="Y95" s="356"/>
      <c r="Z95" s="356"/>
      <c r="AA95" s="356"/>
      <c r="AB95" s="356"/>
      <c r="AC95" s="356"/>
      <c r="AD95" s="357"/>
      <c r="AF95" s="50"/>
    </row>
  </sheetData>
  <mergeCells count="232">
    <mergeCell ref="Y94:AD94"/>
    <mergeCell ref="A95:B95"/>
    <mergeCell ref="C95:D95"/>
    <mergeCell ref="E95:J95"/>
    <mergeCell ref="K95:S95"/>
    <mergeCell ref="T95:U95"/>
    <mergeCell ref="V95:X95"/>
    <mergeCell ref="Y95:AD95"/>
    <mergeCell ref="A94:B94"/>
    <mergeCell ref="C94:D94"/>
    <mergeCell ref="E94:J94"/>
    <mergeCell ref="K94:S94"/>
    <mergeCell ref="T94:U94"/>
    <mergeCell ref="V94:X94"/>
    <mergeCell ref="V92:X92"/>
    <mergeCell ref="Y92:AD92"/>
    <mergeCell ref="A93:B93"/>
    <mergeCell ref="C93:D93"/>
    <mergeCell ref="E93:J93"/>
    <mergeCell ref="K93:S93"/>
    <mergeCell ref="T93:U93"/>
    <mergeCell ref="V93:X93"/>
    <mergeCell ref="Y93:AD93"/>
    <mergeCell ref="A91:E91"/>
    <mergeCell ref="A92:B92"/>
    <mergeCell ref="C92:D92"/>
    <mergeCell ref="E92:J92"/>
    <mergeCell ref="K92:S92"/>
    <mergeCell ref="T92:U92"/>
    <mergeCell ref="A90:B90"/>
    <mergeCell ref="F90:J90"/>
    <mergeCell ref="K90:S90"/>
    <mergeCell ref="T90:U90"/>
    <mergeCell ref="V90:W90"/>
    <mergeCell ref="X90:AD90"/>
    <mergeCell ref="A89:B89"/>
    <mergeCell ref="F89:J89"/>
    <mergeCell ref="K89:S89"/>
    <mergeCell ref="T89:U89"/>
    <mergeCell ref="V89:W89"/>
    <mergeCell ref="X89:AD89"/>
    <mergeCell ref="A88:B88"/>
    <mergeCell ref="F88:J88"/>
    <mergeCell ref="K88:S88"/>
    <mergeCell ref="T88:U88"/>
    <mergeCell ref="V88:W88"/>
    <mergeCell ref="X88:AD88"/>
    <mergeCell ref="A87:B87"/>
    <mergeCell ref="F87:J87"/>
    <mergeCell ref="K87:S87"/>
    <mergeCell ref="T87:U87"/>
    <mergeCell ref="V87:W87"/>
    <mergeCell ref="X87:AD87"/>
    <mergeCell ref="A86:B86"/>
    <mergeCell ref="F86:J86"/>
    <mergeCell ref="K86:S86"/>
    <mergeCell ref="T86:U86"/>
    <mergeCell ref="V86:W86"/>
    <mergeCell ref="X86:AD86"/>
    <mergeCell ref="A85:B85"/>
    <mergeCell ref="F85:J85"/>
    <mergeCell ref="K85:S85"/>
    <mergeCell ref="T85:U85"/>
    <mergeCell ref="V85:W85"/>
    <mergeCell ref="X85:AD85"/>
    <mergeCell ref="A84:B84"/>
    <mergeCell ref="F84:J84"/>
    <mergeCell ref="K84:S84"/>
    <mergeCell ref="T84:U84"/>
    <mergeCell ref="V84:W84"/>
    <mergeCell ref="X84:AD84"/>
    <mergeCell ref="AB81:AD81"/>
    <mergeCell ref="A82:E82"/>
    <mergeCell ref="A83:B83"/>
    <mergeCell ref="F83:J83"/>
    <mergeCell ref="K83:S83"/>
    <mergeCell ref="T83:U83"/>
    <mergeCell ref="V83:W83"/>
    <mergeCell ref="X83:AD83"/>
    <mergeCell ref="A81:B81"/>
    <mergeCell ref="F81:J81"/>
    <mergeCell ref="K81:L81"/>
    <mergeCell ref="N81:O81"/>
    <mergeCell ref="P81:Q81"/>
    <mergeCell ref="R81:AA81"/>
    <mergeCell ref="AB79:AD79"/>
    <mergeCell ref="A80:B80"/>
    <mergeCell ref="F80:J80"/>
    <mergeCell ref="K80:L80"/>
    <mergeCell ref="N80:O80"/>
    <mergeCell ref="P80:Q80"/>
    <mergeCell ref="R80:AA80"/>
    <mergeCell ref="AB80:AD80"/>
    <mergeCell ref="A79:B79"/>
    <mergeCell ref="F79:J79"/>
    <mergeCell ref="K79:L79"/>
    <mergeCell ref="N79:O79"/>
    <mergeCell ref="P79:Q79"/>
    <mergeCell ref="R79:AA79"/>
    <mergeCell ref="AB77:AD77"/>
    <mergeCell ref="A78:B78"/>
    <mergeCell ref="F78:J78"/>
    <mergeCell ref="K78:L78"/>
    <mergeCell ref="N78:O78"/>
    <mergeCell ref="P78:Q78"/>
    <mergeCell ref="R78:AA78"/>
    <mergeCell ref="AB78:AD78"/>
    <mergeCell ref="A77:B77"/>
    <mergeCell ref="F77:J77"/>
    <mergeCell ref="K77:L77"/>
    <mergeCell ref="N77:O77"/>
    <mergeCell ref="P77:Q77"/>
    <mergeCell ref="R77:AA77"/>
    <mergeCell ref="AB75:AD75"/>
    <mergeCell ref="A76:B76"/>
    <mergeCell ref="F76:J76"/>
    <mergeCell ref="K76:L76"/>
    <mergeCell ref="N76:O76"/>
    <mergeCell ref="P76:Q76"/>
    <mergeCell ref="R76:AA76"/>
    <mergeCell ref="AB76:AD76"/>
    <mergeCell ref="A75:B75"/>
    <mergeCell ref="F75:J75"/>
    <mergeCell ref="K75:L75"/>
    <mergeCell ref="N75:O75"/>
    <mergeCell ref="P75:Q75"/>
    <mergeCell ref="R75:AA75"/>
    <mergeCell ref="AB73:AD73"/>
    <mergeCell ref="A74:B74"/>
    <mergeCell ref="F74:J74"/>
    <mergeCell ref="K74:L74"/>
    <mergeCell ref="N74:O74"/>
    <mergeCell ref="P74:Q74"/>
    <mergeCell ref="R74:AA74"/>
    <mergeCell ref="AB74:AD74"/>
    <mergeCell ref="A73:B73"/>
    <mergeCell ref="F73:J73"/>
    <mergeCell ref="K73:L73"/>
    <mergeCell ref="N73:O73"/>
    <mergeCell ref="P73:Q73"/>
    <mergeCell ref="R73:AA73"/>
    <mergeCell ref="R71:AA71"/>
    <mergeCell ref="AB71:AD71"/>
    <mergeCell ref="A72:B72"/>
    <mergeCell ref="F72:J72"/>
    <mergeCell ref="K72:L72"/>
    <mergeCell ref="N72:O72"/>
    <mergeCell ref="P72:Q72"/>
    <mergeCell ref="R72:AA72"/>
    <mergeCell ref="AB72:AD72"/>
    <mergeCell ref="A70:E70"/>
    <mergeCell ref="A71:B71"/>
    <mergeCell ref="F71:J71"/>
    <mergeCell ref="K71:L71"/>
    <mergeCell ref="N71:O71"/>
    <mergeCell ref="P71:Q71"/>
    <mergeCell ref="A68:B68"/>
    <mergeCell ref="F68:M68"/>
    <mergeCell ref="P68:Q68"/>
    <mergeCell ref="R68:U68"/>
    <mergeCell ref="V68:AD68"/>
    <mergeCell ref="A69:B69"/>
    <mergeCell ref="F69:M69"/>
    <mergeCell ref="P69:Q69"/>
    <mergeCell ref="R69:U69"/>
    <mergeCell ref="V69:AD69"/>
    <mergeCell ref="A66:B66"/>
    <mergeCell ref="F66:M66"/>
    <mergeCell ref="P66:Q66"/>
    <mergeCell ref="R66:U66"/>
    <mergeCell ref="V66:AD66"/>
    <mergeCell ref="A67:B67"/>
    <mergeCell ref="F67:M67"/>
    <mergeCell ref="P67:Q67"/>
    <mergeCell ref="R67:U67"/>
    <mergeCell ref="V67:AD67"/>
    <mergeCell ref="A64:B64"/>
    <mergeCell ref="F64:M64"/>
    <mergeCell ref="P64:Q64"/>
    <mergeCell ref="R64:U64"/>
    <mergeCell ref="V64:AD64"/>
    <mergeCell ref="A65:B65"/>
    <mergeCell ref="F65:M65"/>
    <mergeCell ref="P65:Q65"/>
    <mergeCell ref="R65:U65"/>
    <mergeCell ref="V65:AD65"/>
    <mergeCell ref="A62:B62"/>
    <mergeCell ref="F62:M62"/>
    <mergeCell ref="P62:Q62"/>
    <mergeCell ref="R62:U62"/>
    <mergeCell ref="V62:AD62"/>
    <mergeCell ref="A63:B63"/>
    <mergeCell ref="F63:M63"/>
    <mergeCell ref="P63:Q63"/>
    <mergeCell ref="R63:U63"/>
    <mergeCell ref="V63:AD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D4:AD5"/>
    <mergeCell ref="A30:H30"/>
    <mergeCell ref="A57:E57"/>
    <mergeCell ref="A58:M58"/>
    <mergeCell ref="N58:AD58"/>
    <mergeCell ref="A59:B59"/>
    <mergeCell ref="F59:M59"/>
    <mergeCell ref="P59:Q59"/>
    <mergeCell ref="R59:U59"/>
    <mergeCell ref="V59:AD59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39" fitToHeight="2" orientation="landscape" r:id="rId1"/>
  <rowBreaks count="1" manualBreakCount="1">
    <brk id="55" max="2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21</vt:i4>
      </vt:variant>
      <vt:variant>
        <vt:lpstr>이름 지정된 범위</vt:lpstr>
      </vt:variant>
      <vt:variant>
        <vt:i4>40</vt:i4>
      </vt:variant>
    </vt:vector>
  </HeadingPairs>
  <TitlesOfParts>
    <vt:vector size="61" baseType="lpstr">
      <vt:lpstr>01</vt:lpstr>
      <vt:lpstr>02</vt:lpstr>
      <vt:lpstr>03</vt:lpstr>
      <vt:lpstr>04</vt:lpstr>
      <vt:lpstr>06</vt:lpstr>
      <vt:lpstr>07</vt:lpstr>
      <vt:lpstr>08</vt:lpstr>
      <vt:lpstr>09</vt:lpstr>
      <vt:lpstr>10</vt:lpstr>
      <vt:lpstr>13</vt:lpstr>
      <vt:lpstr>14</vt:lpstr>
      <vt:lpstr>15</vt:lpstr>
      <vt:lpstr>16</vt:lpstr>
      <vt:lpstr>17</vt:lpstr>
      <vt:lpstr>23</vt:lpstr>
      <vt:lpstr>24</vt:lpstr>
      <vt:lpstr>27</vt:lpstr>
      <vt:lpstr>28</vt:lpstr>
      <vt:lpstr>29</vt:lpstr>
      <vt:lpstr>30</vt:lpstr>
      <vt:lpstr>총괄</vt:lpstr>
      <vt:lpstr>'01'!Print_Area</vt:lpstr>
      <vt:lpstr>'02'!Print_Area</vt:lpstr>
      <vt:lpstr>'03'!Print_Area</vt:lpstr>
      <vt:lpstr>'04'!Print_Area</vt:lpstr>
      <vt:lpstr>'06'!Print_Area</vt:lpstr>
      <vt:lpstr>'07'!Print_Area</vt:lpstr>
      <vt:lpstr>'08'!Print_Area</vt:lpstr>
      <vt:lpstr>'09'!Print_Area</vt:lpstr>
      <vt:lpstr>'10'!Print_Area</vt:lpstr>
      <vt:lpstr>'13'!Print_Area</vt:lpstr>
      <vt:lpstr>'14'!Print_Area</vt:lpstr>
      <vt:lpstr>'15'!Print_Area</vt:lpstr>
      <vt:lpstr>'16'!Print_Area</vt:lpstr>
      <vt:lpstr>'17'!Print_Area</vt:lpstr>
      <vt:lpstr>'23'!Print_Area</vt:lpstr>
      <vt:lpstr>'24'!Print_Area</vt:lpstr>
      <vt:lpstr>'27'!Print_Area</vt:lpstr>
      <vt:lpstr>'28'!Print_Area</vt:lpstr>
      <vt:lpstr>'29'!Print_Area</vt:lpstr>
      <vt:lpstr>'30'!Print_Area</vt:lpstr>
      <vt:lpstr>'01'!ㅁ1</vt:lpstr>
      <vt:lpstr>'02'!ㅁ1</vt:lpstr>
      <vt:lpstr>'03'!ㅁ1</vt:lpstr>
      <vt:lpstr>'04'!ㅁ1</vt:lpstr>
      <vt:lpstr>'06'!ㅁ1</vt:lpstr>
      <vt:lpstr>'07'!ㅁ1</vt:lpstr>
      <vt:lpstr>'08'!ㅁ1</vt:lpstr>
      <vt:lpstr>'09'!ㅁ1</vt:lpstr>
      <vt:lpstr>'10'!ㅁ1</vt:lpstr>
      <vt:lpstr>'13'!ㅁ1</vt:lpstr>
      <vt:lpstr>'14'!ㅁ1</vt:lpstr>
      <vt:lpstr>'15'!ㅁ1</vt:lpstr>
      <vt:lpstr>'16'!ㅁ1</vt:lpstr>
      <vt:lpstr>'17'!ㅁ1</vt:lpstr>
      <vt:lpstr>'23'!ㅁ1</vt:lpstr>
      <vt:lpstr>'24'!ㅁ1</vt:lpstr>
      <vt:lpstr>'27'!ㅁ1</vt:lpstr>
      <vt:lpstr>'28'!ㅁ1</vt:lpstr>
      <vt:lpstr>'29'!ㅁ1</vt:lpstr>
      <vt:lpstr>'30'!ㅁ1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김성연</cp:lastModifiedBy>
  <cp:lastPrinted>2021-05-10T23:53:31Z</cp:lastPrinted>
  <dcterms:created xsi:type="dcterms:W3CDTF">2014-05-16T00:06:55Z</dcterms:created>
  <dcterms:modified xsi:type="dcterms:W3CDTF">2021-10-01T22:23:13Z</dcterms:modified>
</cp:coreProperties>
</file>