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5.xml" ContentType="application/vnd.openxmlformats-officedocument.drawingml.chartshapes+xml"/>
  <Override PartName="/xl/charts/chart6.xml" ContentType="application/vnd.openxmlformats-officedocument.drawingml.chart+xml"/>
  <Override PartName="/xl/drawings/drawing6.xml" ContentType="application/vnd.openxmlformats-officedocument.drawingml.chartshapes+xml"/>
  <Override PartName="/xl/charts/chart7.xml" ContentType="application/vnd.openxmlformats-officedocument.drawingml.chart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drawings/drawing8.xml" ContentType="application/vnd.openxmlformats-officedocument.drawingml.chartshapes+xml"/>
  <Override PartName="/xl/charts/chart9.xml" ContentType="application/vnd.openxmlformats-officedocument.drawingml.chart+xml"/>
  <Override PartName="/xl/drawings/drawing9.xml" ContentType="application/vnd.openxmlformats-officedocument.drawingml.chartshapes+xml"/>
  <Override PartName="/xl/charts/chart10.xml" ContentType="application/vnd.openxmlformats-officedocument.drawingml.chart+xml"/>
  <Override PartName="/xl/drawings/drawing10.xml" ContentType="application/vnd.openxmlformats-officedocument.drawingml.chartshapes+xml"/>
  <Override PartName="/xl/charts/chart11.xml" ContentType="application/vnd.openxmlformats-officedocument.drawingml.chart+xml"/>
  <Override PartName="/xl/drawings/drawing11.xml" ContentType="application/vnd.openxmlformats-officedocument.drawingml.chartshapes+xml"/>
  <Override PartName="/xl/charts/chart12.xml" ContentType="application/vnd.openxmlformats-officedocument.drawingml.chart+xml"/>
  <Override PartName="/xl/drawings/drawing12.xml" ContentType="application/vnd.openxmlformats-officedocument.drawingml.chartshapes+xml"/>
  <Override PartName="/xl/charts/chart13.xml" ContentType="application/vnd.openxmlformats-officedocument.drawingml.chart+xml"/>
  <Override PartName="/xl/drawings/drawing13.xml" ContentType="application/vnd.openxmlformats-officedocument.drawingml.chartshapes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14.xml" ContentType="application/vnd.openxmlformats-officedocument.drawingml.chartshapes+xml"/>
  <Override PartName="/xl/charts/chart19.xml" ContentType="application/vnd.openxmlformats-officedocument.drawingml.chart+xml"/>
  <Override PartName="/xl/drawings/drawing15.xml" ContentType="application/vnd.openxmlformats-officedocument.drawingml.chartshapes+xml"/>
  <Override PartName="/xl/charts/chart20.xml" ContentType="application/vnd.openxmlformats-officedocument.drawingml.chart+xml"/>
  <Override PartName="/xl/drawings/drawing16.xml" ContentType="application/vnd.openxmlformats-officedocument.drawingml.chartshapes+xml"/>
  <Override PartName="/xl/charts/chart21.xml" ContentType="application/vnd.openxmlformats-officedocument.drawingml.chart+xml"/>
  <Override PartName="/xl/drawings/drawing17.xml" ContentType="application/vnd.openxmlformats-officedocument.drawingml.chartshapes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charts/chart22.xml" ContentType="application/vnd.openxmlformats-officedocument.drawingml.chart+xml"/>
  <Override PartName="/xl/drawings/drawing20.xml" ContentType="application/vnd.openxmlformats-officedocument.drawingml.chartshapes+xml"/>
  <Override PartName="/xl/charts/chart23.xml" ContentType="application/vnd.openxmlformats-officedocument.drawingml.chart+xml"/>
  <Override PartName="/xl/drawings/drawing21.xml" ContentType="application/vnd.openxmlformats-officedocument.drawingml.chartshapes+xml"/>
  <Override PartName="/xl/charts/chart24.xml" ContentType="application/vnd.openxmlformats-officedocument.drawingml.chart+xml"/>
  <Override PartName="/xl/drawings/drawing22.xml" ContentType="application/vnd.openxmlformats-officedocument.drawingml.chartshapes+xml"/>
  <Override PartName="/xl/charts/chart25.xml" ContentType="application/vnd.openxmlformats-officedocument.drawingml.chart+xml"/>
  <Override PartName="/xl/drawings/drawing23.xml" ContentType="application/vnd.openxmlformats-officedocument.drawingml.chartshapes+xml"/>
  <Override PartName="/xl/charts/chart26.xml" ContentType="application/vnd.openxmlformats-officedocument.drawingml.chart+xml"/>
  <Override PartName="/xl/drawings/drawing24.xml" ContentType="application/vnd.openxmlformats-officedocument.drawingml.chartshapes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25.xml" ContentType="application/vnd.openxmlformats-officedocument.drawingml.chartshapes+xml"/>
  <Override PartName="/xl/charts/chart29.xml" ContentType="application/vnd.openxmlformats-officedocument.drawingml.chart+xml"/>
  <Override PartName="/xl/drawings/drawing26.xml" ContentType="application/vnd.openxmlformats-officedocument.drawingml.chartshapes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drawings/drawing27.xml" ContentType="application/vnd.openxmlformats-officedocument.drawingml.chartshapes+xml"/>
  <Override PartName="/xl/charts/chart32.xml" ContentType="application/vnd.openxmlformats-officedocument.drawingml.chart+xml"/>
  <Override PartName="/xl/drawings/drawing28.xml" ContentType="application/vnd.openxmlformats-officedocument.drawingml.chartshapes+xml"/>
  <Override PartName="/xl/charts/chart33.xml" ContentType="application/vnd.openxmlformats-officedocument.drawingml.chart+xml"/>
  <Override PartName="/xl/drawings/drawing29.xml" ContentType="application/vnd.openxmlformats-officedocument.drawingml.chartshapes+xml"/>
  <Override PartName="/xl/charts/chart34.xml" ContentType="application/vnd.openxmlformats-officedocument.drawingml.chart+xml"/>
  <Override PartName="/xl/drawings/drawing30.xml" ContentType="application/vnd.openxmlformats-officedocument.drawingml.chartshapes+xml"/>
  <Override PartName="/xl/charts/chart35.xml" ContentType="application/vnd.openxmlformats-officedocument.drawingml.chart+xml"/>
  <Override PartName="/xl/drawings/drawing31.xml" ContentType="application/vnd.openxmlformats-officedocument.drawingml.chartshapes+xml"/>
  <Override PartName="/xl/charts/chart36.xml" ContentType="application/vnd.openxmlformats-officedocument.drawingml.chart+xml"/>
  <Override PartName="/xl/drawings/drawing32.xml" ContentType="application/vnd.openxmlformats-officedocument.drawingml.chartshapes+xml"/>
  <Override PartName="/xl/charts/chart37.xml" ContentType="application/vnd.openxmlformats-officedocument.drawingml.chart+xml"/>
  <Override PartName="/xl/drawings/drawing33.xml" ContentType="application/vnd.openxmlformats-officedocument.drawingml.chartshapes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drawings/drawing36.xml" ContentType="application/vnd.openxmlformats-officedocument.drawingml.chartshapes+xml"/>
  <Override PartName="/xl/charts/chart42.xml" ContentType="application/vnd.openxmlformats-officedocument.drawingml.chart+xml"/>
  <Override PartName="/xl/drawings/drawing37.xml" ContentType="application/vnd.openxmlformats-officedocument.drawingml.chartshapes+xml"/>
  <Override PartName="/xl/charts/chart43.xml" ContentType="application/vnd.openxmlformats-officedocument.drawingml.chart+xml"/>
  <Override PartName="/xl/drawings/drawing38.xml" ContentType="application/vnd.openxmlformats-officedocument.drawingml.chartshapes+xml"/>
  <Override PartName="/xl/charts/chart44.xml" ContentType="application/vnd.openxmlformats-officedocument.drawingml.chart+xml"/>
  <Override PartName="/xl/drawings/drawing39.xml" ContentType="application/vnd.openxmlformats-officedocument.drawingml.chartshapes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drawings/drawing40.xml" ContentType="application/vnd.openxmlformats-officedocument.drawingml.chartshapes+xml"/>
  <Override PartName="/xl/charts/chart48.xml" ContentType="application/vnd.openxmlformats-officedocument.drawingml.chart+xml"/>
  <Override PartName="/xl/drawings/drawing41.xml" ContentType="application/vnd.openxmlformats-officedocument.drawingml.chartshapes+xml"/>
  <Override PartName="/xl/charts/chart49.xml" ContentType="application/vnd.openxmlformats-officedocument.drawingml.chart+xml"/>
  <Override PartName="/xl/drawings/drawing42.xml" ContentType="application/vnd.openxmlformats-officedocument.drawingml.chartshapes+xml"/>
  <Override PartName="/xl/charts/chart50.xml" ContentType="application/vnd.openxmlformats-officedocument.drawingml.chart+xml"/>
  <Override PartName="/xl/drawings/drawing43.xml" ContentType="application/vnd.openxmlformats-officedocument.drawingml.chartshapes+xml"/>
  <Override PartName="/xl/charts/chart51.xml" ContentType="application/vnd.openxmlformats-officedocument.drawingml.chart+xml"/>
  <Override PartName="/xl/drawings/drawing44.xml" ContentType="application/vnd.openxmlformats-officedocument.drawingml.chartshapes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drawings/drawing45.xml" ContentType="application/vnd.openxmlformats-officedocument.drawingml.chartshapes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drawings/drawing46.xml" ContentType="application/vnd.openxmlformats-officedocument.drawingml.chartshapes+xml"/>
  <Override PartName="/xl/charts/chart56.xml" ContentType="application/vnd.openxmlformats-officedocument.drawingml.chart+xml"/>
  <Override PartName="/xl/drawings/drawing47.xml" ContentType="application/vnd.openxmlformats-officedocument.drawingml.chartshapes+xml"/>
  <Override PartName="/xl/charts/chart57.xml" ContentType="application/vnd.openxmlformats-officedocument.drawingml.chart+xml"/>
  <Override PartName="/xl/drawings/drawing48.xml" ContentType="application/vnd.openxmlformats-officedocument.drawingml.chartshapes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drawings/drawing49.xml" ContentType="application/vnd.openxmlformats-officedocument.drawingml.chartshapes+xml"/>
  <Override PartName="/xl/charts/chart60.xml" ContentType="application/vnd.openxmlformats-officedocument.drawingml.chart+xml"/>
  <Override PartName="/xl/drawings/drawing50.xml" ContentType="application/vnd.openxmlformats-officedocument.drawingml.chartshapes+xml"/>
  <Override PartName="/xl/charts/chart61.xml" ContentType="application/vnd.openxmlformats-officedocument.drawingml.chart+xml"/>
  <Override PartName="/xl/drawings/drawing51.xml" ContentType="application/vnd.openxmlformats-officedocument.drawingml.chartshapes+xml"/>
  <Override PartName="/xl/charts/chart62.xml" ContentType="application/vnd.openxmlformats-officedocument.drawingml.chart+xml"/>
  <Override PartName="/xl/drawings/drawing52.xml" ContentType="application/vnd.openxmlformats-officedocument.drawingml.chartshapes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drawings/drawing53.xml" ContentType="application/vnd.openxmlformats-officedocument.drawing+xml"/>
  <Override PartName="/xl/comments1.xml" ContentType="application/vnd.openxmlformats-officedocument.spreadsheetml.comments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drawings/drawing54.xml" ContentType="application/vnd.openxmlformats-officedocument.drawing+xml"/>
  <Override PartName="/xl/charts/chart74.xml" ContentType="application/vnd.openxmlformats-officedocument.drawingml.chart+xml"/>
  <Override PartName="/xl/drawings/drawing55.xml" ContentType="application/vnd.openxmlformats-officedocument.drawingml.chartshapes+xml"/>
  <Override PartName="/xl/charts/chart75.xml" ContentType="application/vnd.openxmlformats-officedocument.drawingml.chart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charts/chart76.xml" ContentType="application/vnd.openxmlformats-officedocument.drawingml.chart+xml"/>
  <Override PartName="/xl/drawings/drawing58.xml" ContentType="application/vnd.openxmlformats-officedocument.drawingml.chartshapes+xml"/>
  <Override PartName="/xl/drawings/drawing59.xml" ContentType="application/vnd.openxmlformats-officedocument.drawing+xml"/>
  <Override PartName="/xl/charts/chart77.xml" ContentType="application/vnd.openxmlformats-officedocument.drawingml.chart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charts/chart78.xml" ContentType="application/vnd.openxmlformats-officedocument.drawingml.chart+xml"/>
  <Override PartName="/xl/drawings/drawing62.xml" ContentType="application/vnd.openxmlformats-officedocument.drawingml.chartshapes+xml"/>
  <Override PartName="/xl/charts/chart79.xml" ContentType="application/vnd.openxmlformats-officedocument.drawingml.chart+xml"/>
  <Override PartName="/xl/drawings/drawing63.xml" ContentType="application/vnd.openxmlformats-officedocument.drawingml.chartshapes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drawings/drawing64.xml" ContentType="application/vnd.openxmlformats-officedocument.drawingml.chartshapes+xml"/>
  <Override PartName="/xl/drawings/drawing65.xml" ContentType="application/vnd.openxmlformats-officedocument.drawing+xml"/>
  <Override PartName="/xl/charts/chart82.xml" ContentType="application/vnd.openxmlformats-officedocument.drawingml.chart+xml"/>
  <Override PartName="/xl/drawings/drawing66.xml" ContentType="application/vnd.openxmlformats-officedocument.drawingml.chartshapes+xml"/>
  <Override PartName="/xl/charts/chart83.xml" ContentType="application/vnd.openxmlformats-officedocument.drawingml.chart+xml"/>
  <Override PartName="/xl/drawings/drawing67.xml" ContentType="application/vnd.openxmlformats-officedocument.drawingml.chartshapes+xml"/>
  <Override PartName="/xl/charts/chart84.xml" ContentType="application/vnd.openxmlformats-officedocument.drawingml.chart+xml"/>
  <Override PartName="/xl/drawings/drawing68.xml" ContentType="application/vnd.openxmlformats-officedocument.drawingml.chartshapes+xml"/>
  <Override PartName="/xl/charts/chart85.xml" ContentType="application/vnd.openxmlformats-officedocument.drawingml.chart+xml"/>
  <Override PartName="/xl/drawings/drawing69.xml" ContentType="application/vnd.openxmlformats-officedocument.drawingml.chartshapes+xml"/>
  <Override PartName="/xl/drawings/drawing70.xml" ContentType="application/vnd.openxmlformats-officedocument.drawing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drawings/drawing71.xml" ContentType="application/vnd.openxmlformats-officedocument.drawingml.chartshapes+xml"/>
  <Override PartName="/xl/charts/chart89.xml" ContentType="application/vnd.openxmlformats-officedocument.drawingml.chart+xml"/>
  <Override PartName="/xl/drawings/drawing72.xml" ContentType="application/vnd.openxmlformats-officedocument.drawing+xml"/>
  <Override PartName="/xl/charts/chart90.xml" ContentType="application/vnd.openxmlformats-officedocument.drawingml.chart+xml"/>
  <Override PartName="/xl/drawings/drawing73.xml" ContentType="application/vnd.openxmlformats-officedocument.drawingml.chartshapes+xml"/>
  <Override PartName="/xl/charts/chart91.xml" ContentType="application/vnd.openxmlformats-officedocument.drawingml.chart+xml"/>
  <Override PartName="/xl/drawings/drawing74.xml" ContentType="application/vnd.openxmlformats-officedocument.drawingml.chartshapes+xml"/>
  <Override PartName="/xl/charts/chart92.xml" ContentType="application/vnd.openxmlformats-officedocument.drawingml.chart+xml"/>
  <Override PartName="/xl/drawings/drawing75.xml" ContentType="application/vnd.openxmlformats-officedocument.drawingml.chartshapes+xml"/>
  <Override PartName="/xl/charts/chart93.xml" ContentType="application/vnd.openxmlformats-officedocument.drawingml.chart+xml"/>
  <Override PartName="/xl/drawings/drawing76.xml" ContentType="application/vnd.openxmlformats-officedocument.drawingml.chartshapes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drawings/drawing77.xml" ContentType="application/vnd.openxmlformats-officedocument.drawingml.chartshapes+xml"/>
  <Override PartName="/xl/drawings/drawing78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harts/chart96.xml" ContentType="application/vnd.openxmlformats-officedocument.drawingml.chart+xml"/>
  <Override PartName="/xl/drawings/drawing79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/>
  <bookViews>
    <workbookView xWindow="540" yWindow="-180" windowWidth="18675" windowHeight="8205" tabRatio="927" activeTab="2"/>
  </bookViews>
  <sheets>
    <sheet name="Input" sheetId="1" r:id="rId1"/>
    <sheet name="_TM_Balken_Tabelle UE Rohertrag" sheetId="28" state="veryHidden" r:id="rId2"/>
    <sheet name="Contents" sheetId="39" r:id="rId3"/>
    <sheet name="11_Currency" sheetId="81" r:id="rId4"/>
    <sheet name="10_Sales &amp; GP" sheetId="78" r:id="rId5"/>
    <sheet name="10_Sales &amp; GP tables" sheetId="80" r:id="rId6"/>
    <sheet name="01_P&amp;L_small" sheetId="23" r:id="rId7"/>
    <sheet name="01_P&amp;L_big" sheetId="35" r:id="rId8"/>
    <sheet name="02_Comparison" sheetId="36" r:id="rId9"/>
    <sheet name="_TM_Fläche_EBIT Peervgl" sheetId="29" state="veryHidden" r:id="rId10"/>
    <sheet name="_TM_Fläche_EBIT Analysten" sheetId="30" state="veryHidden" r:id="rId11"/>
    <sheet name="03_FC vs. Budget" sheetId="37" r:id="rId12"/>
    <sheet name="04_Cost split up_small" sheetId="38" r:id="rId13"/>
    <sheet name="04_Cost split up_big" sheetId="40" r:id="rId14"/>
    <sheet name="05_Cashflow_small" sheetId="49" r:id="rId15"/>
    <sheet name="05_Cashflow_small (2)" sheetId="82" r:id="rId16"/>
    <sheet name="05_Cashflow_big" sheetId="48" r:id="rId17"/>
    <sheet name="06_Financing" sheetId="57" r:id="rId18"/>
    <sheet name="07_Investments" sheetId="62" r:id="rId19"/>
    <sheet name="08_Adherence" sheetId="63" r:id="rId20"/>
    <sheet name="09_Sustainable year" sheetId="76" r:id="rId21"/>
    <sheet name="99_Others" sheetId="79" r:id="rId22"/>
    <sheet name="_TM_Fläche_Vertriebsquote Peerv" sheetId="31" state="veryHidden" r:id="rId23"/>
    <sheet name="_TM_Folie 5 (5)" sheetId="17" state="veryHidden" r:id="rId24"/>
    <sheet name="_TM_Balken_Tabelle Afa Inv" sheetId="32" state="veryHidden" r:id="rId25"/>
    <sheet name="_TM_Fläche_Afa_Inv Peervgl" sheetId="33" state="veryHidden" r:id="rId26"/>
    <sheet name="_TM_Folie 5 (7)" sheetId="18" state="veryHidden" r:id="rId27"/>
    <sheet name="_TM_Fläche_Afa_Inv Analysten" sheetId="34" state="veryHidden" r:id="rId28"/>
    <sheet name="_TM_Tabelle12" sheetId="19" state="veryHidden" r:id="rId29"/>
  </sheets>
  <externalReferences>
    <externalReference r:id="rId30"/>
    <externalReference r:id="rId31"/>
    <externalReference r:id="rId32"/>
  </externalReferences>
  <definedNames>
    <definedName name="__c" localSheetId="7" hidden="1">{#N/A,#N/A,FALSE,"Layout Cash Flow"}</definedName>
    <definedName name="__c" localSheetId="6" hidden="1">{#N/A,#N/A,FALSE,"Layout Cash Flow"}</definedName>
    <definedName name="__c" localSheetId="8" hidden="1">{#N/A,#N/A,FALSE,"Layout Cash Flow"}</definedName>
    <definedName name="__c" localSheetId="11" hidden="1">{#N/A,#N/A,FALSE,"Layout Cash Flow"}</definedName>
    <definedName name="__c" localSheetId="13" hidden="1">{#N/A,#N/A,FALSE,"Layout Cash Flow"}</definedName>
    <definedName name="__c" localSheetId="12" hidden="1">{#N/A,#N/A,FALSE,"Layout Cash Flow"}</definedName>
    <definedName name="__c" localSheetId="16" hidden="1">{#N/A,#N/A,FALSE,"Layout Cash Flow"}</definedName>
    <definedName name="__c" localSheetId="14" hidden="1">{#N/A,#N/A,FALSE,"Layout Cash Flow"}</definedName>
    <definedName name="__c" localSheetId="15" hidden="1">{#N/A,#N/A,FALSE,"Layout Cash Flow"}</definedName>
    <definedName name="__c" localSheetId="17" hidden="1">{#N/A,#N/A,FALSE,"Layout Cash Flow"}</definedName>
    <definedName name="__c" localSheetId="18" hidden="1">{#N/A,#N/A,FALSE,"Layout Cash Flow"}</definedName>
    <definedName name="__c" localSheetId="19" hidden="1">{#N/A,#N/A,FALSE,"Layout Cash Flow"}</definedName>
    <definedName name="__c" localSheetId="20" hidden="1">{#N/A,#N/A,FALSE,"Layout Cash Flow"}</definedName>
    <definedName name="__c" localSheetId="4" hidden="1">{#N/A,#N/A,FALSE,"Layout Cash Flow"}</definedName>
    <definedName name="__c" localSheetId="5" hidden="1">{#N/A,#N/A,FALSE,"Layout Cash Flow"}</definedName>
    <definedName name="__c" localSheetId="3" hidden="1">{#N/A,#N/A,FALSE,"Layout Cash Flow"}</definedName>
    <definedName name="__c" localSheetId="21" hidden="1">{#N/A,#N/A,FALSE,"Layout Cash Flow"}</definedName>
    <definedName name="__c" hidden="1">{#N/A,#N/A,FALSE,"Layout Cash Flow"}</definedName>
    <definedName name="__re34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c" localSheetId="7" hidden="1">{#N/A,#N/A,FALSE,"Layout Cash Flow"}</definedName>
    <definedName name="_c" localSheetId="6" hidden="1">{#N/A,#N/A,FALSE,"Layout Cash Flow"}</definedName>
    <definedName name="_c" localSheetId="8" hidden="1">{#N/A,#N/A,FALSE,"Layout Cash Flow"}</definedName>
    <definedName name="_c" localSheetId="11" hidden="1">{#N/A,#N/A,FALSE,"Layout Cash Flow"}</definedName>
    <definedName name="_c" localSheetId="13" hidden="1">{#N/A,#N/A,FALSE,"Layout Cash Flow"}</definedName>
    <definedName name="_c" localSheetId="12" hidden="1">{#N/A,#N/A,FALSE,"Layout Cash Flow"}</definedName>
    <definedName name="_c" localSheetId="16" hidden="1">{#N/A,#N/A,FALSE,"Layout Cash Flow"}</definedName>
    <definedName name="_c" localSheetId="14" hidden="1">{#N/A,#N/A,FALSE,"Layout Cash Flow"}</definedName>
    <definedName name="_c" localSheetId="15" hidden="1">{#N/A,#N/A,FALSE,"Layout Cash Flow"}</definedName>
    <definedName name="_c" localSheetId="17" hidden="1">{#N/A,#N/A,FALSE,"Layout Cash Flow"}</definedName>
    <definedName name="_c" localSheetId="18" hidden="1">{#N/A,#N/A,FALSE,"Layout Cash Flow"}</definedName>
    <definedName name="_c" localSheetId="19" hidden="1">{#N/A,#N/A,FALSE,"Layout Cash Flow"}</definedName>
    <definedName name="_c" localSheetId="20" hidden="1">{#N/A,#N/A,FALSE,"Layout Cash Flow"}</definedName>
    <definedName name="_c" localSheetId="4" hidden="1">{#N/A,#N/A,FALSE,"Layout Cash Flow"}</definedName>
    <definedName name="_c" localSheetId="5" hidden="1">{#N/A,#N/A,FALSE,"Layout Cash Flow"}</definedName>
    <definedName name="_c" localSheetId="3" hidden="1">{#N/A,#N/A,FALSE,"Layout Cash Flow"}</definedName>
    <definedName name="_c" localSheetId="21" hidden="1">{#N/A,#N/A,FALSE,"Layout Cash Flow"}</definedName>
    <definedName name="_c" hidden="1">{#N/A,#N/A,FALSE,"Layout Cash Flow"}</definedName>
    <definedName name="_Order1" hidden="1">255</definedName>
    <definedName name="_Order2" hidden="1">0</definedName>
    <definedName name="_re34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" localSheetId="7" hidden="1">{#N/A,#N/A,FALSE,"Mittelherkunft";#N/A,#N/A,FALSE,"Mittelverwendung"}</definedName>
    <definedName name="a" localSheetId="6" hidden="1">{#N/A,#N/A,FALSE,"Mittelherkunft";#N/A,#N/A,FALSE,"Mittelverwendung"}</definedName>
    <definedName name="a" localSheetId="8" hidden="1">{#N/A,#N/A,FALSE,"Mittelherkunft";#N/A,#N/A,FALSE,"Mittelverwendung"}</definedName>
    <definedName name="a" localSheetId="11" hidden="1">{#N/A,#N/A,FALSE,"Mittelherkunft";#N/A,#N/A,FALSE,"Mittelverwendung"}</definedName>
    <definedName name="a" localSheetId="13" hidden="1">{#N/A,#N/A,FALSE,"Mittelherkunft";#N/A,#N/A,FALSE,"Mittelverwendung"}</definedName>
    <definedName name="a" localSheetId="12" hidden="1">{#N/A,#N/A,FALSE,"Mittelherkunft";#N/A,#N/A,FALSE,"Mittelverwendung"}</definedName>
    <definedName name="a" localSheetId="16" hidden="1">{#N/A,#N/A,FALSE,"Mittelherkunft";#N/A,#N/A,FALSE,"Mittelverwendung"}</definedName>
    <definedName name="a" localSheetId="14" hidden="1">{#N/A,#N/A,FALSE,"Mittelherkunft";#N/A,#N/A,FALSE,"Mittelverwendung"}</definedName>
    <definedName name="a" localSheetId="15" hidden="1">{#N/A,#N/A,FALSE,"Mittelherkunft";#N/A,#N/A,FALSE,"Mittelverwendung"}</definedName>
    <definedName name="a" localSheetId="17" hidden="1">{#N/A,#N/A,FALSE,"Mittelherkunft";#N/A,#N/A,FALSE,"Mittelverwendung"}</definedName>
    <definedName name="a" localSheetId="18" hidden="1">{#N/A,#N/A,FALSE,"Mittelherkunft";#N/A,#N/A,FALSE,"Mittelverwendung"}</definedName>
    <definedName name="a" localSheetId="19" hidden="1">{#N/A,#N/A,FALSE,"Mittelherkunft";#N/A,#N/A,FALSE,"Mittelverwendung"}</definedName>
    <definedName name="a" localSheetId="20" hidden="1">{#N/A,#N/A,FALSE,"Mittelherkunft";#N/A,#N/A,FALSE,"Mittelverwendung"}</definedName>
    <definedName name="a" localSheetId="4" hidden="1">{#N/A,#N/A,FALSE,"Mittelherkunft";#N/A,#N/A,FALSE,"Mittelverwendung"}</definedName>
    <definedName name="a" localSheetId="5" hidden="1">{#N/A,#N/A,FALSE,"Mittelherkunft";#N/A,#N/A,FALSE,"Mittelverwendung"}</definedName>
    <definedName name="a" localSheetId="3" hidden="1">{#N/A,#N/A,FALSE,"Mittelherkunft";#N/A,#N/A,FALSE,"Mittelverwendung"}</definedName>
    <definedName name="a" localSheetId="21" hidden="1">{#N/A,#N/A,FALSE,"Mittelherkunft";#N/A,#N/A,FALSE,"Mittelverwendung"}</definedName>
    <definedName name="a" hidden="1">{#N/A,#N/A,FALSE,"Mittelherkunft";#N/A,#N/A,FALSE,"Mittelverwendung"}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bc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d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e" localSheetId="7" hidden="1">{"GuVGmbH",#N/A,FALSE,"ratios";"BilanzGmbH",#N/A,FALSE,"ratios";"BilanzKG",#N/A,FALSE,"ratios";"GuVKG",#N/A,FALSE,"ratios"}</definedName>
    <definedName name="abe" localSheetId="6" hidden="1">{"GuVGmbH",#N/A,FALSE,"ratios";"BilanzGmbH",#N/A,FALSE,"ratios";"BilanzKG",#N/A,FALSE,"ratios";"GuVKG",#N/A,FALSE,"ratios"}</definedName>
    <definedName name="abe" localSheetId="8" hidden="1">{"GuVGmbH",#N/A,FALSE,"ratios";"BilanzGmbH",#N/A,FALSE,"ratios";"BilanzKG",#N/A,FALSE,"ratios";"GuVKG",#N/A,FALSE,"ratios"}</definedName>
    <definedName name="abe" localSheetId="11" hidden="1">{"GuVGmbH",#N/A,FALSE,"ratios";"BilanzGmbH",#N/A,FALSE,"ratios";"BilanzKG",#N/A,FALSE,"ratios";"GuVKG",#N/A,FALSE,"ratios"}</definedName>
    <definedName name="abe" localSheetId="13" hidden="1">{"GuVGmbH",#N/A,FALSE,"ratios";"BilanzGmbH",#N/A,FALSE,"ratios";"BilanzKG",#N/A,FALSE,"ratios";"GuVKG",#N/A,FALSE,"ratios"}</definedName>
    <definedName name="abe" localSheetId="12" hidden="1">{"GuVGmbH",#N/A,FALSE,"ratios";"BilanzGmbH",#N/A,FALSE,"ratios";"BilanzKG",#N/A,FALSE,"ratios";"GuVKG",#N/A,FALSE,"ratios"}</definedName>
    <definedName name="abe" localSheetId="16" hidden="1">{"GuVGmbH",#N/A,FALSE,"ratios";"BilanzGmbH",#N/A,FALSE,"ratios";"BilanzKG",#N/A,FALSE,"ratios";"GuVKG",#N/A,FALSE,"ratios"}</definedName>
    <definedName name="abe" localSheetId="14" hidden="1">{"GuVGmbH",#N/A,FALSE,"ratios";"BilanzGmbH",#N/A,FALSE,"ratios";"BilanzKG",#N/A,FALSE,"ratios";"GuVKG",#N/A,FALSE,"ratios"}</definedName>
    <definedName name="abe" localSheetId="15" hidden="1">{"GuVGmbH",#N/A,FALSE,"ratios";"BilanzGmbH",#N/A,FALSE,"ratios";"BilanzKG",#N/A,FALSE,"ratios";"GuVKG",#N/A,FALSE,"ratios"}</definedName>
    <definedName name="abe" localSheetId="17" hidden="1">{"GuVGmbH",#N/A,FALSE,"ratios";"BilanzGmbH",#N/A,FALSE,"ratios";"BilanzKG",#N/A,FALSE,"ratios";"GuVKG",#N/A,FALSE,"ratios"}</definedName>
    <definedName name="abe" localSheetId="18" hidden="1">{"GuVGmbH",#N/A,FALSE,"ratios";"BilanzGmbH",#N/A,FALSE,"ratios";"BilanzKG",#N/A,FALSE,"ratios";"GuVKG",#N/A,FALSE,"ratios"}</definedName>
    <definedName name="abe" localSheetId="19" hidden="1">{"GuVGmbH",#N/A,FALSE,"ratios";"BilanzGmbH",#N/A,FALSE,"ratios";"BilanzKG",#N/A,FALSE,"ratios";"GuVKG",#N/A,FALSE,"ratios"}</definedName>
    <definedName name="abe" localSheetId="20" hidden="1">{"GuVGmbH",#N/A,FALSE,"ratios";"BilanzGmbH",#N/A,FALSE,"ratios";"BilanzKG",#N/A,FALSE,"ratios";"GuVKG",#N/A,FALSE,"ratios"}</definedName>
    <definedName name="abe" localSheetId="4" hidden="1">{"GuVGmbH",#N/A,FALSE,"ratios";"BilanzGmbH",#N/A,FALSE,"ratios";"BilanzKG",#N/A,FALSE,"ratios";"GuVKG",#N/A,FALSE,"ratios"}</definedName>
    <definedName name="abe" localSheetId="5" hidden="1">{"GuVGmbH",#N/A,FALSE,"ratios";"BilanzGmbH",#N/A,FALSE,"ratios";"BilanzKG",#N/A,FALSE,"ratios";"GuVKG",#N/A,FALSE,"ratios"}</definedName>
    <definedName name="abe" localSheetId="3" hidden="1">{"GuVGmbH",#N/A,FALSE,"ratios";"BilanzGmbH",#N/A,FALSE,"ratios";"BilanzKG",#N/A,FALSE,"ratios";"GuVKG",#N/A,FALSE,"ratios"}</definedName>
    <definedName name="abe" localSheetId="21" hidden="1">{"GuVGmbH",#N/A,FALSE,"ratios";"BilanzGmbH",#N/A,FALSE,"ratios";"BilanzKG",#N/A,FALSE,"ratios";"GuVKG",#N/A,FALSE,"ratios"}</definedName>
    <definedName name="abe" hidden="1">{"GuVGmbH",#N/A,FALSE,"ratios";"BilanzGmbH",#N/A,FALSE,"ratios";"BilanzKG",#N/A,FALSE,"ratios";"GuVKG",#N/A,FALSE,"ratios"}</definedName>
    <definedName name="adrharh" localSheetId="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2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9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20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2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erhaerhaerh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nscount" hidden="1">1</definedName>
    <definedName name="are" localSheetId="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2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9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20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2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SaQSS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b" localSheetId="7" hidden="1">{#N/A,#N/A,FALSE,"Layout Aktiva";#N/A,#N/A,FALSE,"Layout Passiva"}</definedName>
    <definedName name="b" localSheetId="6" hidden="1">{#N/A,#N/A,FALSE,"Layout Aktiva";#N/A,#N/A,FALSE,"Layout Passiva"}</definedName>
    <definedName name="b" localSheetId="8" hidden="1">{#N/A,#N/A,FALSE,"Layout Aktiva";#N/A,#N/A,FALSE,"Layout Passiva"}</definedName>
    <definedName name="b" localSheetId="11" hidden="1">{#N/A,#N/A,FALSE,"Layout Aktiva";#N/A,#N/A,FALSE,"Layout Passiva"}</definedName>
    <definedName name="b" localSheetId="13" hidden="1">{#N/A,#N/A,FALSE,"Layout Aktiva";#N/A,#N/A,FALSE,"Layout Passiva"}</definedName>
    <definedName name="b" localSheetId="12" hidden="1">{#N/A,#N/A,FALSE,"Layout Aktiva";#N/A,#N/A,FALSE,"Layout Passiva"}</definedName>
    <definedName name="b" localSheetId="16" hidden="1">{#N/A,#N/A,FALSE,"Layout Aktiva";#N/A,#N/A,FALSE,"Layout Passiva"}</definedName>
    <definedName name="b" localSheetId="14" hidden="1">{#N/A,#N/A,FALSE,"Layout Aktiva";#N/A,#N/A,FALSE,"Layout Passiva"}</definedName>
    <definedName name="b" localSheetId="15" hidden="1">{#N/A,#N/A,FALSE,"Layout Aktiva";#N/A,#N/A,FALSE,"Layout Passiva"}</definedName>
    <definedName name="b" localSheetId="17" hidden="1">{#N/A,#N/A,FALSE,"Layout Aktiva";#N/A,#N/A,FALSE,"Layout Passiva"}</definedName>
    <definedName name="b" localSheetId="18" hidden="1">{#N/A,#N/A,FALSE,"Layout Aktiva";#N/A,#N/A,FALSE,"Layout Passiva"}</definedName>
    <definedName name="b" localSheetId="19" hidden="1">{#N/A,#N/A,FALSE,"Layout Aktiva";#N/A,#N/A,FALSE,"Layout Passiva"}</definedName>
    <definedName name="b" localSheetId="20" hidden="1">{#N/A,#N/A,FALSE,"Layout Aktiva";#N/A,#N/A,FALSE,"Layout Passiva"}</definedName>
    <definedName name="b" localSheetId="4" hidden="1">{#N/A,#N/A,FALSE,"Layout Aktiva";#N/A,#N/A,FALSE,"Layout Passiva"}</definedName>
    <definedName name="b" localSheetId="5" hidden="1">{#N/A,#N/A,FALSE,"Layout Aktiva";#N/A,#N/A,FALSE,"Layout Passiva"}</definedName>
    <definedName name="b" localSheetId="3" hidden="1">{#N/A,#N/A,FALSE,"Layout Aktiva";#N/A,#N/A,FALSE,"Layout Passiva"}</definedName>
    <definedName name="b" localSheetId="21" hidden="1">{#N/A,#N/A,FALSE,"Layout Aktiva";#N/A,#N/A,FALSE,"Layout Passiva"}</definedName>
    <definedName name="b" hidden="1">{#N/A,#N/A,FALSE,"Layout Aktiva";#N/A,#N/A,FALSE,"Layout Passiva"}</definedName>
    <definedName name="cde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d" localSheetId="7" hidden="1">{#N/A,#N/A,FALSE,"Finanzbedarsrechnung"}</definedName>
    <definedName name="d" localSheetId="6" hidden="1">{#N/A,#N/A,FALSE,"Finanzbedarsrechnung"}</definedName>
    <definedName name="d" localSheetId="8" hidden="1">{#N/A,#N/A,FALSE,"Finanzbedarsrechnung"}</definedName>
    <definedName name="d" localSheetId="11" hidden="1">{#N/A,#N/A,FALSE,"Finanzbedarsrechnung"}</definedName>
    <definedName name="d" localSheetId="13" hidden="1">{#N/A,#N/A,FALSE,"Finanzbedarsrechnung"}</definedName>
    <definedName name="d" localSheetId="12" hidden="1">{#N/A,#N/A,FALSE,"Finanzbedarsrechnung"}</definedName>
    <definedName name="d" localSheetId="16" hidden="1">{#N/A,#N/A,FALSE,"Finanzbedarsrechnung"}</definedName>
    <definedName name="d" localSheetId="14" hidden="1">{#N/A,#N/A,FALSE,"Finanzbedarsrechnung"}</definedName>
    <definedName name="d" localSheetId="15" hidden="1">{#N/A,#N/A,FALSE,"Finanzbedarsrechnung"}</definedName>
    <definedName name="d" localSheetId="17" hidden="1">{#N/A,#N/A,FALSE,"Finanzbedarsrechnung"}</definedName>
    <definedName name="d" localSheetId="18" hidden="1">{#N/A,#N/A,FALSE,"Finanzbedarsrechnung"}</definedName>
    <definedName name="d" localSheetId="19" hidden="1">{#N/A,#N/A,FALSE,"Finanzbedarsrechnung"}</definedName>
    <definedName name="d" localSheetId="20" hidden="1">{#N/A,#N/A,FALSE,"Finanzbedarsrechnung"}</definedName>
    <definedName name="d" localSheetId="4" hidden="1">{#N/A,#N/A,FALSE,"Finanzbedarsrechnung"}</definedName>
    <definedName name="d" localSheetId="5" hidden="1">{#N/A,#N/A,FALSE,"Finanzbedarsrechnung"}</definedName>
    <definedName name="d" localSheetId="3" hidden="1">{#N/A,#N/A,FALSE,"Finanzbedarsrechnung"}</definedName>
    <definedName name="d" localSheetId="21" hidden="1">{#N/A,#N/A,FALSE,"Finanzbedarsrechnung"}</definedName>
    <definedName name="d" hidden="1">{#N/A,#N/A,FALSE,"Finanzbedarsrechnung"}</definedName>
    <definedName name="dd" localSheetId="7" hidden="1">{#N/A,#N/A,FALSE,"Layout Aktiva";#N/A,#N/A,FALSE,"Layout Passiva"}</definedName>
    <definedName name="dd" localSheetId="6" hidden="1">{#N/A,#N/A,FALSE,"Layout Aktiva";#N/A,#N/A,FALSE,"Layout Passiva"}</definedName>
    <definedName name="dd" localSheetId="8" hidden="1">{#N/A,#N/A,FALSE,"Layout Aktiva";#N/A,#N/A,FALSE,"Layout Passiva"}</definedName>
    <definedName name="dd" localSheetId="11" hidden="1">{#N/A,#N/A,FALSE,"Layout Aktiva";#N/A,#N/A,FALSE,"Layout Passiva"}</definedName>
    <definedName name="dd" localSheetId="13" hidden="1">{#N/A,#N/A,FALSE,"Layout Aktiva";#N/A,#N/A,FALSE,"Layout Passiva"}</definedName>
    <definedName name="dd" localSheetId="12" hidden="1">{#N/A,#N/A,FALSE,"Layout Aktiva";#N/A,#N/A,FALSE,"Layout Passiva"}</definedName>
    <definedName name="dd" localSheetId="16" hidden="1">{#N/A,#N/A,FALSE,"Layout Aktiva";#N/A,#N/A,FALSE,"Layout Passiva"}</definedName>
    <definedName name="dd" localSheetId="14" hidden="1">{#N/A,#N/A,FALSE,"Layout Aktiva";#N/A,#N/A,FALSE,"Layout Passiva"}</definedName>
    <definedName name="dd" localSheetId="15" hidden="1">{#N/A,#N/A,FALSE,"Layout Aktiva";#N/A,#N/A,FALSE,"Layout Passiva"}</definedName>
    <definedName name="dd" localSheetId="17" hidden="1">{#N/A,#N/A,FALSE,"Layout Aktiva";#N/A,#N/A,FALSE,"Layout Passiva"}</definedName>
    <definedName name="dd" localSheetId="18" hidden="1">{#N/A,#N/A,FALSE,"Layout Aktiva";#N/A,#N/A,FALSE,"Layout Passiva"}</definedName>
    <definedName name="dd" localSheetId="19" hidden="1">{#N/A,#N/A,FALSE,"Layout Aktiva";#N/A,#N/A,FALSE,"Layout Passiva"}</definedName>
    <definedName name="dd" localSheetId="20" hidden="1">{#N/A,#N/A,FALSE,"Layout Aktiva";#N/A,#N/A,FALSE,"Layout Passiva"}</definedName>
    <definedName name="dd" localSheetId="4" hidden="1">{#N/A,#N/A,FALSE,"Layout Aktiva";#N/A,#N/A,FALSE,"Layout Passiva"}</definedName>
    <definedName name="dd" localSheetId="5" hidden="1">{#N/A,#N/A,FALSE,"Layout Aktiva";#N/A,#N/A,FALSE,"Layout Passiva"}</definedName>
    <definedName name="dd" localSheetId="3" hidden="1">{#N/A,#N/A,FALSE,"Layout Aktiva";#N/A,#N/A,FALSE,"Layout Passiva"}</definedName>
    <definedName name="dd" localSheetId="21" hidden="1">{#N/A,#N/A,FALSE,"Layout Aktiva";#N/A,#N/A,FALSE,"Layout Passiva"}</definedName>
    <definedName name="dd" hidden="1">{#N/A,#N/A,FALSE,"Layout Aktiva";#N/A,#N/A,FALSE,"Layout Passiva"}</definedName>
    <definedName name="e" localSheetId="7" hidden="1">{#N/A,#N/A,FALSE,"Layout GuV"}</definedName>
    <definedName name="e" localSheetId="6" hidden="1">{#N/A,#N/A,FALSE,"Layout GuV"}</definedName>
    <definedName name="e" localSheetId="8" hidden="1">{#N/A,#N/A,FALSE,"Layout GuV"}</definedName>
    <definedName name="e" localSheetId="11" hidden="1">{#N/A,#N/A,FALSE,"Layout GuV"}</definedName>
    <definedName name="e" localSheetId="13" hidden="1">{#N/A,#N/A,FALSE,"Layout GuV"}</definedName>
    <definedName name="e" localSheetId="12" hidden="1">{#N/A,#N/A,FALSE,"Layout GuV"}</definedName>
    <definedName name="e" localSheetId="16" hidden="1">{#N/A,#N/A,FALSE,"Layout GuV"}</definedName>
    <definedName name="e" localSheetId="14" hidden="1">{#N/A,#N/A,FALSE,"Layout GuV"}</definedName>
    <definedName name="e" localSheetId="15" hidden="1">{#N/A,#N/A,FALSE,"Layout GuV"}</definedName>
    <definedName name="e" localSheetId="17" hidden="1">{#N/A,#N/A,FALSE,"Layout GuV"}</definedName>
    <definedName name="e" localSheetId="18" hidden="1">{#N/A,#N/A,FALSE,"Layout GuV"}</definedName>
    <definedName name="e" localSheetId="19" hidden="1">{#N/A,#N/A,FALSE,"Layout GuV"}</definedName>
    <definedName name="e" localSheetId="20" hidden="1">{#N/A,#N/A,FALSE,"Layout GuV"}</definedName>
    <definedName name="e" localSheetId="4" hidden="1">{#N/A,#N/A,FALSE,"Layout GuV"}</definedName>
    <definedName name="e" localSheetId="5" hidden="1">{#N/A,#N/A,FALSE,"Layout GuV"}</definedName>
    <definedName name="e" localSheetId="3" hidden="1">{#N/A,#N/A,FALSE,"Layout GuV"}</definedName>
    <definedName name="e" localSheetId="21" hidden="1">{#N/A,#N/A,FALSE,"Layout GuV"}</definedName>
    <definedName name="e" hidden="1">{#N/A,#N/A,FALSE,"Layout GuV"}</definedName>
    <definedName name="EFqef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rer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er" localSheetId="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2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9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20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2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f" localSheetId="7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6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8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1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3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2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6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4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5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7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8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9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20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4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5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3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21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wwefwef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localSheetId="21" hidden="1">41409.5876388889</definedName>
    <definedName name="IQ_NAMES_REVISION_DATE_" hidden="1">40704.4393518519</definedName>
    <definedName name="IQ_NTM" hidden="1">6000</definedName>
    <definedName name="IQ_OPENED55" hidden="1">1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jkjkjk" localSheetId="7" hidden="1">{"GuVGmbH",#N/A,FALSE,"ratios";"BilanzGmbH",#N/A,FALSE,"ratios";"BilanzKG",#N/A,FALSE,"ratios";"GuVKG",#N/A,FALSE,"ratios"}</definedName>
    <definedName name="jkjkjk" localSheetId="6" hidden="1">{"GuVGmbH",#N/A,FALSE,"ratios";"BilanzGmbH",#N/A,FALSE,"ratios";"BilanzKG",#N/A,FALSE,"ratios";"GuVKG",#N/A,FALSE,"ratios"}</definedName>
    <definedName name="jkjkjk" localSheetId="8" hidden="1">{"GuVGmbH",#N/A,FALSE,"ratios";"BilanzGmbH",#N/A,FALSE,"ratios";"BilanzKG",#N/A,FALSE,"ratios";"GuVKG",#N/A,FALSE,"ratios"}</definedName>
    <definedName name="jkjkjk" localSheetId="11" hidden="1">{"GuVGmbH",#N/A,FALSE,"ratios";"BilanzGmbH",#N/A,FALSE,"ratios";"BilanzKG",#N/A,FALSE,"ratios";"GuVKG",#N/A,FALSE,"ratios"}</definedName>
    <definedName name="jkjkjk" localSheetId="13" hidden="1">{"GuVGmbH",#N/A,FALSE,"ratios";"BilanzGmbH",#N/A,FALSE,"ratios";"BilanzKG",#N/A,FALSE,"ratios";"GuVKG",#N/A,FALSE,"ratios"}</definedName>
    <definedName name="jkjkjk" localSheetId="12" hidden="1">{"GuVGmbH",#N/A,FALSE,"ratios";"BilanzGmbH",#N/A,FALSE,"ratios";"BilanzKG",#N/A,FALSE,"ratios";"GuVKG",#N/A,FALSE,"ratios"}</definedName>
    <definedName name="jkjkjk" localSheetId="16" hidden="1">{"GuVGmbH",#N/A,FALSE,"ratios";"BilanzGmbH",#N/A,FALSE,"ratios";"BilanzKG",#N/A,FALSE,"ratios";"GuVKG",#N/A,FALSE,"ratios"}</definedName>
    <definedName name="jkjkjk" localSheetId="14" hidden="1">{"GuVGmbH",#N/A,FALSE,"ratios";"BilanzGmbH",#N/A,FALSE,"ratios";"BilanzKG",#N/A,FALSE,"ratios";"GuVKG",#N/A,FALSE,"ratios"}</definedName>
    <definedName name="jkjkjk" localSheetId="15" hidden="1">{"GuVGmbH",#N/A,FALSE,"ratios";"BilanzGmbH",#N/A,FALSE,"ratios";"BilanzKG",#N/A,FALSE,"ratios";"GuVKG",#N/A,FALSE,"ratios"}</definedName>
    <definedName name="jkjkjk" localSheetId="17" hidden="1">{"GuVGmbH",#N/A,FALSE,"ratios";"BilanzGmbH",#N/A,FALSE,"ratios";"BilanzKG",#N/A,FALSE,"ratios";"GuVKG",#N/A,FALSE,"ratios"}</definedName>
    <definedName name="jkjkjk" localSheetId="18" hidden="1">{"GuVGmbH",#N/A,FALSE,"ratios";"BilanzGmbH",#N/A,FALSE,"ratios";"BilanzKG",#N/A,FALSE,"ratios";"GuVKG",#N/A,FALSE,"ratios"}</definedName>
    <definedName name="jkjkjk" localSheetId="19" hidden="1">{"GuVGmbH",#N/A,FALSE,"ratios";"BilanzGmbH",#N/A,FALSE,"ratios";"BilanzKG",#N/A,FALSE,"ratios";"GuVKG",#N/A,FALSE,"ratios"}</definedName>
    <definedName name="jkjkjk" localSheetId="20" hidden="1">{"GuVGmbH",#N/A,FALSE,"ratios";"BilanzGmbH",#N/A,FALSE,"ratios";"BilanzKG",#N/A,FALSE,"ratios";"GuVKG",#N/A,FALSE,"ratios"}</definedName>
    <definedName name="jkjkjk" localSheetId="4" hidden="1">{"GuVGmbH",#N/A,FALSE,"ratios";"BilanzGmbH",#N/A,FALSE,"ratios";"BilanzKG",#N/A,FALSE,"ratios";"GuVKG",#N/A,FALSE,"ratios"}</definedName>
    <definedName name="jkjkjk" localSheetId="5" hidden="1">{"GuVGmbH",#N/A,FALSE,"ratios";"BilanzGmbH",#N/A,FALSE,"ratios";"BilanzKG",#N/A,FALSE,"ratios";"GuVKG",#N/A,FALSE,"ratios"}</definedName>
    <definedName name="jkjkjk" localSheetId="3" hidden="1">{"GuVGmbH",#N/A,FALSE,"ratios";"BilanzGmbH",#N/A,FALSE,"ratios";"BilanzKG",#N/A,FALSE,"ratios";"GuVKG",#N/A,FALSE,"ratios"}</definedName>
    <definedName name="jkjkjk" localSheetId="21" hidden="1">{"GuVGmbH",#N/A,FALSE,"ratios";"BilanzGmbH",#N/A,FALSE,"ratios";"BilanzKG",#N/A,FALSE,"ratios";"GuVKG",#N/A,FALSE,"ratios"}</definedName>
    <definedName name="jkjkjk" hidden="1">{"GuVGmbH",#N/A,FALSE,"ratios";"BilanzGmbH",#N/A,FALSE,"ratios";"BilanzKG",#N/A,FALSE,"ratios";"GuVKG",#N/A,FALSE,"ratios"}</definedName>
    <definedName name="qwer23r3r23r" localSheetId="7" hidden="1">{"GuVGmbH",#N/A,FALSE,"ratios";"BilanzGmbH",#N/A,FALSE,"ratios";"BilanzKG",#N/A,FALSE,"ratios";"GuVKG",#N/A,FALSE,"ratios"}</definedName>
    <definedName name="qwer23r3r23r" localSheetId="6" hidden="1">{"GuVGmbH",#N/A,FALSE,"ratios";"BilanzGmbH",#N/A,FALSE,"ratios";"BilanzKG",#N/A,FALSE,"ratios";"GuVKG",#N/A,FALSE,"ratios"}</definedName>
    <definedName name="qwer23r3r23r" localSheetId="8" hidden="1">{"GuVGmbH",#N/A,FALSE,"ratios";"BilanzGmbH",#N/A,FALSE,"ratios";"BilanzKG",#N/A,FALSE,"ratios";"GuVKG",#N/A,FALSE,"ratios"}</definedName>
    <definedName name="qwer23r3r23r" localSheetId="11" hidden="1">{"GuVGmbH",#N/A,FALSE,"ratios";"BilanzGmbH",#N/A,FALSE,"ratios";"BilanzKG",#N/A,FALSE,"ratios";"GuVKG",#N/A,FALSE,"ratios"}</definedName>
    <definedName name="qwer23r3r23r" localSheetId="13" hidden="1">{"GuVGmbH",#N/A,FALSE,"ratios";"BilanzGmbH",#N/A,FALSE,"ratios";"BilanzKG",#N/A,FALSE,"ratios";"GuVKG",#N/A,FALSE,"ratios"}</definedName>
    <definedName name="qwer23r3r23r" localSheetId="12" hidden="1">{"GuVGmbH",#N/A,FALSE,"ratios";"BilanzGmbH",#N/A,FALSE,"ratios";"BilanzKG",#N/A,FALSE,"ratios";"GuVKG",#N/A,FALSE,"ratios"}</definedName>
    <definedName name="qwer23r3r23r" localSheetId="16" hidden="1">{"GuVGmbH",#N/A,FALSE,"ratios";"BilanzGmbH",#N/A,FALSE,"ratios";"BilanzKG",#N/A,FALSE,"ratios";"GuVKG",#N/A,FALSE,"ratios"}</definedName>
    <definedName name="qwer23r3r23r" localSheetId="14" hidden="1">{"GuVGmbH",#N/A,FALSE,"ratios";"BilanzGmbH",#N/A,FALSE,"ratios";"BilanzKG",#N/A,FALSE,"ratios";"GuVKG",#N/A,FALSE,"ratios"}</definedName>
    <definedName name="qwer23r3r23r" localSheetId="15" hidden="1">{"GuVGmbH",#N/A,FALSE,"ratios";"BilanzGmbH",#N/A,FALSE,"ratios";"BilanzKG",#N/A,FALSE,"ratios";"GuVKG",#N/A,FALSE,"ratios"}</definedName>
    <definedName name="qwer23r3r23r" localSheetId="17" hidden="1">{"GuVGmbH",#N/A,FALSE,"ratios";"BilanzGmbH",#N/A,FALSE,"ratios";"BilanzKG",#N/A,FALSE,"ratios";"GuVKG",#N/A,FALSE,"ratios"}</definedName>
    <definedName name="qwer23r3r23r" localSheetId="18" hidden="1">{"GuVGmbH",#N/A,FALSE,"ratios";"BilanzGmbH",#N/A,FALSE,"ratios";"BilanzKG",#N/A,FALSE,"ratios";"GuVKG",#N/A,FALSE,"ratios"}</definedName>
    <definedName name="qwer23r3r23r" localSheetId="19" hidden="1">{"GuVGmbH",#N/A,FALSE,"ratios";"BilanzGmbH",#N/A,FALSE,"ratios";"BilanzKG",#N/A,FALSE,"ratios";"GuVKG",#N/A,FALSE,"ratios"}</definedName>
    <definedName name="qwer23r3r23r" localSheetId="20" hidden="1">{"GuVGmbH",#N/A,FALSE,"ratios";"BilanzGmbH",#N/A,FALSE,"ratios";"BilanzKG",#N/A,FALSE,"ratios";"GuVKG",#N/A,FALSE,"ratios"}</definedName>
    <definedName name="qwer23r3r23r" localSheetId="4" hidden="1">{"GuVGmbH",#N/A,FALSE,"ratios";"BilanzGmbH",#N/A,FALSE,"ratios";"BilanzKG",#N/A,FALSE,"ratios";"GuVKG",#N/A,FALSE,"ratios"}</definedName>
    <definedName name="qwer23r3r23r" localSheetId="5" hidden="1">{"GuVGmbH",#N/A,FALSE,"ratios";"BilanzGmbH",#N/A,FALSE,"ratios";"BilanzKG",#N/A,FALSE,"ratios";"GuVKG",#N/A,FALSE,"ratios"}</definedName>
    <definedName name="qwer23r3r23r" localSheetId="3" hidden="1">{"GuVGmbH",#N/A,FALSE,"ratios";"BilanzGmbH",#N/A,FALSE,"ratios";"BilanzKG",#N/A,FALSE,"ratios";"GuVKG",#N/A,FALSE,"ratios"}</definedName>
    <definedName name="qwer23r3r23r" localSheetId="21" hidden="1">{"GuVGmbH",#N/A,FALSE,"ratios";"BilanzGmbH",#N/A,FALSE,"ratios";"BilanzKG",#N/A,FALSE,"ratios";"GuVKG",#N/A,FALSE,"ratios"}</definedName>
    <definedName name="qwer23r3r23r" hidden="1">{"GuVGmbH",#N/A,FALSE,"ratios";"BilanzGmbH",#N/A,FALSE,"ratios";"BilanzKG",#N/A,FALSE,"ratios";"GuVKG",#N/A,FALSE,"ratios"}</definedName>
    <definedName name="qwqwqewd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SAPBEXhrIndnt" hidden="1">1</definedName>
    <definedName name="SAPBEXrevision" hidden="1">1</definedName>
    <definedName name="SAPBEXsysID" hidden="1">"PW4"</definedName>
    <definedName name="SAPBEXwbID" hidden="1">"3W5WEHUZX21PYEA0PJIE6NZFH"</definedName>
    <definedName name="sdsdfsdf" localSheetId="7" hidden="1">{"GuVGmbH",#N/A,FALSE,"ratios";"BilanzGmbH",#N/A,FALSE,"ratios";"BilanzKG",#N/A,FALSE,"ratios";"GuVKG",#N/A,FALSE,"ratios"}</definedName>
    <definedName name="sdsdfsdf" localSheetId="6" hidden="1">{"GuVGmbH",#N/A,FALSE,"ratios";"BilanzGmbH",#N/A,FALSE,"ratios";"BilanzKG",#N/A,FALSE,"ratios";"GuVKG",#N/A,FALSE,"ratios"}</definedName>
    <definedName name="sdsdfsdf" localSheetId="8" hidden="1">{"GuVGmbH",#N/A,FALSE,"ratios";"BilanzGmbH",#N/A,FALSE,"ratios";"BilanzKG",#N/A,FALSE,"ratios";"GuVKG",#N/A,FALSE,"ratios"}</definedName>
    <definedName name="sdsdfsdf" localSheetId="11" hidden="1">{"GuVGmbH",#N/A,FALSE,"ratios";"BilanzGmbH",#N/A,FALSE,"ratios";"BilanzKG",#N/A,FALSE,"ratios";"GuVKG",#N/A,FALSE,"ratios"}</definedName>
    <definedName name="sdsdfsdf" localSheetId="13" hidden="1">{"GuVGmbH",#N/A,FALSE,"ratios";"BilanzGmbH",#N/A,FALSE,"ratios";"BilanzKG",#N/A,FALSE,"ratios";"GuVKG",#N/A,FALSE,"ratios"}</definedName>
    <definedName name="sdsdfsdf" localSheetId="12" hidden="1">{"GuVGmbH",#N/A,FALSE,"ratios";"BilanzGmbH",#N/A,FALSE,"ratios";"BilanzKG",#N/A,FALSE,"ratios";"GuVKG",#N/A,FALSE,"ratios"}</definedName>
    <definedName name="sdsdfsdf" localSheetId="16" hidden="1">{"GuVGmbH",#N/A,FALSE,"ratios";"BilanzGmbH",#N/A,FALSE,"ratios";"BilanzKG",#N/A,FALSE,"ratios";"GuVKG",#N/A,FALSE,"ratios"}</definedName>
    <definedName name="sdsdfsdf" localSheetId="14" hidden="1">{"GuVGmbH",#N/A,FALSE,"ratios";"BilanzGmbH",#N/A,FALSE,"ratios";"BilanzKG",#N/A,FALSE,"ratios";"GuVKG",#N/A,FALSE,"ratios"}</definedName>
    <definedName name="sdsdfsdf" localSheetId="15" hidden="1">{"GuVGmbH",#N/A,FALSE,"ratios";"BilanzGmbH",#N/A,FALSE,"ratios";"BilanzKG",#N/A,FALSE,"ratios";"GuVKG",#N/A,FALSE,"ratios"}</definedName>
    <definedName name="sdsdfsdf" localSheetId="17" hidden="1">{"GuVGmbH",#N/A,FALSE,"ratios";"BilanzGmbH",#N/A,FALSE,"ratios";"BilanzKG",#N/A,FALSE,"ratios";"GuVKG",#N/A,FALSE,"ratios"}</definedName>
    <definedName name="sdsdfsdf" localSheetId="18" hidden="1">{"GuVGmbH",#N/A,FALSE,"ratios";"BilanzGmbH",#N/A,FALSE,"ratios";"BilanzKG",#N/A,FALSE,"ratios";"GuVKG",#N/A,FALSE,"ratios"}</definedName>
    <definedName name="sdsdfsdf" localSheetId="19" hidden="1">{"GuVGmbH",#N/A,FALSE,"ratios";"BilanzGmbH",#N/A,FALSE,"ratios";"BilanzKG",#N/A,FALSE,"ratios";"GuVKG",#N/A,FALSE,"ratios"}</definedName>
    <definedName name="sdsdfsdf" localSheetId="20" hidden="1">{"GuVGmbH",#N/A,FALSE,"ratios";"BilanzGmbH",#N/A,FALSE,"ratios";"BilanzKG",#N/A,FALSE,"ratios";"GuVKG",#N/A,FALSE,"ratios"}</definedName>
    <definedName name="sdsdfsdf" localSheetId="4" hidden="1">{"GuVGmbH",#N/A,FALSE,"ratios";"BilanzGmbH",#N/A,FALSE,"ratios";"BilanzKG",#N/A,FALSE,"ratios";"GuVKG",#N/A,FALSE,"ratios"}</definedName>
    <definedName name="sdsdfsdf" localSheetId="5" hidden="1">{"GuVGmbH",#N/A,FALSE,"ratios";"BilanzGmbH",#N/A,FALSE,"ratios";"BilanzKG",#N/A,FALSE,"ratios";"GuVKG",#N/A,FALSE,"ratios"}</definedName>
    <definedName name="sdsdfsdf" localSheetId="3" hidden="1">{"GuVGmbH",#N/A,FALSE,"ratios";"BilanzGmbH",#N/A,FALSE,"ratios";"BilanzKG",#N/A,FALSE,"ratios";"GuVKG",#N/A,FALSE,"ratios"}</definedName>
    <definedName name="sdsdfsdf" localSheetId="21" hidden="1">{"GuVGmbH",#N/A,FALSE,"ratios";"BilanzGmbH",#N/A,FALSE,"ratios";"BilanzKG",#N/A,FALSE,"ratios";"GuVKG",#N/A,FALSE,"ratios"}</definedName>
    <definedName name="sdsdfsdf" hidden="1">{"GuVGmbH",#N/A,FALSE,"ratios";"BilanzGmbH",#N/A,FALSE,"ratios";"BilanzKG",#N/A,FALSE,"ratios";"GuVKG",#N/A,FALSE,"ratios"}</definedName>
    <definedName name="sfwefwef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s" localSheetId="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2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9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20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2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w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VD" localSheetId="7" hidden="1">{"GuVGmbH",#N/A,FALSE,"ratios";"BilanzGmbH",#N/A,FALSE,"ratios";"BilanzKG",#N/A,FALSE,"ratios";"GuVKG",#N/A,FALSE,"ratios"}</definedName>
    <definedName name="SVD" localSheetId="6" hidden="1">{"GuVGmbH",#N/A,FALSE,"ratios";"BilanzGmbH",#N/A,FALSE,"ratios";"BilanzKG",#N/A,FALSE,"ratios";"GuVKG",#N/A,FALSE,"ratios"}</definedName>
    <definedName name="SVD" localSheetId="8" hidden="1">{"GuVGmbH",#N/A,FALSE,"ratios";"BilanzGmbH",#N/A,FALSE,"ratios";"BilanzKG",#N/A,FALSE,"ratios";"GuVKG",#N/A,FALSE,"ratios"}</definedName>
    <definedName name="SVD" localSheetId="11" hidden="1">{"GuVGmbH",#N/A,FALSE,"ratios";"BilanzGmbH",#N/A,FALSE,"ratios";"BilanzKG",#N/A,FALSE,"ratios";"GuVKG",#N/A,FALSE,"ratios"}</definedName>
    <definedName name="SVD" localSheetId="13" hidden="1">{"GuVGmbH",#N/A,FALSE,"ratios";"BilanzGmbH",#N/A,FALSE,"ratios";"BilanzKG",#N/A,FALSE,"ratios";"GuVKG",#N/A,FALSE,"ratios"}</definedName>
    <definedName name="SVD" localSheetId="12" hidden="1">{"GuVGmbH",#N/A,FALSE,"ratios";"BilanzGmbH",#N/A,FALSE,"ratios";"BilanzKG",#N/A,FALSE,"ratios";"GuVKG",#N/A,FALSE,"ratios"}</definedName>
    <definedName name="SVD" localSheetId="16" hidden="1">{"GuVGmbH",#N/A,FALSE,"ratios";"BilanzGmbH",#N/A,FALSE,"ratios";"BilanzKG",#N/A,FALSE,"ratios";"GuVKG",#N/A,FALSE,"ratios"}</definedName>
    <definedName name="SVD" localSheetId="14" hidden="1">{"GuVGmbH",#N/A,FALSE,"ratios";"BilanzGmbH",#N/A,FALSE,"ratios";"BilanzKG",#N/A,FALSE,"ratios";"GuVKG",#N/A,FALSE,"ratios"}</definedName>
    <definedName name="SVD" localSheetId="15" hidden="1">{"GuVGmbH",#N/A,FALSE,"ratios";"BilanzGmbH",#N/A,FALSE,"ratios";"BilanzKG",#N/A,FALSE,"ratios";"GuVKG",#N/A,FALSE,"ratios"}</definedName>
    <definedName name="SVD" localSheetId="17" hidden="1">{"GuVGmbH",#N/A,FALSE,"ratios";"BilanzGmbH",#N/A,FALSE,"ratios";"BilanzKG",#N/A,FALSE,"ratios";"GuVKG",#N/A,FALSE,"ratios"}</definedName>
    <definedName name="SVD" localSheetId="18" hidden="1">{"GuVGmbH",#N/A,FALSE,"ratios";"BilanzGmbH",#N/A,FALSE,"ratios";"BilanzKG",#N/A,FALSE,"ratios";"GuVKG",#N/A,FALSE,"ratios"}</definedName>
    <definedName name="SVD" localSheetId="19" hidden="1">{"GuVGmbH",#N/A,FALSE,"ratios";"BilanzGmbH",#N/A,FALSE,"ratios";"BilanzKG",#N/A,FALSE,"ratios";"GuVKG",#N/A,FALSE,"ratios"}</definedName>
    <definedName name="SVD" localSheetId="20" hidden="1">{"GuVGmbH",#N/A,FALSE,"ratios";"BilanzGmbH",#N/A,FALSE,"ratios";"BilanzKG",#N/A,FALSE,"ratios";"GuVKG",#N/A,FALSE,"ratios"}</definedName>
    <definedName name="SVD" localSheetId="4" hidden="1">{"GuVGmbH",#N/A,FALSE,"ratios";"BilanzGmbH",#N/A,FALSE,"ratios";"BilanzKG",#N/A,FALSE,"ratios";"GuVKG",#N/A,FALSE,"ratios"}</definedName>
    <definedName name="SVD" localSheetId="5" hidden="1">{"GuVGmbH",#N/A,FALSE,"ratios";"BilanzGmbH",#N/A,FALSE,"ratios";"BilanzKG",#N/A,FALSE,"ratios";"GuVKG",#N/A,FALSE,"ratios"}</definedName>
    <definedName name="SVD" localSheetId="3" hidden="1">{"GuVGmbH",#N/A,FALSE,"ratios";"BilanzGmbH",#N/A,FALSE,"ratios";"BilanzKG",#N/A,FALSE,"ratios";"GuVKG",#N/A,FALSE,"ratios"}</definedName>
    <definedName name="SVD" localSheetId="21" hidden="1">{"GuVGmbH",#N/A,FALSE,"ratios";"BilanzGmbH",#N/A,FALSE,"ratios";"BilanzKG",#N/A,FALSE,"ratios";"GuVKG",#N/A,FALSE,"ratios"}</definedName>
    <definedName name="SVD" hidden="1">{"GuVGmbH",#N/A,FALSE,"ratios";"BilanzGmbH",#N/A,FALSE,"ratios";"BilanzKG",#N/A,FALSE,"ratios";"GuVKG",#N/A,FALSE,"ratios"}</definedName>
    <definedName name="tll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f4f" localSheetId="7" hidden="1">{"GuVGmbH",#N/A,FALSE,"ratios";"BilanzGmbH",#N/A,FALSE,"ratios";"BilanzKG",#N/A,FALSE,"ratios";"GuVKG",#N/A,FALSE,"ratios"}</definedName>
    <definedName name="wef4f" localSheetId="6" hidden="1">{"GuVGmbH",#N/A,FALSE,"ratios";"BilanzGmbH",#N/A,FALSE,"ratios";"BilanzKG",#N/A,FALSE,"ratios";"GuVKG",#N/A,FALSE,"ratios"}</definedName>
    <definedName name="wef4f" localSheetId="8" hidden="1">{"GuVGmbH",#N/A,FALSE,"ratios";"BilanzGmbH",#N/A,FALSE,"ratios";"BilanzKG",#N/A,FALSE,"ratios";"GuVKG",#N/A,FALSE,"ratios"}</definedName>
    <definedName name="wef4f" localSheetId="11" hidden="1">{"GuVGmbH",#N/A,FALSE,"ratios";"BilanzGmbH",#N/A,FALSE,"ratios";"BilanzKG",#N/A,FALSE,"ratios";"GuVKG",#N/A,FALSE,"ratios"}</definedName>
    <definedName name="wef4f" localSheetId="13" hidden="1">{"GuVGmbH",#N/A,FALSE,"ratios";"BilanzGmbH",#N/A,FALSE,"ratios";"BilanzKG",#N/A,FALSE,"ratios";"GuVKG",#N/A,FALSE,"ratios"}</definedName>
    <definedName name="wef4f" localSheetId="12" hidden="1">{"GuVGmbH",#N/A,FALSE,"ratios";"BilanzGmbH",#N/A,FALSE,"ratios";"BilanzKG",#N/A,FALSE,"ratios";"GuVKG",#N/A,FALSE,"ratios"}</definedName>
    <definedName name="wef4f" localSheetId="16" hidden="1">{"GuVGmbH",#N/A,FALSE,"ratios";"BilanzGmbH",#N/A,FALSE,"ratios";"BilanzKG",#N/A,FALSE,"ratios";"GuVKG",#N/A,FALSE,"ratios"}</definedName>
    <definedName name="wef4f" localSheetId="14" hidden="1">{"GuVGmbH",#N/A,FALSE,"ratios";"BilanzGmbH",#N/A,FALSE,"ratios";"BilanzKG",#N/A,FALSE,"ratios";"GuVKG",#N/A,FALSE,"ratios"}</definedName>
    <definedName name="wef4f" localSheetId="15" hidden="1">{"GuVGmbH",#N/A,FALSE,"ratios";"BilanzGmbH",#N/A,FALSE,"ratios";"BilanzKG",#N/A,FALSE,"ratios";"GuVKG",#N/A,FALSE,"ratios"}</definedName>
    <definedName name="wef4f" localSheetId="17" hidden="1">{"GuVGmbH",#N/A,FALSE,"ratios";"BilanzGmbH",#N/A,FALSE,"ratios";"BilanzKG",#N/A,FALSE,"ratios";"GuVKG",#N/A,FALSE,"ratios"}</definedName>
    <definedName name="wef4f" localSheetId="18" hidden="1">{"GuVGmbH",#N/A,FALSE,"ratios";"BilanzGmbH",#N/A,FALSE,"ratios";"BilanzKG",#N/A,FALSE,"ratios";"GuVKG",#N/A,FALSE,"ratios"}</definedName>
    <definedName name="wef4f" localSheetId="19" hidden="1">{"GuVGmbH",#N/A,FALSE,"ratios";"BilanzGmbH",#N/A,FALSE,"ratios";"BilanzKG",#N/A,FALSE,"ratios";"GuVKG",#N/A,FALSE,"ratios"}</definedName>
    <definedName name="wef4f" localSheetId="20" hidden="1">{"GuVGmbH",#N/A,FALSE,"ratios";"BilanzGmbH",#N/A,FALSE,"ratios";"BilanzKG",#N/A,FALSE,"ratios";"GuVKG",#N/A,FALSE,"ratios"}</definedName>
    <definedName name="wef4f" localSheetId="4" hidden="1">{"GuVGmbH",#N/A,FALSE,"ratios";"BilanzGmbH",#N/A,FALSE,"ratios";"BilanzKG",#N/A,FALSE,"ratios";"GuVKG",#N/A,FALSE,"ratios"}</definedName>
    <definedName name="wef4f" localSheetId="5" hidden="1">{"GuVGmbH",#N/A,FALSE,"ratios";"BilanzGmbH",#N/A,FALSE,"ratios";"BilanzKG",#N/A,FALSE,"ratios";"GuVKG",#N/A,FALSE,"ratios"}</definedName>
    <definedName name="wef4f" localSheetId="3" hidden="1">{"GuVGmbH",#N/A,FALSE,"ratios";"BilanzGmbH",#N/A,FALSE,"ratios";"BilanzKG",#N/A,FALSE,"ratios";"GuVKG",#N/A,FALSE,"ratios"}</definedName>
    <definedName name="wef4f" localSheetId="21" hidden="1">{"GuVGmbH",#N/A,FALSE,"ratios";"BilanzGmbH",#N/A,FALSE,"ratios";"BilanzKG",#N/A,FALSE,"ratios";"GuVKG",#N/A,FALSE,"ratios"}</definedName>
    <definedName name="wef4f" hidden="1">{"GuVGmbH",#N/A,FALSE,"ratios";"BilanzGmbH",#N/A,FALSE,"ratios";"BilanzKG",#N/A,FALSE,"ratios";"GuVKG",#N/A,FALSE,"ratios"}</definedName>
    <definedName name="WEFWEF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r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e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rrht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HR" localSheetId="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2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9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20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2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WR" localSheetId="7" hidden="1">{"GuVGmbH",#N/A,FALSE,"ratios";"BilanzGmbH",#N/A,FALSE,"ratios";"BilanzKG",#N/A,FALSE,"ratios";"GuVKG",#N/A,FALSE,"ratios"}</definedName>
    <definedName name="whrWHRwhrWR" localSheetId="6" hidden="1">{"GuVGmbH",#N/A,FALSE,"ratios";"BilanzGmbH",#N/A,FALSE,"ratios";"BilanzKG",#N/A,FALSE,"ratios";"GuVKG",#N/A,FALSE,"ratios"}</definedName>
    <definedName name="whrWHRwhrWR" localSheetId="8" hidden="1">{"GuVGmbH",#N/A,FALSE,"ratios";"BilanzGmbH",#N/A,FALSE,"ratios";"BilanzKG",#N/A,FALSE,"ratios";"GuVKG",#N/A,FALSE,"ratios"}</definedName>
    <definedName name="whrWHRwhrWR" localSheetId="11" hidden="1">{"GuVGmbH",#N/A,FALSE,"ratios";"BilanzGmbH",#N/A,FALSE,"ratios";"BilanzKG",#N/A,FALSE,"ratios";"GuVKG",#N/A,FALSE,"ratios"}</definedName>
    <definedName name="whrWHRwhrWR" localSheetId="13" hidden="1">{"GuVGmbH",#N/A,FALSE,"ratios";"BilanzGmbH",#N/A,FALSE,"ratios";"BilanzKG",#N/A,FALSE,"ratios";"GuVKG",#N/A,FALSE,"ratios"}</definedName>
    <definedName name="whrWHRwhrWR" localSheetId="12" hidden="1">{"GuVGmbH",#N/A,FALSE,"ratios";"BilanzGmbH",#N/A,FALSE,"ratios";"BilanzKG",#N/A,FALSE,"ratios";"GuVKG",#N/A,FALSE,"ratios"}</definedName>
    <definedName name="whrWHRwhrWR" localSheetId="16" hidden="1">{"GuVGmbH",#N/A,FALSE,"ratios";"BilanzGmbH",#N/A,FALSE,"ratios";"BilanzKG",#N/A,FALSE,"ratios";"GuVKG",#N/A,FALSE,"ratios"}</definedName>
    <definedName name="whrWHRwhrWR" localSheetId="14" hidden="1">{"GuVGmbH",#N/A,FALSE,"ratios";"BilanzGmbH",#N/A,FALSE,"ratios";"BilanzKG",#N/A,FALSE,"ratios";"GuVKG",#N/A,FALSE,"ratios"}</definedName>
    <definedName name="whrWHRwhrWR" localSheetId="15" hidden="1">{"GuVGmbH",#N/A,FALSE,"ratios";"BilanzGmbH",#N/A,FALSE,"ratios";"BilanzKG",#N/A,FALSE,"ratios";"GuVKG",#N/A,FALSE,"ratios"}</definedName>
    <definedName name="whrWHRwhrWR" localSheetId="17" hidden="1">{"GuVGmbH",#N/A,FALSE,"ratios";"BilanzGmbH",#N/A,FALSE,"ratios";"BilanzKG",#N/A,FALSE,"ratios";"GuVKG",#N/A,FALSE,"ratios"}</definedName>
    <definedName name="whrWHRwhrWR" localSheetId="18" hidden="1">{"GuVGmbH",#N/A,FALSE,"ratios";"BilanzGmbH",#N/A,FALSE,"ratios";"BilanzKG",#N/A,FALSE,"ratios";"GuVKG",#N/A,FALSE,"ratios"}</definedName>
    <definedName name="whrWHRwhrWR" localSheetId="19" hidden="1">{"GuVGmbH",#N/A,FALSE,"ratios";"BilanzGmbH",#N/A,FALSE,"ratios";"BilanzKG",#N/A,FALSE,"ratios";"GuVKG",#N/A,FALSE,"ratios"}</definedName>
    <definedName name="whrWHRwhrWR" localSheetId="20" hidden="1">{"GuVGmbH",#N/A,FALSE,"ratios";"BilanzGmbH",#N/A,FALSE,"ratios";"BilanzKG",#N/A,FALSE,"ratios";"GuVKG",#N/A,FALSE,"ratios"}</definedName>
    <definedName name="whrWHRwhrWR" localSheetId="4" hidden="1">{"GuVGmbH",#N/A,FALSE,"ratios";"BilanzGmbH",#N/A,FALSE,"ratios";"BilanzKG",#N/A,FALSE,"ratios";"GuVKG",#N/A,FALSE,"ratios"}</definedName>
    <definedName name="whrWHRwhrWR" localSheetId="5" hidden="1">{"GuVGmbH",#N/A,FALSE,"ratios";"BilanzGmbH",#N/A,FALSE,"ratios";"BilanzKG",#N/A,FALSE,"ratios";"GuVKG",#N/A,FALSE,"ratios"}</definedName>
    <definedName name="whrWHRwhrWR" localSheetId="3" hidden="1">{"GuVGmbH",#N/A,FALSE,"ratios";"BilanzGmbH",#N/A,FALSE,"ratios";"BilanzKG",#N/A,FALSE,"ratios";"GuVKG",#N/A,FALSE,"ratios"}</definedName>
    <definedName name="whrWHRwhrWR" localSheetId="21" hidden="1">{"GuVGmbH",#N/A,FALSE,"ratios";"BilanzGmbH",#N/A,FALSE,"ratios";"BilanzKG",#N/A,FALSE,"ratios";"GuVKG",#N/A,FALSE,"ratios"}</definedName>
    <definedName name="whrWHRwhrWR" hidden="1">{"GuVGmbH",#N/A,FALSE,"ratios";"BilanzGmbH",#N/A,FALSE,"ratios";"BilanzKG",#N/A,FALSE,"ratios";"GuVKG",#N/A,FALSE,"ratios"}</definedName>
    <definedName name="whrWHRwrhWRHwrh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r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h" localSheetId="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2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9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20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2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qqw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ALL." localSheetId="7" hidden="1">{#N/A,#N/A,FALSE,"DCF";#N/A,#N/A,FALSE,"WACC";#N/A,#N/A,FALSE,"Sales_EBIT";#N/A,#N/A,FALSE,"Capex_Depreciation";#N/A,#N/A,FALSE,"WC";#N/A,#N/A,FALSE,"Interest";#N/A,#N/A,FALSE,"Assumptions"}</definedName>
    <definedName name="wrn.ALL." localSheetId="6" hidden="1">{#N/A,#N/A,FALSE,"DCF";#N/A,#N/A,FALSE,"WACC";#N/A,#N/A,FALSE,"Sales_EBIT";#N/A,#N/A,FALSE,"Capex_Depreciation";#N/A,#N/A,FALSE,"WC";#N/A,#N/A,FALSE,"Interest";#N/A,#N/A,FALSE,"Assumptions"}</definedName>
    <definedName name="wrn.ALL." localSheetId="8" hidden="1">{#N/A,#N/A,FALSE,"DCF";#N/A,#N/A,FALSE,"WACC";#N/A,#N/A,FALSE,"Sales_EBIT";#N/A,#N/A,FALSE,"Capex_Depreciation";#N/A,#N/A,FALSE,"WC";#N/A,#N/A,FALSE,"Interest";#N/A,#N/A,FALSE,"Assumptions"}</definedName>
    <definedName name="wrn.ALL." localSheetId="11" hidden="1">{#N/A,#N/A,FALSE,"DCF";#N/A,#N/A,FALSE,"WACC";#N/A,#N/A,FALSE,"Sales_EBIT";#N/A,#N/A,FALSE,"Capex_Depreciation";#N/A,#N/A,FALSE,"WC";#N/A,#N/A,FALSE,"Interest";#N/A,#N/A,FALSE,"Assumptions"}</definedName>
    <definedName name="wrn.ALL." localSheetId="13" hidden="1">{#N/A,#N/A,FALSE,"DCF";#N/A,#N/A,FALSE,"WACC";#N/A,#N/A,FALSE,"Sales_EBIT";#N/A,#N/A,FALSE,"Capex_Depreciation";#N/A,#N/A,FALSE,"WC";#N/A,#N/A,FALSE,"Interest";#N/A,#N/A,FALSE,"Assumptions"}</definedName>
    <definedName name="wrn.ALL." localSheetId="12" hidden="1">{#N/A,#N/A,FALSE,"DCF";#N/A,#N/A,FALSE,"WACC";#N/A,#N/A,FALSE,"Sales_EBIT";#N/A,#N/A,FALSE,"Capex_Depreciation";#N/A,#N/A,FALSE,"WC";#N/A,#N/A,FALSE,"Interest";#N/A,#N/A,FALSE,"Assumptions"}</definedName>
    <definedName name="wrn.ALL." localSheetId="16" hidden="1">{#N/A,#N/A,FALSE,"DCF";#N/A,#N/A,FALSE,"WACC";#N/A,#N/A,FALSE,"Sales_EBIT";#N/A,#N/A,FALSE,"Capex_Depreciation";#N/A,#N/A,FALSE,"WC";#N/A,#N/A,FALSE,"Interest";#N/A,#N/A,FALSE,"Assumptions"}</definedName>
    <definedName name="wrn.ALL." localSheetId="14" hidden="1">{#N/A,#N/A,FALSE,"DCF";#N/A,#N/A,FALSE,"WACC";#N/A,#N/A,FALSE,"Sales_EBIT";#N/A,#N/A,FALSE,"Capex_Depreciation";#N/A,#N/A,FALSE,"WC";#N/A,#N/A,FALSE,"Interest";#N/A,#N/A,FALSE,"Assumptions"}</definedName>
    <definedName name="wrn.ALL." localSheetId="15" hidden="1">{#N/A,#N/A,FALSE,"DCF";#N/A,#N/A,FALSE,"WACC";#N/A,#N/A,FALSE,"Sales_EBIT";#N/A,#N/A,FALSE,"Capex_Depreciation";#N/A,#N/A,FALSE,"WC";#N/A,#N/A,FALSE,"Interest";#N/A,#N/A,FALSE,"Assumptions"}</definedName>
    <definedName name="wrn.ALL." localSheetId="17" hidden="1">{#N/A,#N/A,FALSE,"DCF";#N/A,#N/A,FALSE,"WACC";#N/A,#N/A,FALSE,"Sales_EBIT";#N/A,#N/A,FALSE,"Capex_Depreciation";#N/A,#N/A,FALSE,"WC";#N/A,#N/A,FALSE,"Interest";#N/A,#N/A,FALSE,"Assumptions"}</definedName>
    <definedName name="wrn.ALL." localSheetId="18" hidden="1">{#N/A,#N/A,FALSE,"DCF";#N/A,#N/A,FALSE,"WACC";#N/A,#N/A,FALSE,"Sales_EBIT";#N/A,#N/A,FALSE,"Capex_Depreciation";#N/A,#N/A,FALSE,"WC";#N/A,#N/A,FALSE,"Interest";#N/A,#N/A,FALSE,"Assumptions"}</definedName>
    <definedName name="wrn.ALL." localSheetId="19" hidden="1">{#N/A,#N/A,FALSE,"DCF";#N/A,#N/A,FALSE,"WACC";#N/A,#N/A,FALSE,"Sales_EBIT";#N/A,#N/A,FALSE,"Capex_Depreciation";#N/A,#N/A,FALSE,"WC";#N/A,#N/A,FALSE,"Interest";#N/A,#N/A,FALSE,"Assumptions"}</definedName>
    <definedName name="wrn.ALL." localSheetId="20" hidden="1">{#N/A,#N/A,FALSE,"DCF";#N/A,#N/A,FALSE,"WACC";#N/A,#N/A,FALSE,"Sales_EBIT";#N/A,#N/A,FALSE,"Capex_Depreciation";#N/A,#N/A,FALSE,"WC";#N/A,#N/A,FALSE,"Interest";#N/A,#N/A,FALSE,"Assumptions"}</definedName>
    <definedName name="wrn.ALL." localSheetId="4" hidden="1">{#N/A,#N/A,FALSE,"DCF";#N/A,#N/A,FALSE,"WACC";#N/A,#N/A,FALSE,"Sales_EBIT";#N/A,#N/A,FALSE,"Capex_Depreciation";#N/A,#N/A,FALSE,"WC";#N/A,#N/A,FALSE,"Interest";#N/A,#N/A,FALSE,"Assumptions"}</definedName>
    <definedName name="wrn.ALL." localSheetId="5" hidden="1">{#N/A,#N/A,FALSE,"DCF";#N/A,#N/A,FALSE,"WACC";#N/A,#N/A,FALSE,"Sales_EBIT";#N/A,#N/A,FALSE,"Capex_Depreciation";#N/A,#N/A,FALSE,"WC";#N/A,#N/A,FALSE,"Interest";#N/A,#N/A,FALSE,"Assumptions"}</definedName>
    <definedName name="wrn.ALL." localSheetId="3" hidden="1">{#N/A,#N/A,FALSE,"DCF";#N/A,#N/A,FALSE,"WACC";#N/A,#N/A,FALSE,"Sales_EBIT";#N/A,#N/A,FALSE,"Capex_Depreciation";#N/A,#N/A,FALSE,"WC";#N/A,#N/A,FALSE,"Interest";#N/A,#N/A,FALSE,"Assumptions"}</definedName>
    <definedName name="wrn.ALL." localSheetId="21" hidden="1">{#N/A,#N/A,FALSE,"DCF";#N/A,#N/A,FALSE,"WACC";#N/A,#N/A,FALSE,"Sales_EBIT";#N/A,#N/A,FALSE,"Capex_Depreciation";#N/A,#N/A,FALSE,"WC";#N/A,#N/A,FALSE,"Interest";#N/A,#N/A,FALSE,"Assumptions"}</definedName>
    <definedName name="wrn.ALL." hidden="1">{#N/A,#N/A,FALSE,"DCF";#N/A,#N/A,FALSE,"WACC";#N/A,#N/A,FALSE,"Sales_EBIT";#N/A,#N/A,FALSE,"Capex_Depreciation";#N/A,#N/A,FALSE,"WC";#N/A,#N/A,FALSE,"Interest";#N/A,#N/A,FALSE,"Assumptions"}</definedName>
    <definedName name="wrn.All._.Financials." localSheetId="7" hidden="1">{#N/A,#N/A,TRUE,"Assumptions";#N/A,#N/A,TRUE,"Op Projection";#N/A,#N/A,TRUE,"Capital";#N/A,#N/A,TRUE,"Income";#N/A,#N/A,TRUE,"Balance";#N/A,#N/A,TRUE,"Sources&amp;Uses"}</definedName>
    <definedName name="wrn.All._.Financials." localSheetId="6" hidden="1">{#N/A,#N/A,TRUE,"Assumptions";#N/A,#N/A,TRUE,"Op Projection";#N/A,#N/A,TRUE,"Capital";#N/A,#N/A,TRUE,"Income";#N/A,#N/A,TRUE,"Balance";#N/A,#N/A,TRUE,"Sources&amp;Uses"}</definedName>
    <definedName name="wrn.All._.Financials." localSheetId="8" hidden="1">{#N/A,#N/A,TRUE,"Assumptions";#N/A,#N/A,TRUE,"Op Projection";#N/A,#N/A,TRUE,"Capital";#N/A,#N/A,TRUE,"Income";#N/A,#N/A,TRUE,"Balance";#N/A,#N/A,TRUE,"Sources&amp;Uses"}</definedName>
    <definedName name="wrn.All._.Financials." localSheetId="11" hidden="1">{#N/A,#N/A,TRUE,"Assumptions";#N/A,#N/A,TRUE,"Op Projection";#N/A,#N/A,TRUE,"Capital";#N/A,#N/A,TRUE,"Income";#N/A,#N/A,TRUE,"Balance";#N/A,#N/A,TRUE,"Sources&amp;Uses"}</definedName>
    <definedName name="wrn.All._.Financials." localSheetId="13" hidden="1">{#N/A,#N/A,TRUE,"Assumptions";#N/A,#N/A,TRUE,"Op Projection";#N/A,#N/A,TRUE,"Capital";#N/A,#N/A,TRUE,"Income";#N/A,#N/A,TRUE,"Balance";#N/A,#N/A,TRUE,"Sources&amp;Uses"}</definedName>
    <definedName name="wrn.All._.Financials." localSheetId="12" hidden="1">{#N/A,#N/A,TRUE,"Assumptions";#N/A,#N/A,TRUE,"Op Projection";#N/A,#N/A,TRUE,"Capital";#N/A,#N/A,TRUE,"Income";#N/A,#N/A,TRUE,"Balance";#N/A,#N/A,TRUE,"Sources&amp;Uses"}</definedName>
    <definedName name="wrn.All._.Financials." localSheetId="16" hidden="1">{#N/A,#N/A,TRUE,"Assumptions";#N/A,#N/A,TRUE,"Op Projection";#N/A,#N/A,TRUE,"Capital";#N/A,#N/A,TRUE,"Income";#N/A,#N/A,TRUE,"Balance";#N/A,#N/A,TRUE,"Sources&amp;Uses"}</definedName>
    <definedName name="wrn.All._.Financials." localSheetId="14" hidden="1">{#N/A,#N/A,TRUE,"Assumptions";#N/A,#N/A,TRUE,"Op Projection";#N/A,#N/A,TRUE,"Capital";#N/A,#N/A,TRUE,"Income";#N/A,#N/A,TRUE,"Balance";#N/A,#N/A,TRUE,"Sources&amp;Uses"}</definedName>
    <definedName name="wrn.All._.Financials." localSheetId="15" hidden="1">{#N/A,#N/A,TRUE,"Assumptions";#N/A,#N/A,TRUE,"Op Projection";#N/A,#N/A,TRUE,"Capital";#N/A,#N/A,TRUE,"Income";#N/A,#N/A,TRUE,"Balance";#N/A,#N/A,TRUE,"Sources&amp;Uses"}</definedName>
    <definedName name="wrn.All._.Financials." localSheetId="17" hidden="1">{#N/A,#N/A,TRUE,"Assumptions";#N/A,#N/A,TRUE,"Op Projection";#N/A,#N/A,TRUE,"Capital";#N/A,#N/A,TRUE,"Income";#N/A,#N/A,TRUE,"Balance";#N/A,#N/A,TRUE,"Sources&amp;Uses"}</definedName>
    <definedName name="wrn.All._.Financials." localSheetId="18" hidden="1">{#N/A,#N/A,TRUE,"Assumptions";#N/A,#N/A,TRUE,"Op Projection";#N/A,#N/A,TRUE,"Capital";#N/A,#N/A,TRUE,"Income";#N/A,#N/A,TRUE,"Balance";#N/A,#N/A,TRUE,"Sources&amp;Uses"}</definedName>
    <definedName name="wrn.All._.Financials." localSheetId="19" hidden="1">{#N/A,#N/A,TRUE,"Assumptions";#N/A,#N/A,TRUE,"Op Projection";#N/A,#N/A,TRUE,"Capital";#N/A,#N/A,TRUE,"Income";#N/A,#N/A,TRUE,"Balance";#N/A,#N/A,TRUE,"Sources&amp;Uses"}</definedName>
    <definedName name="wrn.All._.Financials." localSheetId="20" hidden="1">{#N/A,#N/A,TRUE,"Assumptions";#N/A,#N/A,TRUE,"Op Projection";#N/A,#N/A,TRUE,"Capital";#N/A,#N/A,TRUE,"Income";#N/A,#N/A,TRUE,"Balance";#N/A,#N/A,TRUE,"Sources&amp;Uses"}</definedName>
    <definedName name="wrn.All._.Financials." localSheetId="4" hidden="1">{#N/A,#N/A,TRUE,"Assumptions";#N/A,#N/A,TRUE,"Op Projection";#N/A,#N/A,TRUE,"Capital";#N/A,#N/A,TRUE,"Income";#N/A,#N/A,TRUE,"Balance";#N/A,#N/A,TRUE,"Sources&amp;Uses"}</definedName>
    <definedName name="wrn.All._.Financials." localSheetId="5" hidden="1">{#N/A,#N/A,TRUE,"Assumptions";#N/A,#N/A,TRUE,"Op Projection";#N/A,#N/A,TRUE,"Capital";#N/A,#N/A,TRUE,"Income";#N/A,#N/A,TRUE,"Balance";#N/A,#N/A,TRUE,"Sources&amp;Uses"}</definedName>
    <definedName name="wrn.All._.Financials." localSheetId="3" hidden="1">{#N/A,#N/A,TRUE,"Assumptions";#N/A,#N/A,TRUE,"Op Projection";#N/A,#N/A,TRUE,"Capital";#N/A,#N/A,TRUE,"Income";#N/A,#N/A,TRUE,"Balance";#N/A,#N/A,TRUE,"Sources&amp;Uses"}</definedName>
    <definedName name="wrn.All._.Financials." localSheetId="21" hidden="1">{#N/A,#N/A,TRUE,"Assumptions";#N/A,#N/A,TRUE,"Op Projection";#N/A,#N/A,TRUE,"Capital";#N/A,#N/A,TRUE,"Income";#N/A,#N/A,TRUE,"Balance";#N/A,#N/A,TRUE,"Sources&amp;Uses"}</definedName>
    <definedName name="wrn.All._.Financials." hidden="1">{#N/A,#N/A,TRUE,"Assumptions";#N/A,#N/A,TRUE,"Op Projection";#N/A,#N/A,TRUE,"Capital";#N/A,#N/A,TRUE,"Income";#N/A,#N/A,TRUE,"Balance";#N/A,#N/A,TRUE,"Sources&amp;Uses"}</definedName>
    <definedName name="wrn.Bewegungsbilanz." localSheetId="7" hidden="1">{#N/A,#N/A,FALSE,"Mittelherkunft";#N/A,#N/A,FALSE,"Mittelverwendung"}</definedName>
    <definedName name="wrn.Bewegungsbilanz." localSheetId="6" hidden="1">{#N/A,#N/A,FALSE,"Mittelherkunft";#N/A,#N/A,FALSE,"Mittelverwendung"}</definedName>
    <definedName name="wrn.Bewegungsbilanz." localSheetId="8" hidden="1">{#N/A,#N/A,FALSE,"Mittelherkunft";#N/A,#N/A,FALSE,"Mittelverwendung"}</definedName>
    <definedName name="wrn.Bewegungsbilanz." localSheetId="11" hidden="1">{#N/A,#N/A,FALSE,"Mittelherkunft";#N/A,#N/A,FALSE,"Mittelverwendung"}</definedName>
    <definedName name="wrn.Bewegungsbilanz." localSheetId="13" hidden="1">{#N/A,#N/A,FALSE,"Mittelherkunft";#N/A,#N/A,FALSE,"Mittelverwendung"}</definedName>
    <definedName name="wrn.Bewegungsbilanz." localSheetId="12" hidden="1">{#N/A,#N/A,FALSE,"Mittelherkunft";#N/A,#N/A,FALSE,"Mittelverwendung"}</definedName>
    <definedName name="wrn.Bewegungsbilanz." localSheetId="16" hidden="1">{#N/A,#N/A,FALSE,"Mittelherkunft";#N/A,#N/A,FALSE,"Mittelverwendung"}</definedName>
    <definedName name="wrn.Bewegungsbilanz." localSheetId="14" hidden="1">{#N/A,#N/A,FALSE,"Mittelherkunft";#N/A,#N/A,FALSE,"Mittelverwendung"}</definedName>
    <definedName name="wrn.Bewegungsbilanz." localSheetId="15" hidden="1">{#N/A,#N/A,FALSE,"Mittelherkunft";#N/A,#N/A,FALSE,"Mittelverwendung"}</definedName>
    <definedName name="wrn.Bewegungsbilanz." localSheetId="17" hidden="1">{#N/A,#N/A,FALSE,"Mittelherkunft";#N/A,#N/A,FALSE,"Mittelverwendung"}</definedName>
    <definedName name="wrn.Bewegungsbilanz." localSheetId="18" hidden="1">{#N/A,#N/A,FALSE,"Mittelherkunft";#N/A,#N/A,FALSE,"Mittelverwendung"}</definedName>
    <definedName name="wrn.Bewegungsbilanz." localSheetId="19" hidden="1">{#N/A,#N/A,FALSE,"Mittelherkunft";#N/A,#N/A,FALSE,"Mittelverwendung"}</definedName>
    <definedName name="wrn.Bewegungsbilanz." localSheetId="20" hidden="1">{#N/A,#N/A,FALSE,"Mittelherkunft";#N/A,#N/A,FALSE,"Mittelverwendung"}</definedName>
    <definedName name="wrn.Bewegungsbilanz." localSheetId="4" hidden="1">{#N/A,#N/A,FALSE,"Mittelherkunft";#N/A,#N/A,FALSE,"Mittelverwendung"}</definedName>
    <definedName name="wrn.Bewegungsbilanz." localSheetId="5" hidden="1">{#N/A,#N/A,FALSE,"Mittelherkunft";#N/A,#N/A,FALSE,"Mittelverwendung"}</definedName>
    <definedName name="wrn.Bewegungsbilanz." localSheetId="3" hidden="1">{#N/A,#N/A,FALSE,"Mittelherkunft";#N/A,#N/A,FALSE,"Mittelverwendung"}</definedName>
    <definedName name="wrn.Bewegungsbilanz." localSheetId="21" hidden="1">{#N/A,#N/A,FALSE,"Mittelherkunft";#N/A,#N/A,FALSE,"Mittelverwendung"}</definedName>
    <definedName name="wrn.Bewegungsbilanz." hidden="1">{#N/A,#N/A,FALSE,"Mittelherkunft";#N/A,#N/A,FALSE,"Mittelverwendung"}</definedName>
    <definedName name="wrn.BewertungD." localSheetId="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2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9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20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2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ilanz." localSheetId="7" hidden="1">{#N/A,#N/A,FALSE,"Layout Aktiva";#N/A,#N/A,FALSE,"Layout Passiva"}</definedName>
    <definedName name="wrn.Bilanz." localSheetId="6" hidden="1">{#N/A,#N/A,FALSE,"Layout Aktiva";#N/A,#N/A,FALSE,"Layout Passiva"}</definedName>
    <definedName name="wrn.Bilanz." localSheetId="8" hidden="1">{#N/A,#N/A,FALSE,"Layout Aktiva";#N/A,#N/A,FALSE,"Layout Passiva"}</definedName>
    <definedName name="wrn.Bilanz." localSheetId="11" hidden="1">{#N/A,#N/A,FALSE,"Layout Aktiva";#N/A,#N/A,FALSE,"Layout Passiva"}</definedName>
    <definedName name="wrn.Bilanz." localSheetId="13" hidden="1">{#N/A,#N/A,FALSE,"Layout Aktiva";#N/A,#N/A,FALSE,"Layout Passiva"}</definedName>
    <definedName name="wrn.Bilanz." localSheetId="12" hidden="1">{#N/A,#N/A,FALSE,"Layout Aktiva";#N/A,#N/A,FALSE,"Layout Passiva"}</definedName>
    <definedName name="wrn.Bilanz." localSheetId="16" hidden="1">{#N/A,#N/A,FALSE,"Layout Aktiva";#N/A,#N/A,FALSE,"Layout Passiva"}</definedName>
    <definedName name="wrn.Bilanz." localSheetId="14" hidden="1">{#N/A,#N/A,FALSE,"Layout Aktiva";#N/A,#N/A,FALSE,"Layout Passiva"}</definedName>
    <definedName name="wrn.Bilanz." localSheetId="15" hidden="1">{#N/A,#N/A,FALSE,"Layout Aktiva";#N/A,#N/A,FALSE,"Layout Passiva"}</definedName>
    <definedName name="wrn.Bilanz." localSheetId="17" hidden="1">{#N/A,#N/A,FALSE,"Layout Aktiva";#N/A,#N/A,FALSE,"Layout Passiva"}</definedName>
    <definedName name="wrn.Bilanz." localSheetId="18" hidden="1">{#N/A,#N/A,FALSE,"Layout Aktiva";#N/A,#N/A,FALSE,"Layout Passiva"}</definedName>
    <definedName name="wrn.Bilanz." localSheetId="19" hidden="1">{#N/A,#N/A,FALSE,"Layout Aktiva";#N/A,#N/A,FALSE,"Layout Passiva"}</definedName>
    <definedName name="wrn.Bilanz." localSheetId="20" hidden="1">{#N/A,#N/A,FALSE,"Layout Aktiva";#N/A,#N/A,FALSE,"Layout Passiva"}</definedName>
    <definedName name="wrn.Bilanz." localSheetId="4" hidden="1">{#N/A,#N/A,FALSE,"Layout Aktiva";#N/A,#N/A,FALSE,"Layout Passiva"}</definedName>
    <definedName name="wrn.Bilanz." localSheetId="5" hidden="1">{#N/A,#N/A,FALSE,"Layout Aktiva";#N/A,#N/A,FALSE,"Layout Passiva"}</definedName>
    <definedName name="wrn.Bilanz." localSheetId="3" hidden="1">{#N/A,#N/A,FALSE,"Layout Aktiva";#N/A,#N/A,FALSE,"Layout Passiva"}</definedName>
    <definedName name="wrn.Bilanz." localSheetId="21" hidden="1">{#N/A,#N/A,FALSE,"Layout Aktiva";#N/A,#N/A,FALSE,"Layout Passiva"}</definedName>
    <definedName name="wrn.Bilanz." hidden="1">{#N/A,#N/A,FALSE,"Layout Aktiva";#N/A,#N/A,FALSE,"Layout Passiva"}</definedName>
    <definedName name="wrn.Bilanzen_GuV_Memo." localSheetId="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2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9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20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2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Cash._.Flow." localSheetId="7" hidden="1">{#N/A,#N/A,FALSE,"Layout Cash Flow"}</definedName>
    <definedName name="wrn.Cash._.Flow." localSheetId="6" hidden="1">{#N/A,#N/A,FALSE,"Layout Cash Flow"}</definedName>
    <definedName name="wrn.Cash._.Flow." localSheetId="8" hidden="1">{#N/A,#N/A,FALSE,"Layout Cash Flow"}</definedName>
    <definedName name="wrn.Cash._.Flow." localSheetId="11" hidden="1">{#N/A,#N/A,FALSE,"Layout Cash Flow"}</definedName>
    <definedName name="wrn.Cash._.Flow." localSheetId="13" hidden="1">{#N/A,#N/A,FALSE,"Layout Cash Flow"}</definedName>
    <definedName name="wrn.Cash._.Flow." localSheetId="12" hidden="1">{#N/A,#N/A,FALSE,"Layout Cash Flow"}</definedName>
    <definedName name="wrn.Cash._.Flow." localSheetId="16" hidden="1">{#N/A,#N/A,FALSE,"Layout Cash Flow"}</definedName>
    <definedName name="wrn.Cash._.Flow." localSheetId="14" hidden="1">{#N/A,#N/A,FALSE,"Layout Cash Flow"}</definedName>
    <definedName name="wrn.Cash._.Flow." localSheetId="15" hidden="1">{#N/A,#N/A,FALSE,"Layout Cash Flow"}</definedName>
    <definedName name="wrn.Cash._.Flow." localSheetId="17" hidden="1">{#N/A,#N/A,FALSE,"Layout Cash Flow"}</definedName>
    <definedName name="wrn.Cash._.Flow." localSheetId="18" hidden="1">{#N/A,#N/A,FALSE,"Layout Cash Flow"}</definedName>
    <definedName name="wrn.Cash._.Flow." localSheetId="19" hidden="1">{#N/A,#N/A,FALSE,"Layout Cash Flow"}</definedName>
    <definedName name="wrn.Cash._.Flow." localSheetId="20" hidden="1">{#N/A,#N/A,FALSE,"Layout Cash Flow"}</definedName>
    <definedName name="wrn.Cash._.Flow." localSheetId="4" hidden="1">{#N/A,#N/A,FALSE,"Layout Cash Flow"}</definedName>
    <definedName name="wrn.Cash._.Flow." localSheetId="5" hidden="1">{#N/A,#N/A,FALSE,"Layout Cash Flow"}</definedName>
    <definedName name="wrn.Cash._.Flow." localSheetId="3" hidden="1">{#N/A,#N/A,FALSE,"Layout Cash Flow"}</definedName>
    <definedName name="wrn.Cash._.Flow." localSheetId="21" hidden="1">{#N/A,#N/A,FALSE,"Layout Cash Flow"}</definedName>
    <definedName name="wrn.Cash._.Flow." hidden="1">{#N/A,#N/A,FALSE,"Layout Cash Flow"}</definedName>
    <definedName name="wrn.Finanzbedarfsrechnung." localSheetId="7" hidden="1">{#N/A,#N/A,FALSE,"Finanzbedarfsrechnung"}</definedName>
    <definedName name="wrn.Finanzbedarfsrechnung." localSheetId="6" hidden="1">{#N/A,#N/A,FALSE,"Finanzbedarfsrechnung"}</definedName>
    <definedName name="wrn.Finanzbedarfsrechnung." localSheetId="8" hidden="1">{#N/A,#N/A,FALSE,"Finanzbedarfsrechnung"}</definedName>
    <definedName name="wrn.Finanzbedarfsrechnung." localSheetId="11" hidden="1">{#N/A,#N/A,FALSE,"Finanzbedarfsrechnung"}</definedName>
    <definedName name="wrn.Finanzbedarfsrechnung." localSheetId="13" hidden="1">{#N/A,#N/A,FALSE,"Finanzbedarfsrechnung"}</definedName>
    <definedName name="wrn.Finanzbedarfsrechnung." localSheetId="12" hidden="1">{#N/A,#N/A,FALSE,"Finanzbedarfsrechnung"}</definedName>
    <definedName name="wrn.Finanzbedarfsrechnung." localSheetId="16" hidden="1">{#N/A,#N/A,FALSE,"Finanzbedarfsrechnung"}</definedName>
    <definedName name="wrn.Finanzbedarfsrechnung." localSheetId="14" hidden="1">{#N/A,#N/A,FALSE,"Finanzbedarfsrechnung"}</definedName>
    <definedName name="wrn.Finanzbedarfsrechnung." localSheetId="15" hidden="1">{#N/A,#N/A,FALSE,"Finanzbedarfsrechnung"}</definedName>
    <definedName name="wrn.Finanzbedarfsrechnung." localSheetId="17" hidden="1">{#N/A,#N/A,FALSE,"Finanzbedarfsrechnung"}</definedName>
    <definedName name="wrn.Finanzbedarfsrechnung." localSheetId="18" hidden="1">{#N/A,#N/A,FALSE,"Finanzbedarfsrechnung"}</definedName>
    <definedName name="wrn.Finanzbedarfsrechnung." localSheetId="19" hidden="1">{#N/A,#N/A,FALSE,"Finanzbedarfsrechnung"}</definedName>
    <definedName name="wrn.Finanzbedarfsrechnung." localSheetId="20" hidden="1">{#N/A,#N/A,FALSE,"Finanzbedarfsrechnung"}</definedName>
    <definedName name="wrn.Finanzbedarfsrechnung." localSheetId="4" hidden="1">{#N/A,#N/A,FALSE,"Finanzbedarfsrechnung"}</definedName>
    <definedName name="wrn.Finanzbedarfsrechnung." localSheetId="5" hidden="1">{#N/A,#N/A,FALSE,"Finanzbedarfsrechnung"}</definedName>
    <definedName name="wrn.Finanzbedarfsrechnung." localSheetId="3" hidden="1">{#N/A,#N/A,FALSE,"Finanzbedarfsrechnung"}</definedName>
    <definedName name="wrn.Finanzbedarfsrechnung." localSheetId="21" hidden="1">{#N/A,#N/A,FALSE,"Finanzbedarfsrechnung"}</definedName>
    <definedName name="wrn.Finanzbedarfsrechnung." hidden="1">{#N/A,#N/A,FALSE,"Finanzbedarfsrechnung"}</definedName>
    <definedName name="wrn.Förster." localSheetId="7" hidden="1">{"GuVGmbH",#N/A,FALSE,"ratios";"BilanzGmbH",#N/A,FALSE,"ratios";"BilanzKG",#N/A,FALSE,"ratios";"GuVKG",#N/A,FALSE,"ratios"}</definedName>
    <definedName name="wrn.Förster." localSheetId="6" hidden="1">{"GuVGmbH",#N/A,FALSE,"ratios";"BilanzGmbH",#N/A,FALSE,"ratios";"BilanzKG",#N/A,FALSE,"ratios";"GuVKG",#N/A,FALSE,"ratios"}</definedName>
    <definedName name="wrn.Förster." localSheetId="8" hidden="1">{"GuVGmbH",#N/A,FALSE,"ratios";"BilanzGmbH",#N/A,FALSE,"ratios";"BilanzKG",#N/A,FALSE,"ratios";"GuVKG",#N/A,FALSE,"ratios"}</definedName>
    <definedName name="wrn.Förster." localSheetId="11" hidden="1">{"GuVGmbH",#N/A,FALSE,"ratios";"BilanzGmbH",#N/A,FALSE,"ratios";"BilanzKG",#N/A,FALSE,"ratios";"GuVKG",#N/A,FALSE,"ratios"}</definedName>
    <definedName name="wrn.Förster." localSheetId="13" hidden="1">{"GuVGmbH",#N/A,FALSE,"ratios";"BilanzGmbH",#N/A,FALSE,"ratios";"BilanzKG",#N/A,FALSE,"ratios";"GuVKG",#N/A,FALSE,"ratios"}</definedName>
    <definedName name="wrn.Förster." localSheetId="12" hidden="1">{"GuVGmbH",#N/A,FALSE,"ratios";"BilanzGmbH",#N/A,FALSE,"ratios";"BilanzKG",#N/A,FALSE,"ratios";"GuVKG",#N/A,FALSE,"ratios"}</definedName>
    <definedName name="wrn.Förster." localSheetId="16" hidden="1">{"GuVGmbH",#N/A,FALSE,"ratios";"BilanzGmbH",#N/A,FALSE,"ratios";"BilanzKG",#N/A,FALSE,"ratios";"GuVKG",#N/A,FALSE,"ratios"}</definedName>
    <definedName name="wrn.Förster." localSheetId="14" hidden="1">{"GuVGmbH",#N/A,FALSE,"ratios";"BilanzGmbH",#N/A,FALSE,"ratios";"BilanzKG",#N/A,FALSE,"ratios";"GuVKG",#N/A,FALSE,"ratios"}</definedName>
    <definedName name="wrn.Förster." localSheetId="15" hidden="1">{"GuVGmbH",#N/A,FALSE,"ratios";"BilanzGmbH",#N/A,FALSE,"ratios";"BilanzKG",#N/A,FALSE,"ratios";"GuVKG",#N/A,FALSE,"ratios"}</definedName>
    <definedName name="wrn.Förster." localSheetId="17" hidden="1">{"GuVGmbH",#N/A,FALSE,"ratios";"BilanzGmbH",#N/A,FALSE,"ratios";"BilanzKG",#N/A,FALSE,"ratios";"GuVKG",#N/A,FALSE,"ratios"}</definedName>
    <definedName name="wrn.Förster." localSheetId="18" hidden="1">{"GuVGmbH",#N/A,FALSE,"ratios";"BilanzGmbH",#N/A,FALSE,"ratios";"BilanzKG",#N/A,FALSE,"ratios";"GuVKG",#N/A,FALSE,"ratios"}</definedName>
    <definedName name="wrn.Förster." localSheetId="19" hidden="1">{"GuVGmbH",#N/A,FALSE,"ratios";"BilanzGmbH",#N/A,FALSE,"ratios";"BilanzKG",#N/A,FALSE,"ratios";"GuVKG",#N/A,FALSE,"ratios"}</definedName>
    <definedName name="wrn.Förster." localSheetId="20" hidden="1">{"GuVGmbH",#N/A,FALSE,"ratios";"BilanzGmbH",#N/A,FALSE,"ratios";"BilanzKG",#N/A,FALSE,"ratios";"GuVKG",#N/A,FALSE,"ratios"}</definedName>
    <definedName name="wrn.Förster." localSheetId="4" hidden="1">{"GuVGmbH",#N/A,FALSE,"ratios";"BilanzGmbH",#N/A,FALSE,"ratios";"BilanzKG",#N/A,FALSE,"ratios";"GuVKG",#N/A,FALSE,"ratios"}</definedName>
    <definedName name="wrn.Förster." localSheetId="5" hidden="1">{"GuVGmbH",#N/A,FALSE,"ratios";"BilanzGmbH",#N/A,FALSE,"ratios";"BilanzKG",#N/A,FALSE,"ratios";"GuVKG",#N/A,FALSE,"ratios"}</definedName>
    <definedName name="wrn.Förster." localSheetId="3" hidden="1">{"GuVGmbH",#N/A,FALSE,"ratios";"BilanzGmbH",#N/A,FALSE,"ratios";"BilanzKG",#N/A,FALSE,"ratios";"GuVKG",#N/A,FALSE,"ratios"}</definedName>
    <definedName name="wrn.Förster." localSheetId="21" hidden="1">{"GuVGmbH",#N/A,FALSE,"ratios";"BilanzGmbH",#N/A,FALSE,"ratios";"BilanzKG",#N/A,FALSE,"ratios";"GuVKG",#N/A,FALSE,"ratios"}</definedName>
    <definedName name="wrn.Förster." hidden="1">{"GuVGmbH",#N/A,FALSE,"ratios";"BilanzGmbH",#N/A,FALSE,"ratios";"BilanzKG",#N/A,FALSE,"ratios";"GuVKG",#N/A,FALSE,"ratios"}</definedName>
    <definedName name="wrn.GuV." localSheetId="7" hidden="1">{#N/A,#N/A,FALSE,"Layout GuV"}</definedName>
    <definedName name="wrn.GuV." localSheetId="6" hidden="1">{#N/A,#N/A,FALSE,"Layout GuV"}</definedName>
    <definedName name="wrn.GuV." localSheetId="8" hidden="1">{#N/A,#N/A,FALSE,"Layout GuV"}</definedName>
    <definedName name="wrn.GuV." localSheetId="11" hidden="1">{#N/A,#N/A,FALSE,"Layout GuV"}</definedName>
    <definedName name="wrn.GuV." localSheetId="13" hidden="1">{#N/A,#N/A,FALSE,"Layout GuV"}</definedName>
    <definedName name="wrn.GuV." localSheetId="12" hidden="1">{#N/A,#N/A,FALSE,"Layout GuV"}</definedName>
    <definedName name="wrn.GuV." localSheetId="16" hidden="1">{#N/A,#N/A,FALSE,"Layout GuV"}</definedName>
    <definedName name="wrn.GuV." localSheetId="14" hidden="1">{#N/A,#N/A,FALSE,"Layout GuV"}</definedName>
    <definedName name="wrn.GuV." localSheetId="15" hidden="1">{#N/A,#N/A,FALSE,"Layout GuV"}</definedName>
    <definedName name="wrn.GuV." localSheetId="17" hidden="1">{#N/A,#N/A,FALSE,"Layout GuV"}</definedName>
    <definedName name="wrn.GuV." localSheetId="18" hidden="1">{#N/A,#N/A,FALSE,"Layout GuV"}</definedName>
    <definedName name="wrn.GuV." localSheetId="19" hidden="1">{#N/A,#N/A,FALSE,"Layout GuV"}</definedName>
    <definedName name="wrn.GuV." localSheetId="20" hidden="1">{#N/A,#N/A,FALSE,"Layout GuV"}</definedName>
    <definedName name="wrn.GuV." localSheetId="4" hidden="1">{#N/A,#N/A,FALSE,"Layout GuV"}</definedName>
    <definedName name="wrn.GuV." localSheetId="5" hidden="1">{#N/A,#N/A,FALSE,"Layout GuV"}</definedName>
    <definedName name="wrn.GuV." localSheetId="3" hidden="1">{#N/A,#N/A,FALSE,"Layout GuV"}</definedName>
    <definedName name="wrn.GuV." localSheetId="21" hidden="1">{#N/A,#N/A,FALSE,"Layout GuV"}</definedName>
    <definedName name="wrn.GuV." hidden="1">{#N/A,#N/A,FALSE,"Layout GuV"}</definedName>
    <definedName name="wrn.Komplettausdruck." localSheetId="7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6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8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1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3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2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6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4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5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7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8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9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20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4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5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3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21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PHASE._.Financials.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lanung_Ebeling.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1.Bewegungsbilanz" localSheetId="7" hidden="1">{#N/A,#N/A,FALSE,"Mittelherkunft";#N/A,#N/A,FALSE,"Mittelverwendung"}</definedName>
    <definedName name="wrn1.Bewegungsbilanz" localSheetId="6" hidden="1">{#N/A,#N/A,FALSE,"Mittelherkunft";#N/A,#N/A,FALSE,"Mittelverwendung"}</definedName>
    <definedName name="wrn1.Bewegungsbilanz" localSheetId="8" hidden="1">{#N/A,#N/A,FALSE,"Mittelherkunft";#N/A,#N/A,FALSE,"Mittelverwendung"}</definedName>
    <definedName name="wrn1.Bewegungsbilanz" localSheetId="11" hidden="1">{#N/A,#N/A,FALSE,"Mittelherkunft";#N/A,#N/A,FALSE,"Mittelverwendung"}</definedName>
    <definedName name="wrn1.Bewegungsbilanz" localSheetId="13" hidden="1">{#N/A,#N/A,FALSE,"Mittelherkunft";#N/A,#N/A,FALSE,"Mittelverwendung"}</definedName>
    <definedName name="wrn1.Bewegungsbilanz" localSheetId="12" hidden="1">{#N/A,#N/A,FALSE,"Mittelherkunft";#N/A,#N/A,FALSE,"Mittelverwendung"}</definedName>
    <definedName name="wrn1.Bewegungsbilanz" localSheetId="16" hidden="1">{#N/A,#N/A,FALSE,"Mittelherkunft";#N/A,#N/A,FALSE,"Mittelverwendung"}</definedName>
    <definedName name="wrn1.Bewegungsbilanz" localSheetId="14" hidden="1">{#N/A,#N/A,FALSE,"Mittelherkunft";#N/A,#N/A,FALSE,"Mittelverwendung"}</definedName>
    <definedName name="wrn1.Bewegungsbilanz" localSheetId="15" hidden="1">{#N/A,#N/A,FALSE,"Mittelherkunft";#N/A,#N/A,FALSE,"Mittelverwendung"}</definedName>
    <definedName name="wrn1.Bewegungsbilanz" localSheetId="17" hidden="1">{#N/A,#N/A,FALSE,"Mittelherkunft";#N/A,#N/A,FALSE,"Mittelverwendung"}</definedName>
    <definedName name="wrn1.Bewegungsbilanz" localSheetId="18" hidden="1">{#N/A,#N/A,FALSE,"Mittelherkunft";#N/A,#N/A,FALSE,"Mittelverwendung"}</definedName>
    <definedName name="wrn1.Bewegungsbilanz" localSheetId="19" hidden="1">{#N/A,#N/A,FALSE,"Mittelherkunft";#N/A,#N/A,FALSE,"Mittelverwendung"}</definedName>
    <definedName name="wrn1.Bewegungsbilanz" localSheetId="20" hidden="1">{#N/A,#N/A,FALSE,"Mittelherkunft";#N/A,#N/A,FALSE,"Mittelverwendung"}</definedName>
    <definedName name="wrn1.Bewegungsbilanz" localSheetId="4" hidden="1">{#N/A,#N/A,FALSE,"Mittelherkunft";#N/A,#N/A,FALSE,"Mittelverwendung"}</definedName>
    <definedName name="wrn1.Bewegungsbilanz" localSheetId="5" hidden="1">{#N/A,#N/A,FALSE,"Mittelherkunft";#N/A,#N/A,FALSE,"Mittelverwendung"}</definedName>
    <definedName name="wrn1.Bewegungsbilanz" localSheetId="3" hidden="1">{#N/A,#N/A,FALSE,"Mittelherkunft";#N/A,#N/A,FALSE,"Mittelverwendung"}</definedName>
    <definedName name="wrn1.Bewegungsbilanz" localSheetId="21" hidden="1">{#N/A,#N/A,FALSE,"Mittelherkunft";#N/A,#N/A,FALSE,"Mittelverwendung"}</definedName>
    <definedName name="wrn1.Bewegungsbilanz" hidden="1">{#N/A,#N/A,FALSE,"Mittelherkunft";#N/A,#N/A,FALSE,"Mittelverwendung"}</definedName>
    <definedName name="wrwrwrwr" localSheetId="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2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9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20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2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wefwefwfe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xxx" localSheetId="7" hidden="1">{#N/A,#N/A,FALSE,"Mittelherkunft";#N/A,#N/A,FALSE,"Mittelverwendung"}</definedName>
    <definedName name="xxx" localSheetId="6" hidden="1">{#N/A,#N/A,FALSE,"Mittelherkunft";#N/A,#N/A,FALSE,"Mittelverwendung"}</definedName>
    <definedName name="xxx" localSheetId="8" hidden="1">{#N/A,#N/A,FALSE,"Mittelherkunft";#N/A,#N/A,FALSE,"Mittelverwendung"}</definedName>
    <definedName name="xxx" localSheetId="11" hidden="1">{#N/A,#N/A,FALSE,"Mittelherkunft";#N/A,#N/A,FALSE,"Mittelverwendung"}</definedName>
    <definedName name="xxx" localSheetId="13" hidden="1">{#N/A,#N/A,FALSE,"Mittelherkunft";#N/A,#N/A,FALSE,"Mittelverwendung"}</definedName>
    <definedName name="xxx" localSheetId="12" hidden="1">{#N/A,#N/A,FALSE,"Mittelherkunft";#N/A,#N/A,FALSE,"Mittelverwendung"}</definedName>
    <definedName name="xxx" localSheetId="16" hidden="1">{#N/A,#N/A,FALSE,"Mittelherkunft";#N/A,#N/A,FALSE,"Mittelverwendung"}</definedName>
    <definedName name="xxx" localSheetId="14" hidden="1">{#N/A,#N/A,FALSE,"Mittelherkunft";#N/A,#N/A,FALSE,"Mittelverwendung"}</definedName>
    <definedName name="xxx" localSheetId="15" hidden="1">{#N/A,#N/A,FALSE,"Mittelherkunft";#N/A,#N/A,FALSE,"Mittelverwendung"}</definedName>
    <definedName name="xxx" localSheetId="17" hidden="1">{#N/A,#N/A,FALSE,"Mittelherkunft";#N/A,#N/A,FALSE,"Mittelverwendung"}</definedName>
    <definedName name="xxx" localSheetId="18" hidden="1">{#N/A,#N/A,FALSE,"Mittelherkunft";#N/A,#N/A,FALSE,"Mittelverwendung"}</definedName>
    <definedName name="xxx" localSheetId="19" hidden="1">{#N/A,#N/A,FALSE,"Mittelherkunft";#N/A,#N/A,FALSE,"Mittelverwendung"}</definedName>
    <definedName name="xxx" localSheetId="20" hidden="1">{#N/A,#N/A,FALSE,"Mittelherkunft";#N/A,#N/A,FALSE,"Mittelverwendung"}</definedName>
    <definedName name="xxx" localSheetId="4" hidden="1">{#N/A,#N/A,FALSE,"Mittelherkunft";#N/A,#N/A,FALSE,"Mittelverwendung"}</definedName>
    <definedName name="xxx" localSheetId="5" hidden="1">{#N/A,#N/A,FALSE,"Mittelherkunft";#N/A,#N/A,FALSE,"Mittelverwendung"}</definedName>
    <definedName name="xxx" localSheetId="3" hidden="1">{#N/A,#N/A,FALSE,"Mittelherkunft";#N/A,#N/A,FALSE,"Mittelverwendung"}</definedName>
    <definedName name="xxx" localSheetId="21" hidden="1">{#N/A,#N/A,FALSE,"Mittelherkunft";#N/A,#N/A,FALSE,"Mittelverwendung"}</definedName>
    <definedName name="xxx" hidden="1">{#N/A,#N/A,FALSE,"Mittelherkunft";#N/A,#N/A,FALSE,"Mittelverwendung"}</definedName>
    <definedName name="xy" localSheetId="7" hidden="1">{#N/A,#N/A,FALSE,"Mittelherkunft";#N/A,#N/A,FALSE,"Mittelverwendung"}</definedName>
    <definedName name="xy" localSheetId="6" hidden="1">{#N/A,#N/A,FALSE,"Mittelherkunft";#N/A,#N/A,FALSE,"Mittelverwendung"}</definedName>
    <definedName name="xy" localSheetId="8" hidden="1">{#N/A,#N/A,FALSE,"Mittelherkunft";#N/A,#N/A,FALSE,"Mittelverwendung"}</definedName>
    <definedName name="xy" localSheetId="11" hidden="1">{#N/A,#N/A,FALSE,"Mittelherkunft";#N/A,#N/A,FALSE,"Mittelverwendung"}</definedName>
    <definedName name="xy" localSheetId="13" hidden="1">{#N/A,#N/A,FALSE,"Mittelherkunft";#N/A,#N/A,FALSE,"Mittelverwendung"}</definedName>
    <definedName name="xy" localSheetId="12" hidden="1">{#N/A,#N/A,FALSE,"Mittelherkunft";#N/A,#N/A,FALSE,"Mittelverwendung"}</definedName>
    <definedName name="xy" localSheetId="16" hidden="1">{#N/A,#N/A,FALSE,"Mittelherkunft";#N/A,#N/A,FALSE,"Mittelverwendung"}</definedName>
    <definedName name="xy" localSheetId="14" hidden="1">{#N/A,#N/A,FALSE,"Mittelherkunft";#N/A,#N/A,FALSE,"Mittelverwendung"}</definedName>
    <definedName name="xy" localSheetId="15" hidden="1">{#N/A,#N/A,FALSE,"Mittelherkunft";#N/A,#N/A,FALSE,"Mittelverwendung"}</definedName>
    <definedName name="xy" localSheetId="17" hidden="1">{#N/A,#N/A,FALSE,"Mittelherkunft";#N/A,#N/A,FALSE,"Mittelverwendung"}</definedName>
    <definedName name="xy" localSheetId="18" hidden="1">{#N/A,#N/A,FALSE,"Mittelherkunft";#N/A,#N/A,FALSE,"Mittelverwendung"}</definedName>
    <definedName name="xy" localSheetId="19" hidden="1">{#N/A,#N/A,FALSE,"Mittelherkunft";#N/A,#N/A,FALSE,"Mittelverwendung"}</definedName>
    <definedName name="xy" localSheetId="20" hidden="1">{#N/A,#N/A,FALSE,"Mittelherkunft";#N/A,#N/A,FALSE,"Mittelverwendung"}</definedName>
    <definedName name="xy" localSheetId="4" hidden="1">{#N/A,#N/A,FALSE,"Mittelherkunft";#N/A,#N/A,FALSE,"Mittelverwendung"}</definedName>
    <definedName name="xy" localSheetId="5" hidden="1">{#N/A,#N/A,FALSE,"Mittelherkunft";#N/A,#N/A,FALSE,"Mittelverwendung"}</definedName>
    <definedName name="xy" localSheetId="3" hidden="1">{#N/A,#N/A,FALSE,"Mittelherkunft";#N/A,#N/A,FALSE,"Mittelverwendung"}</definedName>
    <definedName name="xy" localSheetId="21" hidden="1">{#N/A,#N/A,FALSE,"Mittelherkunft";#N/A,#N/A,FALSE,"Mittelverwendung"}</definedName>
    <definedName name="xy" hidden="1">{#N/A,#N/A,FALSE,"Mittelherkunft";#N/A,#N/A,FALSE,"Mittelverwendung"}</definedName>
    <definedName name="zulizlizil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zulzul" localSheetId="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2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9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20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2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</definedNames>
  <calcPr calcId="152511"/>
</workbook>
</file>

<file path=xl/calcChain.xml><?xml version="1.0" encoding="utf-8"?>
<calcChain xmlns="http://schemas.openxmlformats.org/spreadsheetml/2006/main">
  <c r="Q68" i="79" l="1"/>
  <c r="P68" i="79"/>
  <c r="O68" i="79"/>
  <c r="E68" i="79"/>
  <c r="D68" i="79"/>
  <c r="C68" i="79"/>
  <c r="Q67" i="79"/>
  <c r="P67" i="79"/>
  <c r="O67" i="79"/>
  <c r="E67" i="79"/>
  <c r="D67" i="79"/>
  <c r="C67" i="79"/>
  <c r="Q66" i="79"/>
  <c r="P66" i="79"/>
  <c r="O66" i="79"/>
  <c r="E66" i="79"/>
  <c r="D66" i="79"/>
  <c r="Q65" i="79"/>
  <c r="P65" i="79"/>
  <c r="O65" i="79"/>
  <c r="E65" i="79"/>
  <c r="D65" i="79"/>
  <c r="C65" i="79"/>
  <c r="Q64" i="79"/>
  <c r="P64" i="79"/>
  <c r="E64" i="79"/>
  <c r="D64" i="79"/>
  <c r="O62" i="79"/>
  <c r="C62" i="79"/>
  <c r="Q47" i="79"/>
  <c r="P47" i="79"/>
  <c r="O47" i="79"/>
  <c r="E47" i="79"/>
  <c r="D47" i="79"/>
  <c r="C47" i="79"/>
  <c r="Q46" i="79"/>
  <c r="P46" i="79"/>
  <c r="O46" i="79"/>
  <c r="E46" i="79"/>
  <c r="D46" i="79"/>
  <c r="C46" i="79"/>
  <c r="Q45" i="79"/>
  <c r="P45" i="79"/>
  <c r="O45" i="79"/>
  <c r="E45" i="79"/>
  <c r="D45" i="79"/>
  <c r="C45" i="79"/>
  <c r="Q44" i="79"/>
  <c r="P44" i="79"/>
  <c r="O44" i="79"/>
  <c r="E44" i="79"/>
  <c r="D44" i="79"/>
  <c r="C44" i="79"/>
  <c r="Q43" i="79"/>
  <c r="P43" i="79"/>
  <c r="E43" i="79"/>
  <c r="D43" i="79"/>
  <c r="O41" i="79"/>
  <c r="C41" i="79"/>
  <c r="G39" i="79"/>
  <c r="V34" i="79"/>
  <c r="U34" i="79"/>
  <c r="L34" i="79"/>
  <c r="K34" i="79"/>
  <c r="V33" i="79"/>
  <c r="U33" i="79"/>
  <c r="L33" i="79"/>
  <c r="K33" i="79"/>
  <c r="V32" i="79"/>
  <c r="U32" i="79"/>
  <c r="L32" i="79"/>
  <c r="K32" i="79"/>
  <c r="V31" i="79"/>
  <c r="U31" i="79"/>
  <c r="L31" i="79"/>
  <c r="K31" i="79"/>
  <c r="I31" i="79"/>
  <c r="V30" i="79"/>
  <c r="V29" i="79"/>
  <c r="V28" i="79"/>
  <c r="U27" i="79"/>
  <c r="V27" i="79" s="1"/>
  <c r="L27" i="79"/>
  <c r="K27" i="79"/>
  <c r="U26" i="79"/>
  <c r="V26" i="79" s="1"/>
  <c r="L26" i="79"/>
  <c r="K26" i="79"/>
  <c r="U25" i="79"/>
  <c r="V25" i="79" s="1"/>
  <c r="L25" i="79"/>
  <c r="K25" i="79"/>
  <c r="U24" i="79"/>
  <c r="V24" i="79" s="1"/>
  <c r="L24" i="79"/>
  <c r="K24" i="79"/>
  <c r="I24" i="79"/>
  <c r="V23" i="79"/>
  <c r="V22" i="79"/>
  <c r="V21" i="79"/>
  <c r="U20" i="79"/>
  <c r="V20" i="79" s="1"/>
  <c r="L20" i="79"/>
  <c r="K20" i="79"/>
  <c r="U19" i="79"/>
  <c r="V19" i="79" s="1"/>
  <c r="L19" i="79"/>
  <c r="K19" i="79"/>
  <c r="U18" i="79"/>
  <c r="V18" i="79" s="1"/>
  <c r="L18" i="79"/>
  <c r="K18" i="79"/>
  <c r="U17" i="79"/>
  <c r="V17" i="79" s="1"/>
  <c r="L17" i="79"/>
  <c r="K17" i="79"/>
  <c r="I17" i="79"/>
  <c r="V16" i="79"/>
  <c r="V15" i="79"/>
  <c r="V14" i="79"/>
  <c r="U13" i="79"/>
  <c r="V13" i="79" s="1"/>
  <c r="X10" i="79" s="1" a="1"/>
  <c r="X10" i="79" s="1"/>
  <c r="L13" i="79"/>
  <c r="K13" i="79"/>
  <c r="U12" i="79"/>
  <c r="V12" i="79" s="1"/>
  <c r="L12" i="79"/>
  <c r="K12" i="79"/>
  <c r="U11" i="79"/>
  <c r="V11" i="79" s="1"/>
  <c r="X19" i="79" s="1" a="1"/>
  <c r="X19" i="79" s="1"/>
  <c r="L11" i="79"/>
  <c r="K11" i="79"/>
  <c r="U10" i="79"/>
  <c r="V10" i="79" s="1"/>
  <c r="L10" i="79"/>
  <c r="K10" i="79"/>
  <c r="I10" i="79"/>
  <c r="Y5" i="79"/>
  <c r="L5" i="79"/>
  <c r="Z5" i="79" s="1"/>
  <c r="K5" i="79"/>
  <c r="D146" i="76"/>
  <c r="C146" i="76"/>
  <c r="C147" i="76" s="1"/>
  <c r="B146" i="76"/>
  <c r="F145" i="76"/>
  <c r="F146" i="76" s="1"/>
  <c r="F144" i="76"/>
  <c r="D144" i="76"/>
  <c r="B144" i="76"/>
  <c r="B147" i="76" s="1"/>
  <c r="F143" i="76"/>
  <c r="C144" i="76" s="1"/>
  <c r="C125" i="76"/>
  <c r="B125" i="76"/>
  <c r="E124" i="76"/>
  <c r="D124" i="76"/>
  <c r="E123" i="76"/>
  <c r="D123" i="76"/>
  <c r="E122" i="76"/>
  <c r="D122" i="76"/>
  <c r="A106" i="76"/>
  <c r="A102" i="76"/>
  <c r="G85" i="76"/>
  <c r="F85" i="76"/>
  <c r="E85" i="76"/>
  <c r="D85" i="76"/>
  <c r="C85" i="76"/>
  <c r="B85" i="76"/>
  <c r="G84" i="76"/>
  <c r="F84" i="76"/>
  <c r="E84" i="76"/>
  <c r="D84" i="76"/>
  <c r="C84" i="76"/>
  <c r="B84" i="76"/>
  <c r="G83" i="76"/>
  <c r="F83" i="76"/>
  <c r="E83" i="76"/>
  <c r="D83" i="76"/>
  <c r="C83" i="76"/>
  <c r="B83" i="76"/>
  <c r="G65" i="76"/>
  <c r="F65" i="76"/>
  <c r="E65" i="76"/>
  <c r="D65" i="76"/>
  <c r="C65" i="76"/>
  <c r="B65" i="76"/>
  <c r="G64" i="76"/>
  <c r="F64" i="76"/>
  <c r="E64" i="76"/>
  <c r="D64" i="76"/>
  <c r="C64" i="76"/>
  <c r="B64" i="76"/>
  <c r="G63" i="76"/>
  <c r="F63" i="76"/>
  <c r="E63" i="76"/>
  <c r="D63" i="76"/>
  <c r="C63" i="76"/>
  <c r="B63" i="76"/>
  <c r="A61" i="76"/>
  <c r="A60" i="76"/>
  <c r="A59" i="76"/>
  <c r="A58" i="76"/>
  <c r="G48" i="76"/>
  <c r="F48" i="76"/>
  <c r="E48" i="76"/>
  <c r="D48" i="76"/>
  <c r="C48" i="76"/>
  <c r="B48" i="76"/>
  <c r="G47" i="76"/>
  <c r="F47" i="76"/>
  <c r="E47" i="76"/>
  <c r="D47" i="76"/>
  <c r="C47" i="76"/>
  <c r="B47" i="76"/>
  <c r="G46" i="76"/>
  <c r="F46" i="76"/>
  <c r="E46" i="76"/>
  <c r="D46" i="76"/>
  <c r="C46" i="76"/>
  <c r="B46" i="76"/>
  <c r="A41" i="76"/>
  <c r="A20" i="76"/>
  <c r="A16" i="76"/>
  <c r="G90" i="63"/>
  <c r="G87" i="63"/>
  <c r="F87" i="63"/>
  <c r="G84" i="63"/>
  <c r="F84" i="63"/>
  <c r="E84" i="63"/>
  <c r="A63" i="63"/>
  <c r="A82" i="63" s="1"/>
  <c r="F52" i="63"/>
  <c r="D52" i="63"/>
  <c r="B52" i="63"/>
  <c r="F48" i="63"/>
  <c r="D48" i="63"/>
  <c r="B48" i="63"/>
  <c r="A46" i="63"/>
  <c r="F44" i="63"/>
  <c r="D44" i="63"/>
  <c r="B44" i="63"/>
  <c r="M35" i="63"/>
  <c r="I35" i="63"/>
  <c r="H35" i="63"/>
  <c r="G35" i="63"/>
  <c r="K35" i="63" s="1"/>
  <c r="F35" i="63"/>
  <c r="J35" i="63" s="1"/>
  <c r="A35" i="63"/>
  <c r="A43" i="63" s="1"/>
  <c r="A15" i="63"/>
  <c r="A20" i="63" s="1"/>
  <c r="A118" i="62"/>
  <c r="G113" i="62"/>
  <c r="F113" i="62"/>
  <c r="E113" i="62"/>
  <c r="D113" i="62"/>
  <c r="C113" i="62"/>
  <c r="B113" i="62"/>
  <c r="G97" i="62"/>
  <c r="D97" i="62"/>
  <c r="C97" i="62"/>
  <c r="G96" i="62"/>
  <c r="F96" i="62"/>
  <c r="F97" i="62" s="1"/>
  <c r="E96" i="62"/>
  <c r="E97" i="62" s="1"/>
  <c r="D96" i="62"/>
  <c r="C96" i="62"/>
  <c r="B96" i="62"/>
  <c r="B97" i="62" s="1"/>
  <c r="A91" i="62"/>
  <c r="A80" i="62"/>
  <c r="G79" i="62"/>
  <c r="F79" i="62"/>
  <c r="E79" i="62"/>
  <c r="D79" i="62"/>
  <c r="A79" i="62"/>
  <c r="A78" i="62"/>
  <c r="F77" i="62"/>
  <c r="E77" i="62"/>
  <c r="A77" i="62"/>
  <c r="G76" i="62"/>
  <c r="F76" i="62"/>
  <c r="E76" i="62"/>
  <c r="D76" i="62"/>
  <c r="A76" i="62"/>
  <c r="G75" i="62"/>
  <c r="F75" i="62"/>
  <c r="E75" i="62"/>
  <c r="D75" i="62"/>
  <c r="A75" i="62"/>
  <c r="G74" i="62"/>
  <c r="F74" i="62"/>
  <c r="E74" i="62"/>
  <c r="D74" i="62"/>
  <c r="A74" i="62"/>
  <c r="A73" i="62"/>
  <c r="D72" i="62"/>
  <c r="F68" i="62"/>
  <c r="E68" i="62"/>
  <c r="G65" i="62"/>
  <c r="F65" i="62"/>
  <c r="E65" i="62"/>
  <c r="A61" i="62"/>
  <c r="E48" i="62"/>
  <c r="F48" i="62" s="1"/>
  <c r="G48" i="62" s="1"/>
  <c r="G39" i="62"/>
  <c r="F39" i="62"/>
  <c r="E39" i="62"/>
  <c r="D39" i="62"/>
  <c r="C39" i="62"/>
  <c r="B47" i="62" s="1"/>
  <c r="C47" i="62" s="1"/>
  <c r="D47" i="62" s="1"/>
  <c r="B39" i="62"/>
  <c r="A39" i="62"/>
  <c r="A38" i="62"/>
  <c r="A37" i="62"/>
  <c r="G19" i="62"/>
  <c r="F19" i="62"/>
  <c r="E19" i="62"/>
  <c r="B19" i="62"/>
  <c r="C18" i="62"/>
  <c r="G156" i="57"/>
  <c r="F156" i="57"/>
  <c r="E156" i="57"/>
  <c r="D156" i="57"/>
  <c r="C156" i="57"/>
  <c r="B156" i="57"/>
  <c r="I126" i="57"/>
  <c r="M126" i="57" s="1"/>
  <c r="H126" i="57"/>
  <c r="L126" i="57" s="1"/>
  <c r="G126" i="57"/>
  <c r="K126" i="57" s="1"/>
  <c r="F126" i="57"/>
  <c r="J126" i="57" s="1"/>
  <c r="A125" i="57"/>
  <c r="D110" i="57"/>
  <c r="E110" i="57" s="1"/>
  <c r="F110" i="57" s="1"/>
  <c r="G110" i="57" s="1"/>
  <c r="C110" i="57"/>
  <c r="E109" i="57"/>
  <c r="F109" i="57" s="1"/>
  <c r="G109" i="57" s="1"/>
  <c r="D109" i="57"/>
  <c r="C109" i="57"/>
  <c r="D108" i="57"/>
  <c r="E108" i="57" s="1"/>
  <c r="F108" i="57" s="1"/>
  <c r="G108" i="57" s="1"/>
  <c r="C108" i="57"/>
  <c r="A102" i="57"/>
  <c r="A96" i="57"/>
  <c r="G95" i="57"/>
  <c r="F95" i="57"/>
  <c r="E95" i="57"/>
  <c r="A95" i="57"/>
  <c r="G94" i="57"/>
  <c r="F94" i="57"/>
  <c r="E94" i="57"/>
  <c r="A94" i="57"/>
  <c r="G93" i="57"/>
  <c r="F93" i="57"/>
  <c r="E93" i="57"/>
  <c r="A93" i="57"/>
  <c r="G92" i="57"/>
  <c r="F92" i="57"/>
  <c r="E92" i="57"/>
  <c r="E96" i="57" s="1"/>
  <c r="F91" i="57" s="1"/>
  <c r="F96" i="57" s="1"/>
  <c r="G91" i="57" s="1"/>
  <c r="G96" i="57" s="1"/>
  <c r="A92" i="57"/>
  <c r="E91" i="57"/>
  <c r="A91" i="57"/>
  <c r="E86" i="57"/>
  <c r="E85" i="57"/>
  <c r="F80" i="57"/>
  <c r="F85" i="57" s="1"/>
  <c r="F86" i="57" s="1"/>
  <c r="A79" i="57"/>
  <c r="A90" i="57" s="1"/>
  <c r="E73" i="57"/>
  <c r="G72" i="57"/>
  <c r="F72" i="57"/>
  <c r="E72" i="57"/>
  <c r="A72" i="57"/>
  <c r="G71" i="57"/>
  <c r="F71" i="57"/>
  <c r="E71" i="57"/>
  <c r="A71" i="57"/>
  <c r="G70" i="57"/>
  <c r="F70" i="57"/>
  <c r="E70" i="57"/>
  <c r="A70" i="57"/>
  <c r="G69" i="57"/>
  <c r="F69" i="57"/>
  <c r="E69" i="57"/>
  <c r="A69" i="57"/>
  <c r="G68" i="57"/>
  <c r="G73" i="57" s="1"/>
  <c r="F68" i="57"/>
  <c r="F73" i="57" s="1"/>
  <c r="E68" i="57"/>
  <c r="A68" i="57"/>
  <c r="G66" i="57"/>
  <c r="G65" i="57"/>
  <c r="F65" i="57"/>
  <c r="E65" i="57"/>
  <c r="A65" i="57"/>
  <c r="G64" i="57"/>
  <c r="F64" i="57"/>
  <c r="E64" i="57"/>
  <c r="A64" i="57"/>
  <c r="G63" i="57"/>
  <c r="F63" i="57"/>
  <c r="E63" i="57"/>
  <c r="A63" i="57"/>
  <c r="G62" i="57"/>
  <c r="F62" i="57"/>
  <c r="E62" i="57"/>
  <c r="A62" i="57"/>
  <c r="G61" i="57"/>
  <c r="F61" i="57"/>
  <c r="F66" i="57" s="1"/>
  <c r="E61" i="57"/>
  <c r="E66" i="57" s="1"/>
  <c r="A61" i="57"/>
  <c r="G59" i="57"/>
  <c r="F59" i="57"/>
  <c r="E59" i="57"/>
  <c r="A40" i="57"/>
  <c r="A59" i="57" s="1"/>
  <c r="G33" i="57"/>
  <c r="D33" i="57"/>
  <c r="C33" i="57"/>
  <c r="G32" i="57"/>
  <c r="F32" i="57"/>
  <c r="F33" i="57" s="1"/>
  <c r="E32" i="57"/>
  <c r="E33" i="57" s="1"/>
  <c r="D32" i="57"/>
  <c r="C32" i="57"/>
  <c r="B32" i="57"/>
  <c r="G31" i="57"/>
  <c r="F31" i="57"/>
  <c r="E31" i="57"/>
  <c r="D31" i="57"/>
  <c r="C31" i="57"/>
  <c r="B31" i="57"/>
  <c r="G30" i="57"/>
  <c r="F30" i="57"/>
  <c r="E30" i="57"/>
  <c r="D30" i="57"/>
  <c r="C30" i="57"/>
  <c r="B30" i="57"/>
  <c r="G29" i="57"/>
  <c r="F29" i="57"/>
  <c r="E29" i="57"/>
  <c r="D29" i="57"/>
  <c r="C29" i="57"/>
  <c r="B29" i="57"/>
  <c r="B33" i="57" s="1"/>
  <c r="A28" i="57"/>
  <c r="A17" i="57"/>
  <c r="B214" i="48"/>
  <c r="I213" i="48"/>
  <c r="H213" i="48"/>
  <c r="E213" i="48"/>
  <c r="D213" i="48"/>
  <c r="B213" i="48"/>
  <c r="I212" i="48"/>
  <c r="H212" i="48"/>
  <c r="G212" i="48"/>
  <c r="F212" i="48"/>
  <c r="E212" i="48"/>
  <c r="D212" i="48"/>
  <c r="B212" i="48"/>
  <c r="A212" i="48"/>
  <c r="I211" i="48"/>
  <c r="H211" i="48"/>
  <c r="G211" i="48"/>
  <c r="F211" i="48"/>
  <c r="E211" i="48"/>
  <c r="D211" i="48"/>
  <c r="B211" i="48"/>
  <c r="A211" i="48"/>
  <c r="I210" i="48"/>
  <c r="H210" i="48"/>
  <c r="G210" i="48"/>
  <c r="F210" i="48"/>
  <c r="E210" i="48"/>
  <c r="D210" i="48"/>
  <c r="B210" i="48"/>
  <c r="A210" i="48"/>
  <c r="I209" i="48"/>
  <c r="H209" i="48"/>
  <c r="G209" i="48"/>
  <c r="F209" i="48"/>
  <c r="E209" i="48"/>
  <c r="D209" i="48"/>
  <c r="B209" i="48"/>
  <c r="G208" i="48"/>
  <c r="F208" i="48"/>
  <c r="B208" i="48"/>
  <c r="I207" i="48"/>
  <c r="H207" i="48"/>
  <c r="G207" i="48"/>
  <c r="F207" i="48"/>
  <c r="E207" i="48"/>
  <c r="D207" i="48"/>
  <c r="B207" i="48"/>
  <c r="A207" i="48"/>
  <c r="I206" i="48"/>
  <c r="H206" i="48"/>
  <c r="G206" i="48"/>
  <c r="F206" i="48"/>
  <c r="E206" i="48"/>
  <c r="D206" i="48"/>
  <c r="B206" i="48"/>
  <c r="A206" i="48"/>
  <c r="I205" i="48"/>
  <c r="H205" i="48"/>
  <c r="G205" i="48"/>
  <c r="F205" i="48"/>
  <c r="E205" i="48"/>
  <c r="D205" i="48"/>
  <c r="B205" i="48"/>
  <c r="A205" i="48"/>
  <c r="I204" i="48"/>
  <c r="H204" i="48"/>
  <c r="G204" i="48"/>
  <c r="F204" i="48"/>
  <c r="E204" i="48"/>
  <c r="D204" i="48"/>
  <c r="B204" i="48"/>
  <c r="A204" i="48"/>
  <c r="I203" i="48"/>
  <c r="H203" i="48"/>
  <c r="G203" i="48"/>
  <c r="F203" i="48"/>
  <c r="E203" i="48"/>
  <c r="D203" i="48"/>
  <c r="B203" i="48"/>
  <c r="A203" i="48"/>
  <c r="I202" i="48"/>
  <c r="H202" i="48"/>
  <c r="G202" i="48"/>
  <c r="F202" i="48"/>
  <c r="E202" i="48"/>
  <c r="D202" i="48"/>
  <c r="B202" i="48"/>
  <c r="I201" i="48"/>
  <c r="H201" i="48"/>
  <c r="G201" i="48"/>
  <c r="F201" i="48"/>
  <c r="E201" i="48"/>
  <c r="D201" i="48"/>
  <c r="B201" i="48"/>
  <c r="I200" i="48"/>
  <c r="H200" i="48"/>
  <c r="G200" i="48"/>
  <c r="F200" i="48"/>
  <c r="E200" i="48"/>
  <c r="D200" i="48"/>
  <c r="B200" i="48"/>
  <c r="A200" i="48"/>
  <c r="I199" i="48"/>
  <c r="H199" i="48"/>
  <c r="G199" i="48"/>
  <c r="F199" i="48"/>
  <c r="E199" i="48"/>
  <c r="D199" i="48"/>
  <c r="B199" i="48"/>
  <c r="A199" i="48"/>
  <c r="I198" i="48"/>
  <c r="H198" i="48"/>
  <c r="G198" i="48"/>
  <c r="F198" i="48"/>
  <c r="E198" i="48"/>
  <c r="D198" i="48"/>
  <c r="B198" i="48"/>
  <c r="A198" i="48"/>
  <c r="I197" i="48"/>
  <c r="H197" i="48"/>
  <c r="G197" i="48"/>
  <c r="F197" i="48"/>
  <c r="E197" i="48"/>
  <c r="D197" i="48"/>
  <c r="B197" i="48"/>
  <c r="A197" i="48"/>
  <c r="I196" i="48"/>
  <c r="H196" i="48"/>
  <c r="G196" i="48"/>
  <c r="F196" i="48"/>
  <c r="E196" i="48"/>
  <c r="D196" i="48"/>
  <c r="B196" i="48"/>
  <c r="A196" i="48"/>
  <c r="I195" i="48"/>
  <c r="H195" i="48"/>
  <c r="G195" i="48"/>
  <c r="F195" i="48"/>
  <c r="E195" i="48"/>
  <c r="D195" i="48"/>
  <c r="B195" i="48"/>
  <c r="A195" i="48"/>
  <c r="I194" i="48"/>
  <c r="H194" i="48"/>
  <c r="G194" i="48"/>
  <c r="F194" i="48"/>
  <c r="E194" i="48"/>
  <c r="D194" i="48"/>
  <c r="B194" i="48"/>
  <c r="A194" i="48"/>
  <c r="I193" i="48"/>
  <c r="H193" i="48"/>
  <c r="G193" i="48"/>
  <c r="F193" i="48"/>
  <c r="E193" i="48"/>
  <c r="D193" i="48"/>
  <c r="B193" i="48"/>
  <c r="A193" i="48"/>
  <c r="I192" i="48"/>
  <c r="H192" i="48"/>
  <c r="G192" i="48"/>
  <c r="F192" i="48"/>
  <c r="E192" i="48"/>
  <c r="D192" i="48"/>
  <c r="B192" i="48"/>
  <c r="A192" i="48"/>
  <c r="I191" i="48"/>
  <c r="H191" i="48"/>
  <c r="G191" i="48"/>
  <c r="F191" i="48"/>
  <c r="E191" i="48"/>
  <c r="D191" i="48"/>
  <c r="B191" i="48"/>
  <c r="A191" i="48"/>
  <c r="I190" i="48"/>
  <c r="H190" i="48"/>
  <c r="G190" i="48"/>
  <c r="F190" i="48"/>
  <c r="E190" i="48"/>
  <c r="D190" i="48"/>
  <c r="B190" i="48"/>
  <c r="A190" i="48"/>
  <c r="I189" i="48"/>
  <c r="H189" i="48"/>
  <c r="G189" i="48"/>
  <c r="F189" i="48"/>
  <c r="E189" i="48"/>
  <c r="D189" i="48"/>
  <c r="B189" i="48"/>
  <c r="A189" i="48"/>
  <c r="I188" i="48"/>
  <c r="H188" i="48"/>
  <c r="G188" i="48"/>
  <c r="F188" i="48"/>
  <c r="E188" i="48"/>
  <c r="D188" i="48"/>
  <c r="B188" i="48"/>
  <c r="A188" i="48"/>
  <c r="B187" i="48"/>
  <c r="B186" i="48"/>
  <c r="H181" i="48"/>
  <c r="H214" i="48" s="1"/>
  <c r="I180" i="48"/>
  <c r="H180" i="48"/>
  <c r="G180" i="48"/>
  <c r="G213" i="48" s="1"/>
  <c r="F180" i="48"/>
  <c r="F213" i="48" s="1"/>
  <c r="E180" i="48"/>
  <c r="D180" i="48"/>
  <c r="I175" i="48"/>
  <c r="I208" i="48" s="1"/>
  <c r="H175" i="48"/>
  <c r="H208" i="48" s="1"/>
  <c r="G175" i="48"/>
  <c r="F175" i="48"/>
  <c r="F181" i="48" s="1"/>
  <c r="F214" i="48" s="1"/>
  <c r="E175" i="48"/>
  <c r="E208" i="48" s="1"/>
  <c r="D175" i="48"/>
  <c r="D208" i="48" s="1"/>
  <c r="B153" i="48"/>
  <c r="A151" i="48"/>
  <c r="A184" i="48" s="1"/>
  <c r="I145" i="48"/>
  <c r="H145" i="48"/>
  <c r="G145" i="48"/>
  <c r="F145" i="48"/>
  <c r="E145" i="48"/>
  <c r="D145" i="48"/>
  <c r="B145" i="48"/>
  <c r="I144" i="48"/>
  <c r="H144" i="48"/>
  <c r="G144" i="48"/>
  <c r="F144" i="48"/>
  <c r="E144" i="48"/>
  <c r="D144" i="48"/>
  <c r="B144" i="48"/>
  <c r="I143" i="48"/>
  <c r="H143" i="48"/>
  <c r="G143" i="48"/>
  <c r="F143" i="48"/>
  <c r="E143" i="48"/>
  <c r="D143" i="48"/>
  <c r="B143" i="48"/>
  <c r="A143" i="48"/>
  <c r="I142" i="48"/>
  <c r="H142" i="48"/>
  <c r="G142" i="48"/>
  <c r="F142" i="48"/>
  <c r="E142" i="48"/>
  <c r="D142" i="48"/>
  <c r="B142" i="48"/>
  <c r="A142" i="48"/>
  <c r="I141" i="48"/>
  <c r="H141" i="48"/>
  <c r="G141" i="48"/>
  <c r="F141" i="48"/>
  <c r="E141" i="48"/>
  <c r="D141" i="48"/>
  <c r="B141" i="48"/>
  <c r="A141" i="48"/>
  <c r="I140" i="48"/>
  <c r="H140" i="48"/>
  <c r="G140" i="48"/>
  <c r="F140" i="48"/>
  <c r="E140" i="48"/>
  <c r="D140" i="48"/>
  <c r="B140" i="48"/>
  <c r="I139" i="48"/>
  <c r="H139" i="48"/>
  <c r="G139" i="48"/>
  <c r="F139" i="48"/>
  <c r="E139" i="48"/>
  <c r="D139" i="48"/>
  <c r="B139" i="48"/>
  <c r="I138" i="48"/>
  <c r="H138" i="48"/>
  <c r="G138" i="48"/>
  <c r="F138" i="48"/>
  <c r="E138" i="48"/>
  <c r="D138" i="48"/>
  <c r="B138" i="48"/>
  <c r="A138" i="48"/>
  <c r="I137" i="48"/>
  <c r="H137" i="48"/>
  <c r="G137" i="48"/>
  <c r="F137" i="48"/>
  <c r="E137" i="48"/>
  <c r="D137" i="48"/>
  <c r="B137" i="48"/>
  <c r="A137" i="48"/>
  <c r="I136" i="48"/>
  <c r="H136" i="48"/>
  <c r="G136" i="48"/>
  <c r="F136" i="48"/>
  <c r="E136" i="48"/>
  <c r="D136" i="48"/>
  <c r="B136" i="48"/>
  <c r="A136" i="48"/>
  <c r="I135" i="48"/>
  <c r="H135" i="48"/>
  <c r="G135" i="48"/>
  <c r="F135" i="48"/>
  <c r="E135" i="48"/>
  <c r="D135" i="48"/>
  <c r="B135" i="48"/>
  <c r="A135" i="48"/>
  <c r="I134" i="48"/>
  <c r="H134" i="48"/>
  <c r="G134" i="48"/>
  <c r="F134" i="48"/>
  <c r="E134" i="48"/>
  <c r="D134" i="48"/>
  <c r="B134" i="48"/>
  <c r="A134" i="48"/>
  <c r="I133" i="48"/>
  <c r="H133" i="48"/>
  <c r="G133" i="48"/>
  <c r="F133" i="48"/>
  <c r="E133" i="48"/>
  <c r="D133" i="48"/>
  <c r="B133" i="48"/>
  <c r="I132" i="48"/>
  <c r="H132" i="48"/>
  <c r="G132" i="48"/>
  <c r="F132" i="48"/>
  <c r="E132" i="48"/>
  <c r="D132" i="48"/>
  <c r="B132" i="48"/>
  <c r="I131" i="48"/>
  <c r="H131" i="48"/>
  <c r="G131" i="48"/>
  <c r="F131" i="48"/>
  <c r="E131" i="48"/>
  <c r="D131" i="48"/>
  <c r="B131" i="48"/>
  <c r="A131" i="48"/>
  <c r="I130" i="48"/>
  <c r="H130" i="48"/>
  <c r="G130" i="48"/>
  <c r="F130" i="48"/>
  <c r="E130" i="48"/>
  <c r="D130" i="48"/>
  <c r="B130" i="48"/>
  <c r="A130" i="48"/>
  <c r="I129" i="48"/>
  <c r="H129" i="48"/>
  <c r="G129" i="48"/>
  <c r="F129" i="48"/>
  <c r="E129" i="48"/>
  <c r="D129" i="48"/>
  <c r="B129" i="48"/>
  <c r="A129" i="48"/>
  <c r="I128" i="48"/>
  <c r="H128" i="48"/>
  <c r="G128" i="48"/>
  <c r="F128" i="48"/>
  <c r="E128" i="48"/>
  <c r="D128" i="48"/>
  <c r="B128" i="48"/>
  <c r="A128" i="48"/>
  <c r="I127" i="48"/>
  <c r="H127" i="48"/>
  <c r="G127" i="48"/>
  <c r="F127" i="48"/>
  <c r="E127" i="48"/>
  <c r="D127" i="48"/>
  <c r="B127" i="48"/>
  <c r="A127" i="48"/>
  <c r="I126" i="48"/>
  <c r="H126" i="48"/>
  <c r="G126" i="48"/>
  <c r="F126" i="48"/>
  <c r="E126" i="48"/>
  <c r="D126" i="48"/>
  <c r="B126" i="48"/>
  <c r="A126" i="48"/>
  <c r="I125" i="48"/>
  <c r="H125" i="48"/>
  <c r="G125" i="48"/>
  <c r="F125" i="48"/>
  <c r="E125" i="48"/>
  <c r="D125" i="48"/>
  <c r="B125" i="48"/>
  <c r="A125" i="48"/>
  <c r="I124" i="48"/>
  <c r="H124" i="48"/>
  <c r="G124" i="48"/>
  <c r="F124" i="48"/>
  <c r="E124" i="48"/>
  <c r="D124" i="48"/>
  <c r="B124" i="48"/>
  <c r="A124" i="48"/>
  <c r="I123" i="48"/>
  <c r="H123" i="48"/>
  <c r="G123" i="48"/>
  <c r="F123" i="48"/>
  <c r="E123" i="48"/>
  <c r="D123" i="48"/>
  <c r="B123" i="48"/>
  <c r="A123" i="48"/>
  <c r="I122" i="48"/>
  <c r="H122" i="48"/>
  <c r="G122" i="48"/>
  <c r="F122" i="48"/>
  <c r="E122" i="48"/>
  <c r="D122" i="48"/>
  <c r="B122" i="48"/>
  <c r="A122" i="48"/>
  <c r="I121" i="48"/>
  <c r="H121" i="48"/>
  <c r="G121" i="48"/>
  <c r="F121" i="48"/>
  <c r="E121" i="48"/>
  <c r="D121" i="48"/>
  <c r="B121" i="48"/>
  <c r="A121" i="48"/>
  <c r="I120" i="48"/>
  <c r="H120" i="48"/>
  <c r="G120" i="48"/>
  <c r="F120" i="48"/>
  <c r="E120" i="48"/>
  <c r="D120" i="48"/>
  <c r="B120" i="48"/>
  <c r="A120" i="48"/>
  <c r="I119" i="48"/>
  <c r="H119" i="48"/>
  <c r="G119" i="48"/>
  <c r="F119" i="48"/>
  <c r="E119" i="48"/>
  <c r="D119" i="48"/>
  <c r="B119" i="48"/>
  <c r="A119" i="48"/>
  <c r="I118" i="48"/>
  <c r="H118" i="48"/>
  <c r="G118" i="48"/>
  <c r="F118" i="48"/>
  <c r="E118" i="48"/>
  <c r="D118" i="48"/>
  <c r="B118" i="48"/>
  <c r="I117" i="48"/>
  <c r="H117" i="48"/>
  <c r="G117" i="48"/>
  <c r="F117" i="48"/>
  <c r="E117" i="48"/>
  <c r="D117" i="48"/>
  <c r="B117" i="48"/>
  <c r="I116" i="48"/>
  <c r="H116" i="48"/>
  <c r="G116" i="48"/>
  <c r="F116" i="48"/>
  <c r="E116" i="48"/>
  <c r="D116" i="48"/>
  <c r="B116" i="48"/>
  <c r="I115" i="48"/>
  <c r="H115" i="48"/>
  <c r="G115" i="48"/>
  <c r="F115" i="48"/>
  <c r="E115" i="48"/>
  <c r="D115" i="48"/>
  <c r="B115" i="48"/>
  <c r="I114" i="48"/>
  <c r="H114" i="48"/>
  <c r="G114" i="48"/>
  <c r="F114" i="48"/>
  <c r="E114" i="48"/>
  <c r="D114" i="48"/>
  <c r="B114" i="48"/>
  <c r="A114" i="48"/>
  <c r="I113" i="48"/>
  <c r="H113" i="48"/>
  <c r="G113" i="48"/>
  <c r="F113" i="48"/>
  <c r="E113" i="48"/>
  <c r="D113" i="48"/>
  <c r="B113" i="48"/>
  <c r="B112" i="48"/>
  <c r="B75" i="48"/>
  <c r="A73" i="48"/>
  <c r="A110" i="48" s="1"/>
  <c r="B67" i="48"/>
  <c r="F66" i="48"/>
  <c r="E66" i="48"/>
  <c r="D66" i="48"/>
  <c r="B66" i="48"/>
  <c r="B65" i="48"/>
  <c r="F64" i="48"/>
  <c r="E64" i="48"/>
  <c r="D64" i="48"/>
  <c r="B64" i="48"/>
  <c r="F63" i="48"/>
  <c r="E63" i="48"/>
  <c r="D63" i="48"/>
  <c r="B63" i="48"/>
  <c r="F62" i="48"/>
  <c r="E62" i="48"/>
  <c r="D62" i="48"/>
  <c r="B62" i="48"/>
  <c r="F61" i="48"/>
  <c r="E61" i="48"/>
  <c r="D61" i="48"/>
  <c r="B61" i="48"/>
  <c r="F60" i="48"/>
  <c r="E60" i="48"/>
  <c r="D60" i="48"/>
  <c r="B60" i="48"/>
  <c r="F59" i="48"/>
  <c r="E59" i="48"/>
  <c r="D59" i="48"/>
  <c r="B59" i="48"/>
  <c r="B58" i="48"/>
  <c r="B57" i="48"/>
  <c r="F56" i="48"/>
  <c r="E56" i="48"/>
  <c r="D56" i="48"/>
  <c r="B56" i="48"/>
  <c r="F55" i="48"/>
  <c r="E55" i="48"/>
  <c r="D55" i="48"/>
  <c r="B55" i="48"/>
  <c r="F54" i="48"/>
  <c r="E54" i="48"/>
  <c r="D54" i="48"/>
  <c r="B54" i="48"/>
  <c r="B53" i="48"/>
  <c r="F52" i="48"/>
  <c r="E52" i="48"/>
  <c r="D52" i="48"/>
  <c r="B52" i="48"/>
  <c r="F51" i="48"/>
  <c r="E51" i="48"/>
  <c r="D51" i="48"/>
  <c r="B51" i="48"/>
  <c r="F50" i="48"/>
  <c r="E50" i="48"/>
  <c r="D50" i="48"/>
  <c r="B50" i="48"/>
  <c r="F49" i="48"/>
  <c r="E49" i="48"/>
  <c r="D49" i="48"/>
  <c r="B49" i="48"/>
  <c r="F48" i="48"/>
  <c r="E48" i="48"/>
  <c r="D48" i="48"/>
  <c r="B48" i="48"/>
  <c r="F47" i="48"/>
  <c r="E47" i="48"/>
  <c r="D47" i="48"/>
  <c r="B47" i="48"/>
  <c r="A17" i="48"/>
  <c r="B45" i="48" s="1"/>
  <c r="A15" i="48"/>
  <c r="A43" i="48" s="1"/>
  <c r="G33" i="82"/>
  <c r="F33" i="82"/>
  <c r="E33" i="82"/>
  <c r="D33" i="82"/>
  <c r="C33" i="82"/>
  <c r="B33" i="82"/>
  <c r="A33" i="82"/>
  <c r="A32" i="82"/>
  <c r="G31" i="82"/>
  <c r="F31" i="82"/>
  <c r="E31" i="82"/>
  <c r="D31" i="82"/>
  <c r="C31" i="82"/>
  <c r="B31" i="82"/>
  <c r="A29" i="82"/>
  <c r="E22" i="82"/>
  <c r="D22" i="82"/>
  <c r="G21" i="82"/>
  <c r="G22" i="82" s="1"/>
  <c r="F21" i="82"/>
  <c r="F22" i="82" s="1"/>
  <c r="E21" i="82"/>
  <c r="D21" i="82"/>
  <c r="C21" i="82"/>
  <c r="C22" i="82" s="1"/>
  <c r="B21" i="82"/>
  <c r="A21" i="82"/>
  <c r="F20" i="82"/>
  <c r="E20" i="82"/>
  <c r="G19" i="82"/>
  <c r="G20" i="82" s="1"/>
  <c r="F19" i="82"/>
  <c r="E19" i="82"/>
  <c r="D19" i="82"/>
  <c r="D20" i="82" s="1"/>
  <c r="C19" i="82"/>
  <c r="C20" i="82" s="1"/>
  <c r="B19" i="82"/>
  <c r="A19" i="82"/>
  <c r="A30" i="82" s="1"/>
  <c r="B18" i="82"/>
  <c r="B22" i="82" s="1"/>
  <c r="G17" i="82"/>
  <c r="F17" i="82"/>
  <c r="E28" i="82" s="1"/>
  <c r="E17" i="82"/>
  <c r="D17" i="82"/>
  <c r="C17" i="82"/>
  <c r="B28" i="82" s="1"/>
  <c r="B17" i="82"/>
  <c r="A17" i="82"/>
  <c r="A28" i="82" s="1"/>
  <c r="G16" i="82"/>
  <c r="G27" i="82" s="1"/>
  <c r="F16" i="82"/>
  <c r="F27" i="82" s="1"/>
  <c r="E16" i="82"/>
  <c r="E27" i="82" s="1"/>
  <c r="D16" i="82"/>
  <c r="D27" i="82" s="1"/>
  <c r="C16" i="82"/>
  <c r="C27" i="82" s="1"/>
  <c r="B16" i="82"/>
  <c r="B27" i="82" s="1"/>
  <c r="G33" i="49"/>
  <c r="F33" i="49"/>
  <c r="E33" i="49"/>
  <c r="D33" i="49"/>
  <c r="C33" i="49"/>
  <c r="B33" i="49"/>
  <c r="A33" i="49"/>
  <c r="G31" i="49"/>
  <c r="F31" i="49"/>
  <c r="E31" i="49"/>
  <c r="D31" i="49"/>
  <c r="C31" i="49"/>
  <c r="B31" i="49"/>
  <c r="A29" i="49"/>
  <c r="A19" i="49"/>
  <c r="A30" i="49" s="1"/>
  <c r="A17" i="49"/>
  <c r="A28" i="49" s="1"/>
  <c r="F61" i="40"/>
  <c r="B61" i="40"/>
  <c r="E60" i="40"/>
  <c r="D59" i="40"/>
  <c r="G58" i="40"/>
  <c r="C58" i="40"/>
  <c r="G56" i="40"/>
  <c r="F56" i="40"/>
  <c r="E56" i="40"/>
  <c r="D56" i="40"/>
  <c r="C56" i="40"/>
  <c r="B56" i="40"/>
  <c r="G55" i="40"/>
  <c r="F55" i="40"/>
  <c r="E55" i="40"/>
  <c r="D55" i="40"/>
  <c r="C55" i="40"/>
  <c r="B55" i="40"/>
  <c r="G54" i="40"/>
  <c r="F54" i="40"/>
  <c r="E54" i="40"/>
  <c r="D54" i="40"/>
  <c r="C54" i="40"/>
  <c r="B54" i="40"/>
  <c r="G53" i="40"/>
  <c r="F53" i="40"/>
  <c r="E53" i="40"/>
  <c r="D53" i="40"/>
  <c r="C53" i="40"/>
  <c r="B53" i="40"/>
  <c r="A52" i="40"/>
  <c r="G51" i="40"/>
  <c r="F51" i="40"/>
  <c r="E51" i="40"/>
  <c r="D51" i="40"/>
  <c r="C51" i="40"/>
  <c r="B51" i="40"/>
  <c r="G50" i="40"/>
  <c r="F50" i="40"/>
  <c r="E50" i="40"/>
  <c r="D50" i="40"/>
  <c r="C50" i="40"/>
  <c r="B50" i="40"/>
  <c r="G49" i="40"/>
  <c r="F49" i="40"/>
  <c r="E49" i="40"/>
  <c r="D49" i="40"/>
  <c r="C49" i="40"/>
  <c r="B49" i="40"/>
  <c r="G48" i="40"/>
  <c r="F48" i="40"/>
  <c r="E48" i="40"/>
  <c r="D48" i="40"/>
  <c r="C48" i="40"/>
  <c r="B48" i="40"/>
  <c r="A47" i="40"/>
  <c r="G46" i="40"/>
  <c r="F46" i="40"/>
  <c r="E46" i="40"/>
  <c r="D46" i="40"/>
  <c r="C46" i="40"/>
  <c r="B46" i="40"/>
  <c r="A46" i="40"/>
  <c r="G45" i="40"/>
  <c r="F45" i="40"/>
  <c r="E45" i="40"/>
  <c r="D45" i="40"/>
  <c r="C45" i="40"/>
  <c r="B45" i="40"/>
  <c r="A45" i="40"/>
  <c r="G44" i="40"/>
  <c r="F44" i="40"/>
  <c r="E44" i="40"/>
  <c r="D44" i="40"/>
  <c r="C44" i="40"/>
  <c r="B44" i="40"/>
  <c r="A44" i="40"/>
  <c r="G43" i="40"/>
  <c r="F43" i="40"/>
  <c r="E43" i="40"/>
  <c r="D43" i="40"/>
  <c r="C43" i="40"/>
  <c r="B43" i="40"/>
  <c r="A43" i="40"/>
  <c r="A42" i="40"/>
  <c r="A41" i="40"/>
  <c r="G37" i="40"/>
  <c r="C37" i="40"/>
  <c r="G36" i="40"/>
  <c r="G61" i="40" s="1"/>
  <c r="F36" i="40"/>
  <c r="F37" i="40" s="1"/>
  <c r="E36" i="40"/>
  <c r="D36" i="40"/>
  <c r="D61" i="40" s="1"/>
  <c r="C36" i="40"/>
  <c r="C61" i="40" s="1"/>
  <c r="B36" i="40"/>
  <c r="B37" i="40" s="1"/>
  <c r="G35" i="40"/>
  <c r="G60" i="40" s="1"/>
  <c r="F35" i="40"/>
  <c r="F60" i="40" s="1"/>
  <c r="E35" i="40"/>
  <c r="D35" i="40"/>
  <c r="D60" i="40" s="1"/>
  <c r="C35" i="40"/>
  <c r="C60" i="40" s="1"/>
  <c r="B35" i="40"/>
  <c r="B60" i="40" s="1"/>
  <c r="G34" i="40"/>
  <c r="G59" i="40" s="1"/>
  <c r="F34" i="40"/>
  <c r="F59" i="40" s="1"/>
  <c r="E34" i="40"/>
  <c r="E59" i="40" s="1"/>
  <c r="D34" i="40"/>
  <c r="C34" i="40"/>
  <c r="C59" i="40" s="1"/>
  <c r="B34" i="40"/>
  <c r="B59" i="40" s="1"/>
  <c r="G33" i="40"/>
  <c r="F33" i="40"/>
  <c r="F58" i="40" s="1"/>
  <c r="E33" i="40"/>
  <c r="E58" i="40" s="1"/>
  <c r="D33" i="40"/>
  <c r="D58" i="40" s="1"/>
  <c r="C33" i="40"/>
  <c r="B33" i="40"/>
  <c r="B58" i="40" s="1"/>
  <c r="A32" i="40"/>
  <c r="A57" i="40" s="1"/>
  <c r="A26" i="40"/>
  <c r="A51" i="40" s="1"/>
  <c r="A25" i="40"/>
  <c r="A50" i="40" s="1"/>
  <c r="A24" i="40"/>
  <c r="A49" i="40" s="1"/>
  <c r="A23" i="40"/>
  <c r="A28" i="40" s="1"/>
  <c r="E16" i="40"/>
  <c r="B16" i="40"/>
  <c r="B15" i="40"/>
  <c r="B40" i="40" s="1"/>
  <c r="F206" i="38"/>
  <c r="D206" i="38"/>
  <c r="B206" i="38"/>
  <c r="G205" i="38"/>
  <c r="E205" i="38"/>
  <c r="C205" i="38"/>
  <c r="F204" i="38"/>
  <c r="D204" i="38"/>
  <c r="B204" i="38"/>
  <c r="G203" i="38"/>
  <c r="E203" i="38"/>
  <c r="C203" i="38"/>
  <c r="G201" i="38"/>
  <c r="F201" i="38"/>
  <c r="E201" i="38"/>
  <c r="D201" i="38"/>
  <c r="C201" i="38"/>
  <c r="B201" i="38"/>
  <c r="G200" i="38"/>
  <c r="F200" i="38"/>
  <c r="E200" i="38"/>
  <c r="D200" i="38"/>
  <c r="C200" i="38"/>
  <c r="B200" i="38"/>
  <c r="G199" i="38"/>
  <c r="F199" i="38"/>
  <c r="E199" i="38"/>
  <c r="D199" i="38"/>
  <c r="C199" i="38"/>
  <c r="B199" i="38"/>
  <c r="G198" i="38"/>
  <c r="F198" i="38"/>
  <c r="E198" i="38"/>
  <c r="D198" i="38"/>
  <c r="C198" i="38"/>
  <c r="B198" i="38"/>
  <c r="A197" i="38"/>
  <c r="G196" i="38"/>
  <c r="F196" i="38"/>
  <c r="E196" i="38"/>
  <c r="D196" i="38"/>
  <c r="C196" i="38"/>
  <c r="B196" i="38"/>
  <c r="G195" i="38"/>
  <c r="F195" i="38"/>
  <c r="E195" i="38"/>
  <c r="D195" i="38"/>
  <c r="C195" i="38"/>
  <c r="B195" i="38"/>
  <c r="G194" i="38"/>
  <c r="F194" i="38"/>
  <c r="E194" i="38"/>
  <c r="D194" i="38"/>
  <c r="C194" i="38"/>
  <c r="B194" i="38"/>
  <c r="G193" i="38"/>
  <c r="F193" i="38"/>
  <c r="E193" i="38"/>
  <c r="D193" i="38"/>
  <c r="C193" i="38"/>
  <c r="B193" i="38"/>
  <c r="A192" i="38"/>
  <c r="G191" i="38"/>
  <c r="F191" i="38"/>
  <c r="E191" i="38"/>
  <c r="D191" i="38"/>
  <c r="C191" i="38"/>
  <c r="B191" i="38"/>
  <c r="A191" i="38"/>
  <c r="G190" i="38"/>
  <c r="F190" i="38"/>
  <c r="E190" i="38"/>
  <c r="D190" i="38"/>
  <c r="C190" i="38"/>
  <c r="B190" i="38"/>
  <c r="A190" i="38"/>
  <c r="G189" i="38"/>
  <c r="F189" i="38"/>
  <c r="E189" i="38"/>
  <c r="D189" i="38"/>
  <c r="C189" i="38"/>
  <c r="B189" i="38"/>
  <c r="A189" i="38"/>
  <c r="G188" i="38"/>
  <c r="F188" i="38"/>
  <c r="E188" i="38"/>
  <c r="D188" i="38"/>
  <c r="C188" i="38"/>
  <c r="B188" i="38"/>
  <c r="A188" i="38"/>
  <c r="A187" i="38"/>
  <c r="A186" i="38"/>
  <c r="G181" i="38"/>
  <c r="G206" i="38" s="1"/>
  <c r="F181" i="38"/>
  <c r="E181" i="38"/>
  <c r="E206" i="38" s="1"/>
  <c r="D181" i="38"/>
  <c r="C181" i="38"/>
  <c r="C206" i="38" s="1"/>
  <c r="B181" i="38"/>
  <c r="G180" i="38"/>
  <c r="F180" i="38"/>
  <c r="F205" i="38" s="1"/>
  <c r="E180" i="38"/>
  <c r="D180" i="38"/>
  <c r="D205" i="38" s="1"/>
  <c r="C180" i="38"/>
  <c r="B180" i="38"/>
  <c r="B205" i="38" s="1"/>
  <c r="G179" i="38"/>
  <c r="G204" i="38" s="1"/>
  <c r="F179" i="38"/>
  <c r="E179" i="38"/>
  <c r="E204" i="38" s="1"/>
  <c r="D179" i="38"/>
  <c r="C179" i="38"/>
  <c r="C204" i="38" s="1"/>
  <c r="B179" i="38"/>
  <c r="G178" i="38"/>
  <c r="F178" i="38"/>
  <c r="F203" i="38" s="1"/>
  <c r="E178" i="38"/>
  <c r="D178" i="38"/>
  <c r="D203" i="38" s="1"/>
  <c r="C178" i="38"/>
  <c r="B178" i="38"/>
  <c r="B203" i="38" s="1"/>
  <c r="A177" i="38"/>
  <c r="A202" i="38" s="1"/>
  <c r="A171" i="38"/>
  <c r="A176" i="38" s="1"/>
  <c r="A170" i="38"/>
  <c r="A195" i="38" s="1"/>
  <c r="A169" i="38"/>
  <c r="A194" i="38" s="1"/>
  <c r="A168" i="38"/>
  <c r="A193" i="38" s="1"/>
  <c r="E161" i="38"/>
  <c r="B161" i="38"/>
  <c r="B160" i="38"/>
  <c r="B185" i="38" s="1"/>
  <c r="F153" i="38"/>
  <c r="D153" i="38"/>
  <c r="B153" i="38"/>
  <c r="F152" i="38"/>
  <c r="D152" i="38"/>
  <c r="B152" i="38"/>
  <c r="G148" i="38"/>
  <c r="F148" i="38"/>
  <c r="G149" i="38" s="1"/>
  <c r="E148" i="38"/>
  <c r="D148" i="38"/>
  <c r="E149" i="38" s="1"/>
  <c r="C148" i="38"/>
  <c r="B148" i="38"/>
  <c r="C149" i="38" s="1"/>
  <c r="A148" i="38"/>
  <c r="G146" i="38"/>
  <c r="F146" i="38"/>
  <c r="G147" i="38" s="1"/>
  <c r="E146" i="38"/>
  <c r="D146" i="38"/>
  <c r="E147" i="38" s="1"/>
  <c r="C146" i="38"/>
  <c r="B146" i="38"/>
  <c r="C147" i="38" s="1"/>
  <c r="A146" i="38"/>
  <c r="G144" i="38"/>
  <c r="F144" i="38"/>
  <c r="G145" i="38" s="1"/>
  <c r="E144" i="38"/>
  <c r="D144" i="38"/>
  <c r="E145" i="38" s="1"/>
  <c r="C144" i="38"/>
  <c r="B144" i="38"/>
  <c r="C145" i="38" s="1"/>
  <c r="A144" i="38"/>
  <c r="G142" i="38"/>
  <c r="F142" i="38"/>
  <c r="G143" i="38" s="1"/>
  <c r="E142" i="38"/>
  <c r="D142" i="38"/>
  <c r="E143" i="38" s="1"/>
  <c r="C142" i="38"/>
  <c r="B142" i="38"/>
  <c r="C143" i="38" s="1"/>
  <c r="A142" i="38"/>
  <c r="G140" i="38"/>
  <c r="F140" i="38"/>
  <c r="G141" i="38" s="1"/>
  <c r="E140" i="38"/>
  <c r="D140" i="38"/>
  <c r="E141" i="38" s="1"/>
  <c r="C140" i="38"/>
  <c r="B140" i="38"/>
  <c r="C141" i="38" s="1"/>
  <c r="A140" i="38"/>
  <c r="C139" i="38"/>
  <c r="G138" i="38"/>
  <c r="G150" i="38" s="1"/>
  <c r="F138" i="38"/>
  <c r="F150" i="38" s="1"/>
  <c r="E138" i="38"/>
  <c r="E150" i="38" s="1"/>
  <c r="D138" i="38"/>
  <c r="E139" i="38" s="1"/>
  <c r="C138" i="38"/>
  <c r="C150" i="38" s="1"/>
  <c r="B138" i="38"/>
  <c r="B150" i="38" s="1"/>
  <c r="A138" i="38"/>
  <c r="A137" i="38"/>
  <c r="B136" i="38"/>
  <c r="G132" i="38"/>
  <c r="G152" i="38" s="1"/>
  <c r="F132" i="38"/>
  <c r="E132" i="38"/>
  <c r="E153" i="38" s="1"/>
  <c r="D132" i="38"/>
  <c r="C132" i="38"/>
  <c r="C152" i="38" s="1"/>
  <c r="B132" i="38"/>
  <c r="G128" i="38"/>
  <c r="G129" i="38" s="1"/>
  <c r="F128" i="38"/>
  <c r="F129" i="38" s="1"/>
  <c r="E128" i="38"/>
  <c r="E129" i="38" s="1"/>
  <c r="D128" i="38"/>
  <c r="D129" i="38" s="1"/>
  <c r="C128" i="38"/>
  <c r="C129" i="38" s="1"/>
  <c r="B128" i="38"/>
  <c r="B129" i="38" s="1"/>
  <c r="A128" i="38"/>
  <c r="A150" i="38" s="1"/>
  <c r="E121" i="38"/>
  <c r="B121" i="38"/>
  <c r="A121" i="38"/>
  <c r="B120" i="38"/>
  <c r="G111" i="38"/>
  <c r="F111" i="38"/>
  <c r="E111" i="38"/>
  <c r="D111" i="38"/>
  <c r="C111" i="38"/>
  <c r="B111" i="38"/>
  <c r="A111" i="38"/>
  <c r="G110" i="38"/>
  <c r="F110" i="38"/>
  <c r="E110" i="38"/>
  <c r="D110" i="38"/>
  <c r="C110" i="38"/>
  <c r="B110" i="38"/>
  <c r="A110" i="38"/>
  <c r="A109" i="38"/>
  <c r="G108" i="38"/>
  <c r="F108" i="38"/>
  <c r="E108" i="38"/>
  <c r="D108" i="38"/>
  <c r="C108" i="38"/>
  <c r="B108" i="38"/>
  <c r="A108" i="38"/>
  <c r="G107" i="38"/>
  <c r="E107" i="38"/>
  <c r="C107" i="38"/>
  <c r="A107" i="38"/>
  <c r="B106" i="38"/>
  <c r="A106" i="38"/>
  <c r="G95" i="38"/>
  <c r="F95" i="38"/>
  <c r="F107" i="38" s="1"/>
  <c r="E95" i="38"/>
  <c r="D95" i="38"/>
  <c r="D107" i="38" s="1"/>
  <c r="C95" i="38"/>
  <c r="B95" i="38"/>
  <c r="G94" i="38"/>
  <c r="G106" i="38" s="1"/>
  <c r="F94" i="38"/>
  <c r="F106" i="38" s="1"/>
  <c r="E94" i="38"/>
  <c r="E106" i="38" s="1"/>
  <c r="D94" i="38"/>
  <c r="D106" i="38" s="1"/>
  <c r="C94" i="38"/>
  <c r="C106" i="38" s="1"/>
  <c r="E93" i="38"/>
  <c r="B93" i="38"/>
  <c r="A93" i="38"/>
  <c r="A105" i="38" s="1"/>
  <c r="B92" i="38"/>
  <c r="B104" i="38" s="1"/>
  <c r="G83" i="38"/>
  <c r="E83" i="38"/>
  <c r="C83" i="38"/>
  <c r="A83" i="38"/>
  <c r="A84" i="38" s="1"/>
  <c r="A81" i="38"/>
  <c r="A82" i="38" s="1"/>
  <c r="G74" i="38"/>
  <c r="F74" i="38"/>
  <c r="F83" i="38" s="1"/>
  <c r="E74" i="38"/>
  <c r="D74" i="38"/>
  <c r="C74" i="38"/>
  <c r="B74" i="38"/>
  <c r="B83" i="38" s="1"/>
  <c r="E71" i="38"/>
  <c r="B71" i="38"/>
  <c r="A71" i="38"/>
  <c r="A79" i="38" s="1"/>
  <c r="B70" i="38"/>
  <c r="B78" i="38" s="1"/>
  <c r="G63" i="38"/>
  <c r="F63" i="38"/>
  <c r="E63" i="38"/>
  <c r="D63" i="38"/>
  <c r="C63" i="38"/>
  <c r="B63" i="38"/>
  <c r="G62" i="38"/>
  <c r="F62" i="38"/>
  <c r="E62" i="38"/>
  <c r="D62" i="38"/>
  <c r="C62" i="38"/>
  <c r="B62" i="38"/>
  <c r="A62" i="38"/>
  <c r="G61" i="38"/>
  <c r="F61" i="38"/>
  <c r="E61" i="38"/>
  <c r="D61" i="38"/>
  <c r="C61" i="38"/>
  <c r="B61" i="38"/>
  <c r="G60" i="38"/>
  <c r="F60" i="38"/>
  <c r="E60" i="38"/>
  <c r="D60" i="38"/>
  <c r="C60" i="38"/>
  <c r="B60" i="38"/>
  <c r="A60" i="38"/>
  <c r="G59" i="38"/>
  <c r="G64" i="38" s="1"/>
  <c r="F59" i="38"/>
  <c r="F64" i="38" s="1"/>
  <c r="E59" i="38"/>
  <c r="E64" i="38" s="1"/>
  <c r="D59" i="38"/>
  <c r="D64" i="38" s="1"/>
  <c r="C59" i="38"/>
  <c r="C64" i="38" s="1"/>
  <c r="B59" i="38"/>
  <c r="B64" i="38" s="1"/>
  <c r="A55" i="38"/>
  <c r="A51" i="38"/>
  <c r="A63" i="38" s="1"/>
  <c r="A50" i="38"/>
  <c r="A49" i="38"/>
  <c r="A61" i="38" s="1"/>
  <c r="A47" i="38"/>
  <c r="A59" i="38" s="1"/>
  <c r="E44" i="38"/>
  <c r="B44" i="38"/>
  <c r="A44" i="38"/>
  <c r="A57" i="38" s="1"/>
  <c r="B43" i="38"/>
  <c r="B56" i="38" s="1"/>
  <c r="G34" i="38"/>
  <c r="F34" i="38"/>
  <c r="E34" i="38"/>
  <c r="D34" i="38"/>
  <c r="C34" i="38"/>
  <c r="B34" i="38"/>
  <c r="A34" i="38"/>
  <c r="G33" i="38"/>
  <c r="F33" i="38"/>
  <c r="E33" i="38"/>
  <c r="D33" i="38"/>
  <c r="C33" i="38"/>
  <c r="B33" i="38"/>
  <c r="A33" i="38"/>
  <c r="G32" i="38"/>
  <c r="G35" i="38" s="1"/>
  <c r="F32" i="38"/>
  <c r="E32" i="38"/>
  <c r="E35" i="38" s="1"/>
  <c r="D32" i="38"/>
  <c r="C32" i="38"/>
  <c r="C35" i="38" s="1"/>
  <c r="B32" i="38"/>
  <c r="A32" i="38"/>
  <c r="G31" i="38"/>
  <c r="F31" i="38"/>
  <c r="F35" i="38" s="1"/>
  <c r="E31" i="38"/>
  <c r="D31" i="38"/>
  <c r="D35" i="38" s="1"/>
  <c r="C31" i="38"/>
  <c r="B31" i="38"/>
  <c r="B35" i="38" s="1"/>
  <c r="A31" i="38"/>
  <c r="E24" i="38"/>
  <c r="G18" i="38"/>
  <c r="G24" i="38" s="1"/>
  <c r="F18" i="38"/>
  <c r="F24" i="38" s="1"/>
  <c r="E18" i="38"/>
  <c r="D18" i="38"/>
  <c r="D24" i="38" s="1"/>
  <c r="C18" i="38"/>
  <c r="C24" i="38" s="1"/>
  <c r="B18" i="38"/>
  <c r="B24" i="38" s="1"/>
  <c r="A18" i="38"/>
  <c r="A28" i="38" s="1"/>
  <c r="E16" i="38"/>
  <c r="B16" i="38"/>
  <c r="A16" i="38"/>
  <c r="A30" i="38" s="1"/>
  <c r="B15" i="38"/>
  <c r="B29" i="38" s="1"/>
  <c r="A179" i="37"/>
  <c r="A178" i="37"/>
  <c r="E177" i="37"/>
  <c r="F177" i="37" s="1"/>
  <c r="N175" i="37" s="1"/>
  <c r="N180" i="37" s="1"/>
  <c r="D177" i="37"/>
  <c r="A177" i="37"/>
  <c r="E176" i="37"/>
  <c r="M174" i="37" s="1"/>
  <c r="M179" i="37" s="1"/>
  <c r="D176" i="37"/>
  <c r="A176" i="37"/>
  <c r="E175" i="37"/>
  <c r="D175" i="37"/>
  <c r="L173" i="37" s="1"/>
  <c r="L178" i="37" s="1"/>
  <c r="A175" i="37"/>
  <c r="N174" i="37"/>
  <c r="N179" i="37" s="1"/>
  <c r="L174" i="37"/>
  <c r="L179" i="37" s="1"/>
  <c r="E174" i="37"/>
  <c r="F174" i="37" s="1"/>
  <c r="K175" i="37" s="1"/>
  <c r="K180" i="37" s="1"/>
  <c r="D174" i="37"/>
  <c r="A174" i="37"/>
  <c r="N173" i="37"/>
  <c r="M173" i="37"/>
  <c r="M178" i="37" s="1"/>
  <c r="K173" i="37"/>
  <c r="K178" i="37" s="1"/>
  <c r="F173" i="37"/>
  <c r="F175" i="37" s="1"/>
  <c r="L175" i="37" s="1"/>
  <c r="L180" i="37" s="1"/>
  <c r="E173" i="37"/>
  <c r="D173" i="37"/>
  <c r="N178" i="37" s="1"/>
  <c r="A173" i="37"/>
  <c r="A172" i="37"/>
  <c r="J172" i="37" s="1"/>
  <c r="B161" i="37"/>
  <c r="B162" i="37" s="1"/>
  <c r="B159" i="37"/>
  <c r="B160" i="37" s="1"/>
  <c r="B158" i="37"/>
  <c r="G156" i="37"/>
  <c r="F156" i="37"/>
  <c r="D156" i="37"/>
  <c r="B156" i="37"/>
  <c r="E151" i="37"/>
  <c r="E161" i="37" s="1"/>
  <c r="E162" i="37" s="1"/>
  <c r="E150" i="37"/>
  <c r="E159" i="37" s="1"/>
  <c r="E149" i="37"/>
  <c r="E158" i="37" s="1"/>
  <c r="G148" i="37"/>
  <c r="G157" i="37" s="1"/>
  <c r="E147" i="37"/>
  <c r="E156" i="37" s="1"/>
  <c r="G146" i="37"/>
  <c r="G155" i="37" s="1"/>
  <c r="D146" i="37"/>
  <c r="D155" i="37" s="1"/>
  <c r="G131" i="37"/>
  <c r="F131" i="37"/>
  <c r="E131" i="37"/>
  <c r="D131" i="37"/>
  <c r="C131" i="37"/>
  <c r="B131" i="37"/>
  <c r="I130" i="37"/>
  <c r="G129" i="37"/>
  <c r="F129" i="37"/>
  <c r="E129" i="37"/>
  <c r="D129" i="37"/>
  <c r="C129" i="37"/>
  <c r="B129" i="37"/>
  <c r="I128" i="37"/>
  <c r="I127" i="37"/>
  <c r="F98" i="37"/>
  <c r="F97" i="37"/>
  <c r="E95" i="37"/>
  <c r="D95" i="37"/>
  <c r="A95" i="37"/>
  <c r="E94" i="37"/>
  <c r="D94" i="37"/>
  <c r="N90" i="37" s="1"/>
  <c r="A94" i="37"/>
  <c r="E93" i="37"/>
  <c r="D93" i="37"/>
  <c r="A93" i="37"/>
  <c r="R92" i="37"/>
  <c r="R97" i="37" s="1"/>
  <c r="Q92" i="37"/>
  <c r="Q97" i="37" s="1"/>
  <c r="P92" i="37"/>
  <c r="P97" i="37" s="1"/>
  <c r="O92" i="37"/>
  <c r="O97" i="37" s="1"/>
  <c r="N92" i="37"/>
  <c r="N97" i="37" s="1"/>
  <c r="M92" i="37"/>
  <c r="M97" i="37" s="1"/>
  <c r="L92" i="37"/>
  <c r="L97" i="37" s="1"/>
  <c r="K92" i="37"/>
  <c r="K97" i="37" s="1"/>
  <c r="E92" i="37"/>
  <c r="L91" i="37" s="1"/>
  <c r="D92" i="37"/>
  <c r="A92" i="37"/>
  <c r="O91" i="37"/>
  <c r="N91" i="37"/>
  <c r="M91" i="37"/>
  <c r="K91" i="37"/>
  <c r="E91" i="37"/>
  <c r="D91" i="37"/>
  <c r="A91" i="37"/>
  <c r="O90" i="37"/>
  <c r="M90" i="37"/>
  <c r="L90" i="37"/>
  <c r="K90" i="37"/>
  <c r="F90" i="37"/>
  <c r="F99" i="37" s="1"/>
  <c r="G82" i="37"/>
  <c r="F82" i="37"/>
  <c r="E82" i="37"/>
  <c r="D82" i="37"/>
  <c r="G81" i="37"/>
  <c r="F81" i="37"/>
  <c r="E81" i="37"/>
  <c r="D81" i="37"/>
  <c r="G80" i="37"/>
  <c r="F80" i="37"/>
  <c r="E80" i="37"/>
  <c r="D80" i="37"/>
  <c r="G79" i="37"/>
  <c r="F79" i="37"/>
  <c r="E79" i="37"/>
  <c r="D79" i="37"/>
  <c r="G78" i="37"/>
  <c r="F78" i="37"/>
  <c r="A77" i="37"/>
  <c r="G76" i="37"/>
  <c r="F76" i="37"/>
  <c r="E76" i="37"/>
  <c r="D76" i="37"/>
  <c r="G75" i="37"/>
  <c r="F75" i="37"/>
  <c r="E75" i="37"/>
  <c r="D75" i="37"/>
  <c r="G74" i="37"/>
  <c r="F74" i="37"/>
  <c r="E74" i="37"/>
  <c r="D74" i="37"/>
  <c r="G73" i="37"/>
  <c r="F73" i="37"/>
  <c r="E73" i="37"/>
  <c r="D73" i="37"/>
  <c r="G72" i="37"/>
  <c r="F72" i="37"/>
  <c r="A71" i="37"/>
  <c r="A70" i="37"/>
  <c r="D69" i="37"/>
  <c r="A69" i="37"/>
  <c r="D68" i="37"/>
  <c r="A68" i="37"/>
  <c r="D67" i="37"/>
  <c r="A67" i="37"/>
  <c r="G66" i="37"/>
  <c r="F66" i="37"/>
  <c r="G64" i="37"/>
  <c r="F64" i="37"/>
  <c r="E64" i="37"/>
  <c r="G60" i="37"/>
  <c r="F60" i="37"/>
  <c r="E60" i="37"/>
  <c r="D60" i="37"/>
  <c r="G59" i="37"/>
  <c r="F59" i="37"/>
  <c r="E59" i="37"/>
  <c r="D59" i="37"/>
  <c r="G58" i="37"/>
  <c r="F58" i="37"/>
  <c r="E58" i="37"/>
  <c r="D58" i="37"/>
  <c r="G57" i="37"/>
  <c r="F57" i="37"/>
  <c r="E57" i="37"/>
  <c r="D57" i="37"/>
  <c r="G56" i="37"/>
  <c r="F56" i="37"/>
  <c r="G55" i="37"/>
  <c r="F55" i="37"/>
  <c r="E55" i="37"/>
  <c r="D55" i="37"/>
  <c r="G54" i="37"/>
  <c r="F54" i="37"/>
  <c r="E54" i="37"/>
  <c r="D54" i="37"/>
  <c r="A54" i="37"/>
  <c r="G53" i="37"/>
  <c r="F53" i="37"/>
  <c r="E53" i="37"/>
  <c r="D53" i="37"/>
  <c r="G52" i="37"/>
  <c r="F52" i="37"/>
  <c r="E52" i="37"/>
  <c r="D52" i="37"/>
  <c r="G51" i="37"/>
  <c r="F51" i="37"/>
  <c r="A50" i="37"/>
  <c r="D49" i="37"/>
  <c r="A49" i="37"/>
  <c r="D48" i="37"/>
  <c r="A48" i="37"/>
  <c r="M47" i="37"/>
  <c r="L47" i="37"/>
  <c r="K47" i="37"/>
  <c r="D47" i="37"/>
  <c r="A47" i="37"/>
  <c r="G46" i="37"/>
  <c r="F46" i="37"/>
  <c r="G44" i="37"/>
  <c r="F44" i="37"/>
  <c r="E44" i="37"/>
  <c r="G41" i="37"/>
  <c r="F41" i="37"/>
  <c r="G35" i="37"/>
  <c r="F35" i="37"/>
  <c r="A33" i="37"/>
  <c r="A31" i="37"/>
  <c r="G29" i="37"/>
  <c r="G77" i="37" s="1"/>
  <c r="F29" i="37"/>
  <c r="F77" i="37" s="1"/>
  <c r="A28" i="37"/>
  <c r="A27" i="37"/>
  <c r="A75" i="37" s="1"/>
  <c r="A26" i="37"/>
  <c r="A25" i="37"/>
  <c r="A73" i="37" s="1"/>
  <c r="M21" i="37"/>
  <c r="L21" i="37"/>
  <c r="K21" i="37"/>
  <c r="F707" i="36"/>
  <c r="F705" i="36"/>
  <c r="G703" i="36"/>
  <c r="F703" i="36"/>
  <c r="E703" i="36"/>
  <c r="A703" i="36"/>
  <c r="G702" i="36"/>
  <c r="F702" i="36"/>
  <c r="E702" i="36"/>
  <c r="A702" i="36"/>
  <c r="G701" i="36"/>
  <c r="G705" i="36" s="1"/>
  <c r="F701" i="36"/>
  <c r="F706" i="36" s="1"/>
  <c r="E701" i="36"/>
  <c r="E706" i="36" s="1"/>
  <c r="A701" i="36"/>
  <c r="A698" i="36"/>
  <c r="A683" i="36"/>
  <c r="A700" i="36" s="1"/>
  <c r="A673" i="36"/>
  <c r="E668" i="36"/>
  <c r="E669" i="36" s="1"/>
  <c r="D668" i="36"/>
  <c r="D669" i="36" s="1"/>
  <c r="C668" i="36"/>
  <c r="C669" i="36" s="1"/>
  <c r="A666" i="36"/>
  <c r="E662" i="36"/>
  <c r="E661" i="36"/>
  <c r="D661" i="36"/>
  <c r="D662" i="36" s="1"/>
  <c r="C661" i="36"/>
  <c r="C662" i="36" s="1"/>
  <c r="A659" i="36"/>
  <c r="E654" i="36"/>
  <c r="E655" i="36" s="1"/>
  <c r="D654" i="36"/>
  <c r="C654" i="36"/>
  <c r="C655" i="36" s="1"/>
  <c r="E653" i="36"/>
  <c r="E667" i="36" s="1"/>
  <c r="D653" i="36"/>
  <c r="D655" i="36" s="1"/>
  <c r="C653" i="36"/>
  <c r="A652" i="36"/>
  <c r="C648" i="36"/>
  <c r="E647" i="36"/>
  <c r="E648" i="36" s="1"/>
  <c r="D647" i="36"/>
  <c r="D648" i="36" s="1"/>
  <c r="C647" i="36"/>
  <c r="E646" i="36"/>
  <c r="D646" i="36"/>
  <c r="C646" i="36"/>
  <c r="A645" i="36"/>
  <c r="A672" i="36" s="1"/>
  <c r="E640" i="36"/>
  <c r="E641" i="36" s="1"/>
  <c r="D640" i="36"/>
  <c r="D641" i="36" s="1"/>
  <c r="C640" i="36"/>
  <c r="C641" i="36" s="1"/>
  <c r="E639" i="36"/>
  <c r="D639" i="36"/>
  <c r="D660" i="36" s="1"/>
  <c r="C639" i="36"/>
  <c r="C660" i="36" s="1"/>
  <c r="A638" i="36"/>
  <c r="E633" i="36"/>
  <c r="E634" i="36" s="1"/>
  <c r="D633" i="36"/>
  <c r="D634" i="36" s="1"/>
  <c r="C633" i="36"/>
  <c r="C634" i="36" s="1"/>
  <c r="E632" i="36"/>
  <c r="E660" i="36" s="1"/>
  <c r="D632" i="36"/>
  <c r="C632" i="36"/>
  <c r="A631" i="36"/>
  <c r="E628" i="36"/>
  <c r="D628" i="36"/>
  <c r="C628" i="36"/>
  <c r="A612" i="36"/>
  <c r="B628" i="36" s="1"/>
  <c r="E600" i="36"/>
  <c r="G598" i="36"/>
  <c r="F598" i="36"/>
  <c r="E598" i="36"/>
  <c r="D598" i="36"/>
  <c r="D601" i="36" s="1"/>
  <c r="C598" i="36"/>
  <c r="B598" i="36"/>
  <c r="A598" i="36"/>
  <c r="G597" i="36"/>
  <c r="G601" i="36" s="1"/>
  <c r="F597" i="36"/>
  <c r="E597" i="36"/>
  <c r="D597" i="36"/>
  <c r="C597" i="36"/>
  <c r="C601" i="36" s="1"/>
  <c r="B597" i="36"/>
  <c r="A597" i="36"/>
  <c r="G596" i="36"/>
  <c r="G602" i="36" s="1"/>
  <c r="F596" i="36"/>
  <c r="F601" i="36" s="1"/>
  <c r="E596" i="36"/>
  <c r="E601" i="36" s="1"/>
  <c r="D596" i="36"/>
  <c r="D602" i="36" s="1"/>
  <c r="C596" i="36"/>
  <c r="C602" i="36" s="1"/>
  <c r="B596" i="36"/>
  <c r="B601" i="36" s="1"/>
  <c r="A596" i="36"/>
  <c r="G595" i="36"/>
  <c r="J595" i="36" s="1"/>
  <c r="A587" i="36" s="1"/>
  <c r="F595" i="36"/>
  <c r="E595" i="36"/>
  <c r="D595" i="36"/>
  <c r="C595" i="36"/>
  <c r="B595" i="36"/>
  <c r="A595" i="36"/>
  <c r="G594" i="36"/>
  <c r="J594" i="36" s="1"/>
  <c r="F594" i="36"/>
  <c r="E594" i="36"/>
  <c r="D594" i="36"/>
  <c r="I594" i="36" s="1"/>
  <c r="C594" i="36"/>
  <c r="B594" i="36"/>
  <c r="J593" i="36"/>
  <c r="I593" i="36"/>
  <c r="A591" i="36"/>
  <c r="A573" i="36"/>
  <c r="G566" i="36"/>
  <c r="G565" i="36"/>
  <c r="F565" i="36"/>
  <c r="G563" i="36"/>
  <c r="F563" i="36"/>
  <c r="E563" i="36"/>
  <c r="A563" i="36"/>
  <c r="G562" i="36"/>
  <c r="F562" i="36"/>
  <c r="E562" i="36"/>
  <c r="A562" i="36"/>
  <c r="G561" i="36"/>
  <c r="G567" i="36" s="1"/>
  <c r="F561" i="36"/>
  <c r="E561" i="36"/>
  <c r="A561" i="36"/>
  <c r="A558" i="36"/>
  <c r="A543" i="36"/>
  <c r="A560" i="36" s="1"/>
  <c r="C535" i="36"/>
  <c r="G533" i="36"/>
  <c r="G531" i="36"/>
  <c r="F531" i="36"/>
  <c r="E531" i="36"/>
  <c r="E534" i="36" s="1"/>
  <c r="D531" i="36"/>
  <c r="D534" i="36" s="1"/>
  <c r="C531" i="36"/>
  <c r="B531" i="36"/>
  <c r="A531" i="36"/>
  <c r="G530" i="36"/>
  <c r="F530" i="36"/>
  <c r="E530" i="36"/>
  <c r="D530" i="36"/>
  <c r="C530" i="36"/>
  <c r="B530" i="36"/>
  <c r="A530" i="36"/>
  <c r="G529" i="36"/>
  <c r="F529" i="36"/>
  <c r="F534" i="36" s="1"/>
  <c r="E529" i="36"/>
  <c r="E535" i="36" s="1"/>
  <c r="D529" i="36"/>
  <c r="C529" i="36"/>
  <c r="B529" i="36"/>
  <c r="B534" i="36" s="1"/>
  <c r="A529" i="36"/>
  <c r="G528" i="36"/>
  <c r="J528" i="36" s="1"/>
  <c r="F528" i="36"/>
  <c r="E528" i="36"/>
  <c r="D528" i="36"/>
  <c r="I528" i="36" s="1"/>
  <c r="C528" i="36"/>
  <c r="B528" i="36"/>
  <c r="A528" i="36"/>
  <c r="B527" i="36"/>
  <c r="J526" i="36"/>
  <c r="I526" i="36"/>
  <c r="A524" i="36"/>
  <c r="A506" i="36"/>
  <c r="E499" i="36"/>
  <c r="B499" i="36"/>
  <c r="H498" i="36"/>
  <c r="E498" i="36"/>
  <c r="D498" i="36"/>
  <c r="H497" i="36"/>
  <c r="D497" i="36"/>
  <c r="C497" i="36"/>
  <c r="H495" i="36"/>
  <c r="G495" i="36"/>
  <c r="F495" i="36"/>
  <c r="E495" i="36"/>
  <c r="D495" i="36"/>
  <c r="C495" i="36"/>
  <c r="B495" i="36"/>
  <c r="A495" i="36"/>
  <c r="H494" i="36"/>
  <c r="G494" i="36"/>
  <c r="F494" i="36"/>
  <c r="E494" i="36"/>
  <c r="D494" i="36"/>
  <c r="C494" i="36"/>
  <c r="B494" i="36"/>
  <c r="A494" i="36"/>
  <c r="H493" i="36"/>
  <c r="H499" i="36" s="1"/>
  <c r="G493" i="36"/>
  <c r="F493" i="36"/>
  <c r="E493" i="36"/>
  <c r="E497" i="36" s="1"/>
  <c r="D493" i="36"/>
  <c r="D499" i="36" s="1"/>
  <c r="I499" i="36" s="1"/>
  <c r="C493" i="36"/>
  <c r="B493" i="36"/>
  <c r="A493" i="36"/>
  <c r="J491" i="36"/>
  <c r="I491" i="36"/>
  <c r="A489" i="36"/>
  <c r="A473" i="36"/>
  <c r="F467" i="36"/>
  <c r="E467" i="36"/>
  <c r="E466" i="36"/>
  <c r="G463" i="36"/>
  <c r="F463" i="36"/>
  <c r="E463" i="36"/>
  <c r="A463" i="36"/>
  <c r="G462" i="36"/>
  <c r="F462" i="36"/>
  <c r="E462" i="36"/>
  <c r="A462" i="36"/>
  <c r="G461" i="36"/>
  <c r="F461" i="36"/>
  <c r="E461" i="36"/>
  <c r="E465" i="36" s="1"/>
  <c r="A461" i="36"/>
  <c r="G445" i="36"/>
  <c r="G460" i="36" s="1"/>
  <c r="F445" i="36"/>
  <c r="F460" i="36" s="1"/>
  <c r="E445" i="36"/>
  <c r="E460" i="36" s="1"/>
  <c r="A445" i="36"/>
  <c r="A458" i="36" s="1"/>
  <c r="A443" i="36"/>
  <c r="A460" i="36" s="1"/>
  <c r="G433" i="36"/>
  <c r="G436" i="36" s="1"/>
  <c r="F433" i="36"/>
  <c r="F436" i="36" s="1"/>
  <c r="E433" i="36"/>
  <c r="D433" i="36"/>
  <c r="C433" i="36"/>
  <c r="C436" i="36" s="1"/>
  <c r="B433" i="36"/>
  <c r="B436" i="36" s="1"/>
  <c r="A433" i="36"/>
  <c r="G432" i="36"/>
  <c r="F432" i="36"/>
  <c r="E432" i="36"/>
  <c r="D432" i="36"/>
  <c r="C432" i="36"/>
  <c r="B432" i="36"/>
  <c r="A432" i="36"/>
  <c r="G431" i="36"/>
  <c r="G437" i="36" s="1"/>
  <c r="F431" i="36"/>
  <c r="E431" i="36"/>
  <c r="D431" i="36"/>
  <c r="D436" i="36" s="1"/>
  <c r="C431" i="36"/>
  <c r="C437" i="36" s="1"/>
  <c r="B431" i="36"/>
  <c r="A431" i="36"/>
  <c r="J430" i="36"/>
  <c r="G430" i="36"/>
  <c r="F430" i="36"/>
  <c r="E430" i="36"/>
  <c r="D430" i="36"/>
  <c r="I430" i="36" s="1"/>
  <c r="C430" i="36"/>
  <c r="B430" i="36"/>
  <c r="J429" i="36"/>
  <c r="I429" i="36"/>
  <c r="A427" i="36"/>
  <c r="A411" i="36"/>
  <c r="G405" i="36"/>
  <c r="F405" i="36"/>
  <c r="G404" i="36"/>
  <c r="F404" i="36"/>
  <c r="F403" i="36"/>
  <c r="E403" i="36"/>
  <c r="G401" i="36"/>
  <c r="F401" i="36"/>
  <c r="E401" i="36"/>
  <c r="A401" i="36"/>
  <c r="G400" i="36"/>
  <c r="F400" i="36"/>
  <c r="E400" i="36"/>
  <c r="A400" i="36"/>
  <c r="G399" i="36"/>
  <c r="G403" i="36" s="1"/>
  <c r="F399" i="36"/>
  <c r="E399" i="36"/>
  <c r="A399" i="36"/>
  <c r="E398" i="36"/>
  <c r="G383" i="36"/>
  <c r="G398" i="36" s="1"/>
  <c r="F383" i="36"/>
  <c r="F398" i="36" s="1"/>
  <c r="E383" i="36"/>
  <c r="A383" i="36"/>
  <c r="A396" i="36" s="1"/>
  <c r="A381" i="36"/>
  <c r="A398" i="36" s="1"/>
  <c r="B374" i="36"/>
  <c r="F372" i="36"/>
  <c r="G370" i="36"/>
  <c r="F370" i="36"/>
  <c r="E370" i="36"/>
  <c r="E373" i="36" s="1"/>
  <c r="D370" i="36"/>
  <c r="D373" i="36" s="1"/>
  <c r="C370" i="36"/>
  <c r="B370" i="36"/>
  <c r="A370" i="36"/>
  <c r="G369" i="36"/>
  <c r="G372" i="36" s="1"/>
  <c r="F369" i="36"/>
  <c r="E369" i="36"/>
  <c r="D369" i="36"/>
  <c r="C369" i="36"/>
  <c r="B369" i="36"/>
  <c r="A369" i="36"/>
  <c r="G368" i="36"/>
  <c r="F368" i="36"/>
  <c r="F373" i="36" s="1"/>
  <c r="E368" i="36"/>
  <c r="E374" i="36" s="1"/>
  <c r="D368" i="36"/>
  <c r="D374" i="36" s="1"/>
  <c r="I374" i="36" s="1"/>
  <c r="C368" i="36"/>
  <c r="C374" i="36" s="1"/>
  <c r="B368" i="36"/>
  <c r="B373" i="36" s="1"/>
  <c r="A368" i="36"/>
  <c r="G367" i="36"/>
  <c r="J367" i="36" s="1"/>
  <c r="F367" i="36"/>
  <c r="E367" i="36"/>
  <c r="D367" i="36"/>
  <c r="I367" i="36" s="1"/>
  <c r="C367" i="36"/>
  <c r="B367" i="36"/>
  <c r="J366" i="36"/>
  <c r="I366" i="36"/>
  <c r="A364" i="36"/>
  <c r="A348" i="36"/>
  <c r="X342" i="36"/>
  <c r="W342" i="36"/>
  <c r="S342" i="36"/>
  <c r="R342" i="36"/>
  <c r="M342" i="36"/>
  <c r="D342" i="36"/>
  <c r="C342" i="36"/>
  <c r="J341" i="36"/>
  <c r="O341" i="36" s="1"/>
  <c r="T341" i="36" s="1"/>
  <c r="Y341" i="36" s="1"/>
  <c r="AD341" i="36" s="1"/>
  <c r="E341" i="36"/>
  <c r="D341" i="36"/>
  <c r="I341" i="36" s="1"/>
  <c r="N341" i="36" s="1"/>
  <c r="S341" i="36" s="1"/>
  <c r="X341" i="36" s="1"/>
  <c r="AC341" i="36" s="1"/>
  <c r="C341" i="36"/>
  <c r="H341" i="36" s="1"/>
  <c r="M341" i="36" s="1"/>
  <c r="R341" i="36" s="1"/>
  <c r="W341" i="36" s="1"/>
  <c r="AB341" i="36" s="1"/>
  <c r="C340" i="36"/>
  <c r="C335" i="36"/>
  <c r="B335" i="36"/>
  <c r="G333" i="36"/>
  <c r="F333" i="36"/>
  <c r="G331" i="36"/>
  <c r="AD342" i="36" s="1"/>
  <c r="F331" i="36"/>
  <c r="Y342" i="36" s="1"/>
  <c r="E331" i="36"/>
  <c r="T342" i="36" s="1"/>
  <c r="D331" i="36"/>
  <c r="O342" i="36" s="1"/>
  <c r="C331" i="36"/>
  <c r="J342" i="36" s="1"/>
  <c r="B331" i="36"/>
  <c r="E342" i="36" s="1"/>
  <c r="A331" i="36"/>
  <c r="G330" i="36"/>
  <c r="AC342" i="36" s="1"/>
  <c r="F330" i="36"/>
  <c r="E330" i="36"/>
  <c r="D330" i="36"/>
  <c r="N342" i="36" s="1"/>
  <c r="C330" i="36"/>
  <c r="I342" i="36" s="1"/>
  <c r="B330" i="36"/>
  <c r="A330" i="36"/>
  <c r="G329" i="36"/>
  <c r="G334" i="36" s="1"/>
  <c r="F329" i="36"/>
  <c r="F334" i="36" s="1"/>
  <c r="E329" i="36"/>
  <c r="E335" i="36" s="1"/>
  <c r="D329" i="36"/>
  <c r="C329" i="36"/>
  <c r="C334" i="36" s="1"/>
  <c r="B329" i="36"/>
  <c r="B334" i="36" s="1"/>
  <c r="A329" i="36"/>
  <c r="G328" i="36"/>
  <c r="J328" i="36" s="1"/>
  <c r="F328" i="36"/>
  <c r="E328" i="36"/>
  <c r="D328" i="36"/>
  <c r="I328" i="36" s="1"/>
  <c r="C328" i="36"/>
  <c r="B328" i="36"/>
  <c r="A328" i="36"/>
  <c r="J326" i="36"/>
  <c r="I326" i="36"/>
  <c r="A324" i="36"/>
  <c r="A321" i="36"/>
  <c r="A342" i="36" s="1"/>
  <c r="G311" i="36"/>
  <c r="G327" i="36" s="1"/>
  <c r="AA342" i="36" s="1"/>
  <c r="G304" i="36"/>
  <c r="F304" i="36"/>
  <c r="E304" i="36"/>
  <c r="D304" i="36"/>
  <c r="C304" i="36"/>
  <c r="B304" i="36"/>
  <c r="G303" i="36"/>
  <c r="F303" i="36"/>
  <c r="F311" i="36" s="1"/>
  <c r="F327" i="36" s="1"/>
  <c r="V342" i="36" s="1"/>
  <c r="E303" i="36"/>
  <c r="E311" i="36" s="1"/>
  <c r="E327" i="36" s="1"/>
  <c r="Q342" i="36" s="1"/>
  <c r="D303" i="36"/>
  <c r="C303" i="36"/>
  <c r="C311" i="36" s="1"/>
  <c r="C327" i="36" s="1"/>
  <c r="G342" i="36" s="1"/>
  <c r="B303" i="36"/>
  <c r="B311" i="36" s="1"/>
  <c r="B327" i="36" s="1"/>
  <c r="B342" i="36" s="1"/>
  <c r="A303" i="36"/>
  <c r="E302" i="36"/>
  <c r="B302" i="36"/>
  <c r="A302" i="36"/>
  <c r="B301" i="36"/>
  <c r="A300" i="36"/>
  <c r="B341" i="36" s="1"/>
  <c r="G341" i="36" s="1"/>
  <c r="L341" i="36" s="1"/>
  <c r="Q341" i="36" s="1"/>
  <c r="V341" i="36" s="1"/>
  <c r="AA341" i="36" s="1"/>
  <c r="T294" i="36"/>
  <c r="O294" i="36"/>
  <c r="E293" i="36"/>
  <c r="J293" i="36" s="1"/>
  <c r="O293" i="36" s="1"/>
  <c r="T293" i="36" s="1"/>
  <c r="Y293" i="36" s="1"/>
  <c r="AD293" i="36" s="1"/>
  <c r="D293" i="36"/>
  <c r="I293" i="36" s="1"/>
  <c r="N293" i="36" s="1"/>
  <c r="S293" i="36" s="1"/>
  <c r="X293" i="36" s="1"/>
  <c r="AC293" i="36" s="1"/>
  <c r="C293" i="36"/>
  <c r="H293" i="36" s="1"/>
  <c r="M293" i="36" s="1"/>
  <c r="R293" i="36" s="1"/>
  <c r="W293" i="36" s="1"/>
  <c r="AB293" i="36" s="1"/>
  <c r="F286" i="36"/>
  <c r="G283" i="36"/>
  <c r="AD294" i="36" s="1"/>
  <c r="F283" i="36"/>
  <c r="Y294" i="36" s="1"/>
  <c r="E283" i="36"/>
  <c r="D283" i="36"/>
  <c r="C283" i="36"/>
  <c r="C286" i="36" s="1"/>
  <c r="B283" i="36"/>
  <c r="E294" i="36" s="1"/>
  <c r="A283" i="36"/>
  <c r="G282" i="36"/>
  <c r="AC294" i="36" s="1"/>
  <c r="F282" i="36"/>
  <c r="X294" i="36" s="1"/>
  <c r="E282" i="36"/>
  <c r="S294" i="36" s="1"/>
  <c r="D282" i="36"/>
  <c r="N294" i="36" s="1"/>
  <c r="C282" i="36"/>
  <c r="I294" i="36" s="1"/>
  <c r="B282" i="36"/>
  <c r="D294" i="36" s="1"/>
  <c r="A282" i="36"/>
  <c r="G281" i="36"/>
  <c r="F281" i="36"/>
  <c r="W294" i="36" s="1"/>
  <c r="E281" i="36"/>
  <c r="E285" i="36" s="1"/>
  <c r="D281" i="36"/>
  <c r="D285" i="36" s="1"/>
  <c r="C281" i="36"/>
  <c r="B281" i="36"/>
  <c r="C294" i="36" s="1"/>
  <c r="A281" i="36"/>
  <c r="G280" i="36"/>
  <c r="F280" i="36"/>
  <c r="E280" i="36"/>
  <c r="J280" i="36" s="1"/>
  <c r="D280" i="36"/>
  <c r="I280" i="36" s="1"/>
  <c r="C280" i="36"/>
  <c r="B280" i="36"/>
  <c r="A280" i="36"/>
  <c r="J278" i="36"/>
  <c r="I278" i="36"/>
  <c r="A276" i="36"/>
  <c r="A273" i="36"/>
  <c r="A294" i="36" s="1"/>
  <c r="G256" i="36"/>
  <c r="F256" i="36"/>
  <c r="E256" i="36"/>
  <c r="D256" i="36"/>
  <c r="C256" i="36"/>
  <c r="B256" i="36"/>
  <c r="E254" i="36"/>
  <c r="B254" i="36"/>
  <c r="A254" i="36"/>
  <c r="B253" i="36"/>
  <c r="C292" i="36" s="1"/>
  <c r="A252" i="36"/>
  <c r="B293" i="36" s="1"/>
  <c r="G293" i="36" s="1"/>
  <c r="L293" i="36" s="1"/>
  <c r="Q293" i="36" s="1"/>
  <c r="V293" i="36" s="1"/>
  <c r="AA293" i="36" s="1"/>
  <c r="F245" i="36"/>
  <c r="F244" i="36"/>
  <c r="F243" i="36"/>
  <c r="G241" i="36"/>
  <c r="F241" i="36"/>
  <c r="E241" i="36"/>
  <c r="A241" i="36"/>
  <c r="G240" i="36"/>
  <c r="F240" i="36"/>
  <c r="E240" i="36"/>
  <c r="A240" i="36"/>
  <c r="G239" i="36"/>
  <c r="G245" i="36" s="1"/>
  <c r="F239" i="36"/>
  <c r="E239" i="36"/>
  <c r="E243" i="36" s="1"/>
  <c r="A239" i="36"/>
  <c r="A236" i="36"/>
  <c r="A221" i="36"/>
  <c r="A238" i="36" s="1"/>
  <c r="E212" i="36"/>
  <c r="G210" i="36"/>
  <c r="F210" i="36"/>
  <c r="E210" i="36"/>
  <c r="G209" i="36"/>
  <c r="F209" i="36"/>
  <c r="E209" i="36"/>
  <c r="G208" i="36"/>
  <c r="G214" i="36" s="1"/>
  <c r="F208" i="36"/>
  <c r="F213" i="36" s="1"/>
  <c r="E208" i="36"/>
  <c r="E213" i="36" s="1"/>
  <c r="A192" i="36"/>
  <c r="F185" i="36"/>
  <c r="B185" i="36"/>
  <c r="F184" i="36"/>
  <c r="B184" i="36"/>
  <c r="F183" i="36"/>
  <c r="B183" i="36"/>
  <c r="H181" i="36"/>
  <c r="G181" i="36"/>
  <c r="F181" i="36"/>
  <c r="E181" i="36"/>
  <c r="D181" i="36"/>
  <c r="C181" i="36"/>
  <c r="B181" i="36"/>
  <c r="A181" i="36"/>
  <c r="H180" i="36"/>
  <c r="G180" i="36"/>
  <c r="F180" i="36"/>
  <c r="E180" i="36"/>
  <c r="D180" i="36"/>
  <c r="C180" i="36"/>
  <c r="B180" i="36"/>
  <c r="A180" i="36"/>
  <c r="H179" i="36"/>
  <c r="H183" i="36" s="1"/>
  <c r="G179" i="36"/>
  <c r="G185" i="36" s="1"/>
  <c r="F179" i="36"/>
  <c r="E179" i="36"/>
  <c r="E183" i="36" s="1"/>
  <c r="D179" i="36"/>
  <c r="D183" i="36" s="1"/>
  <c r="C179" i="36"/>
  <c r="C185" i="36" s="1"/>
  <c r="B179" i="36"/>
  <c r="A179" i="36"/>
  <c r="J178" i="36"/>
  <c r="H178" i="36"/>
  <c r="G178" i="36"/>
  <c r="F178" i="36"/>
  <c r="E178" i="36"/>
  <c r="D178" i="36"/>
  <c r="C178" i="36"/>
  <c r="B178" i="36"/>
  <c r="I178" i="36" s="1"/>
  <c r="A178" i="36"/>
  <c r="H177" i="36"/>
  <c r="H175" i="36"/>
  <c r="A174" i="36"/>
  <c r="E160" i="36"/>
  <c r="B160" i="36"/>
  <c r="B159" i="36"/>
  <c r="B175" i="36" s="1"/>
  <c r="A158" i="36"/>
  <c r="G145" i="36"/>
  <c r="F145" i="36"/>
  <c r="E145" i="36"/>
  <c r="D145" i="36"/>
  <c r="C145" i="36"/>
  <c r="B145" i="36"/>
  <c r="A145" i="36"/>
  <c r="G144" i="36"/>
  <c r="F144" i="36"/>
  <c r="E144" i="36"/>
  <c r="E148" i="36" s="1"/>
  <c r="D144" i="36"/>
  <c r="C144" i="36"/>
  <c r="B144" i="36"/>
  <c r="A144" i="36"/>
  <c r="G143" i="36"/>
  <c r="G149" i="36" s="1"/>
  <c r="J149" i="36" s="1"/>
  <c r="F143" i="36"/>
  <c r="F149" i="36" s="1"/>
  <c r="E143" i="36"/>
  <c r="E149" i="36" s="1"/>
  <c r="D143" i="36"/>
  <c r="D148" i="36" s="1"/>
  <c r="C143" i="36"/>
  <c r="C149" i="36" s="1"/>
  <c r="B143" i="36"/>
  <c r="B149" i="36" s="1"/>
  <c r="A143" i="36"/>
  <c r="G142" i="36"/>
  <c r="F142" i="36"/>
  <c r="E142" i="36"/>
  <c r="J142" i="36" s="1"/>
  <c r="D142" i="36"/>
  <c r="I142" i="36" s="1"/>
  <c r="C142" i="36"/>
  <c r="B142" i="36"/>
  <c r="A142" i="36"/>
  <c r="E122" i="36"/>
  <c r="B122" i="36"/>
  <c r="B121" i="36"/>
  <c r="B139" i="36" s="1"/>
  <c r="A120" i="36"/>
  <c r="G104" i="36"/>
  <c r="F104" i="36"/>
  <c r="E104" i="36"/>
  <c r="D104" i="36"/>
  <c r="C104" i="36"/>
  <c r="B104" i="36"/>
  <c r="A104" i="36"/>
  <c r="G103" i="36"/>
  <c r="F103" i="36"/>
  <c r="F107" i="36" s="1"/>
  <c r="E103" i="36"/>
  <c r="D103" i="36"/>
  <c r="C103" i="36"/>
  <c r="B103" i="36"/>
  <c r="B107" i="36" s="1"/>
  <c r="A103" i="36"/>
  <c r="G102" i="36"/>
  <c r="G108" i="36" s="1"/>
  <c r="F102" i="36"/>
  <c r="F108" i="36" s="1"/>
  <c r="E102" i="36"/>
  <c r="E107" i="36" s="1"/>
  <c r="D102" i="36"/>
  <c r="D108" i="36" s="1"/>
  <c r="I108" i="36" s="1"/>
  <c r="C102" i="36"/>
  <c r="C108" i="36" s="1"/>
  <c r="B102" i="36"/>
  <c r="B108" i="36" s="1"/>
  <c r="A102" i="36"/>
  <c r="G101" i="36"/>
  <c r="F101" i="36"/>
  <c r="E101" i="36"/>
  <c r="J101" i="36" s="1"/>
  <c r="D101" i="36"/>
  <c r="I101" i="36" s="1"/>
  <c r="C101" i="36"/>
  <c r="B101" i="36"/>
  <c r="A101" i="36"/>
  <c r="A97" i="36"/>
  <c r="E82" i="36"/>
  <c r="B82" i="36"/>
  <c r="B81" i="36"/>
  <c r="B98" i="36" s="1"/>
  <c r="A80" i="36"/>
  <c r="G69" i="36"/>
  <c r="F69" i="36"/>
  <c r="E69" i="36"/>
  <c r="D69" i="36"/>
  <c r="C69" i="36"/>
  <c r="B69" i="36"/>
  <c r="A69" i="36"/>
  <c r="G68" i="36"/>
  <c r="F68" i="36"/>
  <c r="F72" i="36" s="1"/>
  <c r="E68" i="36"/>
  <c r="D68" i="36"/>
  <c r="C68" i="36"/>
  <c r="B68" i="36"/>
  <c r="B72" i="36" s="1"/>
  <c r="A68" i="36"/>
  <c r="G67" i="36"/>
  <c r="G73" i="36" s="1"/>
  <c r="F67" i="36"/>
  <c r="F73" i="36" s="1"/>
  <c r="E67" i="36"/>
  <c r="E72" i="36" s="1"/>
  <c r="D67" i="36"/>
  <c r="D73" i="36" s="1"/>
  <c r="I73" i="36" s="1"/>
  <c r="C67" i="36"/>
  <c r="C73" i="36" s="1"/>
  <c r="B67" i="36"/>
  <c r="B73" i="36" s="1"/>
  <c r="A67" i="36"/>
  <c r="G66" i="36"/>
  <c r="F66" i="36"/>
  <c r="E66" i="36"/>
  <c r="J66" i="36" s="1"/>
  <c r="D66" i="36"/>
  <c r="I66" i="36" s="1"/>
  <c r="C66" i="36"/>
  <c r="B66" i="36"/>
  <c r="A66" i="36"/>
  <c r="B63" i="36"/>
  <c r="E47" i="36"/>
  <c r="B47" i="36"/>
  <c r="B46" i="36"/>
  <c r="A45" i="36"/>
  <c r="A65" i="36" s="1"/>
  <c r="F39" i="36"/>
  <c r="F38" i="36"/>
  <c r="F37" i="36"/>
  <c r="G35" i="36"/>
  <c r="F35" i="36"/>
  <c r="E35" i="36"/>
  <c r="A35" i="36"/>
  <c r="G34" i="36"/>
  <c r="F34" i="36"/>
  <c r="E34" i="36"/>
  <c r="A34" i="36"/>
  <c r="G33" i="36"/>
  <c r="G39" i="36" s="1"/>
  <c r="F33" i="36"/>
  <c r="E33" i="36"/>
  <c r="E37" i="36" s="1"/>
  <c r="A33" i="36"/>
  <c r="A32" i="36"/>
  <c r="A16" i="36"/>
  <c r="A87" i="35"/>
  <c r="E86" i="35"/>
  <c r="A86" i="35"/>
  <c r="A84" i="35"/>
  <c r="B83" i="35"/>
  <c r="A82" i="35"/>
  <c r="A81" i="35"/>
  <c r="A80" i="35"/>
  <c r="B79" i="35"/>
  <c r="A77" i="35"/>
  <c r="A76" i="35"/>
  <c r="A73" i="35"/>
  <c r="G68" i="35"/>
  <c r="G87" i="35" s="1"/>
  <c r="F68" i="35"/>
  <c r="F87" i="35" s="1"/>
  <c r="E68" i="35"/>
  <c r="E87" i="35" s="1"/>
  <c r="D68" i="35"/>
  <c r="D87" i="35" s="1"/>
  <c r="C68" i="35"/>
  <c r="C87" i="35" s="1"/>
  <c r="B68" i="35"/>
  <c r="B87" i="35" s="1"/>
  <c r="A68" i="35"/>
  <c r="G67" i="35"/>
  <c r="G86" i="35" s="1"/>
  <c r="F67" i="35"/>
  <c r="F86" i="35" s="1"/>
  <c r="E67" i="35"/>
  <c r="D67" i="35"/>
  <c r="D86" i="35" s="1"/>
  <c r="C67" i="35"/>
  <c r="C86" i="35" s="1"/>
  <c r="B67" i="35"/>
  <c r="B86" i="35" s="1"/>
  <c r="A67" i="35"/>
  <c r="G66" i="35"/>
  <c r="G83" i="35" s="1"/>
  <c r="F66" i="35"/>
  <c r="F83" i="35" s="1"/>
  <c r="E66" i="35"/>
  <c r="E83" i="35" s="1"/>
  <c r="D66" i="35"/>
  <c r="D83" i="35" s="1"/>
  <c r="C66" i="35"/>
  <c r="C83" i="35" s="1"/>
  <c r="B66" i="35"/>
  <c r="A66" i="35"/>
  <c r="A83" i="35" s="1"/>
  <c r="G65" i="35"/>
  <c r="G80" i="35" s="1"/>
  <c r="F65" i="35"/>
  <c r="F80" i="35" s="1"/>
  <c r="E65" i="35"/>
  <c r="E80" i="35" s="1"/>
  <c r="D65" i="35"/>
  <c r="D80" i="35" s="1"/>
  <c r="C65" i="35"/>
  <c r="C80" i="35" s="1"/>
  <c r="B65" i="35"/>
  <c r="B80" i="35" s="1"/>
  <c r="A65" i="35"/>
  <c r="G64" i="35"/>
  <c r="G79" i="35" s="1"/>
  <c r="F64" i="35"/>
  <c r="F79" i="35" s="1"/>
  <c r="E64" i="35"/>
  <c r="E79" i="35" s="1"/>
  <c r="D64" i="35"/>
  <c r="D79" i="35" s="1"/>
  <c r="C64" i="35"/>
  <c r="C79" i="35" s="1"/>
  <c r="B64" i="35"/>
  <c r="A64" i="35"/>
  <c r="A79" i="35" s="1"/>
  <c r="G63" i="35"/>
  <c r="G76" i="35" s="1"/>
  <c r="F63" i="35"/>
  <c r="F76" i="35" s="1"/>
  <c r="E63" i="35"/>
  <c r="E76" i="35" s="1"/>
  <c r="D63" i="35"/>
  <c r="D76" i="35" s="1"/>
  <c r="C63" i="35"/>
  <c r="C76" i="35" s="1"/>
  <c r="B63" i="35"/>
  <c r="B76" i="35" s="1"/>
  <c r="A63" i="35"/>
  <c r="E61" i="35"/>
  <c r="B61" i="35"/>
  <c r="A61" i="35"/>
  <c r="B60" i="35"/>
  <c r="B72" i="35" s="1"/>
  <c r="A59" i="35"/>
  <c r="A71" i="35" s="1"/>
  <c r="A48" i="35"/>
  <c r="F45" i="35"/>
  <c r="D45" i="35"/>
  <c r="B45" i="35"/>
  <c r="G44" i="35"/>
  <c r="E44" i="35"/>
  <c r="C44" i="35"/>
  <c r="A44" i="35"/>
  <c r="F35" i="35"/>
  <c r="D35" i="35"/>
  <c r="B35" i="35"/>
  <c r="G26" i="35"/>
  <c r="G45" i="35" s="1"/>
  <c r="F26" i="35"/>
  <c r="E26" i="35"/>
  <c r="E45" i="35" s="1"/>
  <c r="D26" i="35"/>
  <c r="C26" i="35"/>
  <c r="C45" i="35" s="1"/>
  <c r="B26" i="35"/>
  <c r="A26" i="35"/>
  <c r="A45" i="35" s="1"/>
  <c r="G25" i="35"/>
  <c r="F25" i="35"/>
  <c r="F44" i="35" s="1"/>
  <c r="E25" i="35"/>
  <c r="D25" i="35"/>
  <c r="D44" i="35" s="1"/>
  <c r="C25" i="35"/>
  <c r="B25" i="35"/>
  <c r="B44" i="35" s="1"/>
  <c r="A25" i="35"/>
  <c r="G23" i="35"/>
  <c r="G41" i="35" s="1"/>
  <c r="F23" i="35"/>
  <c r="F41" i="35" s="1"/>
  <c r="E23" i="35"/>
  <c r="E41" i="35" s="1"/>
  <c r="D23" i="35"/>
  <c r="D41" i="35" s="1"/>
  <c r="C23" i="35"/>
  <c r="C41" i="35" s="1"/>
  <c r="B23" i="35"/>
  <c r="B41" i="35" s="1"/>
  <c r="A23" i="35"/>
  <c r="A41" i="35" s="1"/>
  <c r="G22" i="35"/>
  <c r="G40" i="35" s="1"/>
  <c r="F22" i="35"/>
  <c r="F40" i="35" s="1"/>
  <c r="E22" i="35"/>
  <c r="E40" i="35" s="1"/>
  <c r="D22" i="35"/>
  <c r="D40" i="35" s="1"/>
  <c r="C22" i="35"/>
  <c r="C40" i="35" s="1"/>
  <c r="B22" i="35"/>
  <c r="B40" i="35" s="1"/>
  <c r="A22" i="35"/>
  <c r="A40" i="35" s="1"/>
  <c r="G21" i="35"/>
  <c r="G39" i="35" s="1"/>
  <c r="F21" i="35"/>
  <c r="F39" i="35" s="1"/>
  <c r="E21" i="35"/>
  <c r="E39" i="35" s="1"/>
  <c r="D21" i="35"/>
  <c r="D39" i="35" s="1"/>
  <c r="C21" i="35"/>
  <c r="C39" i="35" s="1"/>
  <c r="B21" i="35"/>
  <c r="B39" i="35" s="1"/>
  <c r="A21" i="35"/>
  <c r="A39" i="35" s="1"/>
  <c r="G20" i="35"/>
  <c r="G38" i="35" s="1"/>
  <c r="F20" i="35"/>
  <c r="F38" i="35" s="1"/>
  <c r="E20" i="35"/>
  <c r="E38" i="35" s="1"/>
  <c r="D20" i="35"/>
  <c r="D38" i="35" s="1"/>
  <c r="C20" i="35"/>
  <c r="C38" i="35" s="1"/>
  <c r="B20" i="35"/>
  <c r="B38" i="35" s="1"/>
  <c r="A20" i="35"/>
  <c r="A38" i="35" s="1"/>
  <c r="G19" i="35"/>
  <c r="G35" i="35" s="1"/>
  <c r="F19" i="35"/>
  <c r="E19" i="35"/>
  <c r="E35" i="35" s="1"/>
  <c r="D19" i="35"/>
  <c r="C19" i="35"/>
  <c r="C35" i="35" s="1"/>
  <c r="B19" i="35"/>
  <c r="A19" i="35"/>
  <c r="A35" i="35" s="1"/>
  <c r="E17" i="35"/>
  <c r="B17" i="35"/>
  <c r="B16" i="35"/>
  <c r="B31" i="35" s="1"/>
  <c r="A15" i="35"/>
  <c r="A30" i="35" s="1"/>
  <c r="A222" i="23"/>
  <c r="A221" i="23"/>
  <c r="A220" i="23"/>
  <c r="G219" i="23"/>
  <c r="F219" i="23"/>
  <c r="E219" i="23"/>
  <c r="D219" i="23"/>
  <c r="C219" i="23"/>
  <c r="B219" i="23"/>
  <c r="A219" i="23"/>
  <c r="A218" i="23"/>
  <c r="A217" i="23"/>
  <c r="A216" i="23"/>
  <c r="G215" i="23"/>
  <c r="F215" i="23"/>
  <c r="E215" i="23"/>
  <c r="D215" i="23"/>
  <c r="C215" i="23"/>
  <c r="B215" i="23"/>
  <c r="A215" i="23"/>
  <c r="A214" i="23"/>
  <c r="G213" i="23"/>
  <c r="F213" i="23"/>
  <c r="E213" i="23"/>
  <c r="D213" i="23"/>
  <c r="C213" i="23"/>
  <c r="B213" i="23"/>
  <c r="A213" i="23"/>
  <c r="A212" i="23"/>
  <c r="A211" i="23"/>
  <c r="A210" i="23"/>
  <c r="G209" i="23"/>
  <c r="F209" i="23"/>
  <c r="E209" i="23"/>
  <c r="D209" i="23"/>
  <c r="C209" i="23"/>
  <c r="B209" i="23"/>
  <c r="A209" i="23"/>
  <c r="G208" i="23"/>
  <c r="F208" i="23"/>
  <c r="E208" i="23"/>
  <c r="D208" i="23"/>
  <c r="C208" i="23"/>
  <c r="B208" i="23"/>
  <c r="A208" i="23"/>
  <c r="E207" i="23"/>
  <c r="B207" i="23"/>
  <c r="B206" i="23"/>
  <c r="A173" i="23"/>
  <c r="A194" i="23" s="1"/>
  <c r="A172" i="23"/>
  <c r="A182" i="23" s="1"/>
  <c r="A171" i="23"/>
  <c r="A192" i="23" s="1"/>
  <c r="A170" i="23"/>
  <c r="A180" i="23" s="1"/>
  <c r="A169" i="23"/>
  <c r="A190" i="23" s="1"/>
  <c r="A168" i="23"/>
  <c r="A179" i="23" s="1"/>
  <c r="E167" i="23"/>
  <c r="B167" i="23"/>
  <c r="B166" i="23"/>
  <c r="F148" i="23"/>
  <c r="A106" i="23"/>
  <c r="A135" i="23" s="1"/>
  <c r="A105" i="23"/>
  <c r="A134" i="23" s="1"/>
  <c r="A104" i="23"/>
  <c r="A133" i="23" s="1"/>
  <c r="A103" i="23"/>
  <c r="A132" i="23" s="1"/>
  <c r="A101" i="23"/>
  <c r="A119" i="23" s="1"/>
  <c r="E100" i="23"/>
  <c r="B100" i="23"/>
  <c r="A100" i="23"/>
  <c r="A129" i="23" s="1"/>
  <c r="B99" i="23"/>
  <c r="C87" i="23"/>
  <c r="E86" i="23"/>
  <c r="C86" i="23"/>
  <c r="E85" i="23"/>
  <c r="C85" i="23"/>
  <c r="E84" i="23"/>
  <c r="C83" i="23"/>
  <c r="A58" i="23"/>
  <c r="A57" i="23"/>
  <c r="G56" i="23"/>
  <c r="F56" i="23"/>
  <c r="E56" i="23"/>
  <c r="D56" i="23"/>
  <c r="C56" i="23"/>
  <c r="B56" i="23"/>
  <c r="A56" i="23"/>
  <c r="A55" i="23"/>
  <c r="G54" i="23"/>
  <c r="F54" i="23"/>
  <c r="E54" i="23"/>
  <c r="D54" i="23"/>
  <c r="C54" i="23"/>
  <c r="B54" i="23"/>
  <c r="A53" i="23"/>
  <c r="G52" i="23"/>
  <c r="F52" i="23"/>
  <c r="E52" i="23"/>
  <c r="D52" i="23"/>
  <c r="C52" i="23"/>
  <c r="B52" i="23"/>
  <c r="A52" i="23"/>
  <c r="A51" i="23"/>
  <c r="G50" i="23"/>
  <c r="F50" i="23"/>
  <c r="E50" i="23"/>
  <c r="D50" i="23"/>
  <c r="C50" i="23"/>
  <c r="B50" i="23"/>
  <c r="A47" i="23"/>
  <c r="G46" i="23"/>
  <c r="F46" i="23"/>
  <c r="E46" i="23"/>
  <c r="D46" i="23"/>
  <c r="C46" i="23"/>
  <c r="B46" i="23"/>
  <c r="E44" i="23"/>
  <c r="B44" i="23"/>
  <c r="B43" i="23"/>
  <c r="E18" i="23"/>
  <c r="B18" i="23"/>
  <c r="A18" i="23"/>
  <c r="B17" i="23"/>
  <c r="B25" i="23" s="1"/>
  <c r="A16" i="23"/>
  <c r="A24" i="23" s="1"/>
  <c r="A66" i="80"/>
  <c r="A65" i="80"/>
  <c r="A64" i="80"/>
  <c r="A63" i="80"/>
  <c r="A62" i="80"/>
  <c r="A61" i="80"/>
  <c r="A60" i="80"/>
  <c r="A59" i="80"/>
  <c r="A58" i="80"/>
  <c r="A57" i="80"/>
  <c r="A41" i="80"/>
  <c r="A56" i="80" s="1"/>
  <c r="G33" i="80"/>
  <c r="F33" i="80"/>
  <c r="E33" i="80"/>
  <c r="D33" i="80"/>
  <c r="C33" i="80"/>
  <c r="B33" i="80"/>
  <c r="A33" i="80"/>
  <c r="A32" i="80"/>
  <c r="A31" i="80"/>
  <c r="A30" i="80"/>
  <c r="G29" i="80"/>
  <c r="F29" i="80"/>
  <c r="E29" i="80"/>
  <c r="D29" i="80"/>
  <c r="C29" i="80"/>
  <c r="A29" i="80"/>
  <c r="A17" i="80"/>
  <c r="A28" i="80" s="1"/>
  <c r="B371" i="78"/>
  <c r="A367" i="78"/>
  <c r="A374" i="78" s="1"/>
  <c r="A346" i="78"/>
  <c r="D343" i="78"/>
  <c r="G341" i="78"/>
  <c r="G343" i="78" s="1"/>
  <c r="F341" i="78"/>
  <c r="F343" i="78" s="1"/>
  <c r="E341" i="78"/>
  <c r="E343" i="78" s="1"/>
  <c r="D341" i="78"/>
  <c r="C341" i="78"/>
  <c r="C343" i="78" s="1"/>
  <c r="B341" i="78"/>
  <c r="B343" i="78" s="1"/>
  <c r="D322" i="78"/>
  <c r="B322" i="78"/>
  <c r="D321" i="78"/>
  <c r="E321" i="78" s="1"/>
  <c r="C321" i="78"/>
  <c r="C322" i="78" s="1"/>
  <c r="B303" i="78"/>
  <c r="A300" i="78"/>
  <c r="A306" i="78" s="1"/>
  <c r="B291" i="78"/>
  <c r="C290" i="78"/>
  <c r="E289" i="78"/>
  <c r="D289" i="78"/>
  <c r="E288" i="78"/>
  <c r="D288" i="78"/>
  <c r="C288" i="78"/>
  <c r="E287" i="78"/>
  <c r="D287" i="78"/>
  <c r="C287" i="78"/>
  <c r="E286" i="78"/>
  <c r="D286" i="78"/>
  <c r="C286" i="78"/>
  <c r="C285" i="78"/>
  <c r="A284" i="78"/>
  <c r="A294" i="78" s="1"/>
  <c r="E269" i="78"/>
  <c r="C269" i="78"/>
  <c r="E268" i="78"/>
  <c r="C268" i="78"/>
  <c r="C267" i="78"/>
  <c r="A265" i="78"/>
  <c r="A274" i="78" s="1"/>
  <c r="F196" i="78"/>
  <c r="E196" i="78"/>
  <c r="E215" i="78" s="1"/>
  <c r="D196" i="78"/>
  <c r="D215" i="78" s="1"/>
  <c r="C196" i="78"/>
  <c r="C215" i="78" s="1"/>
  <c r="B196" i="78"/>
  <c r="B215" i="78" s="1"/>
  <c r="A179" i="78"/>
  <c r="A173" i="78"/>
  <c r="H158" i="78"/>
  <c r="E198" i="78" s="1"/>
  <c r="G158" i="78"/>
  <c r="F48" i="80" s="1"/>
  <c r="F63" i="80" s="1"/>
  <c r="F158" i="78"/>
  <c r="E48" i="80" s="1"/>
  <c r="E63" i="80" s="1"/>
  <c r="E158" i="78"/>
  <c r="D48" i="80" s="1"/>
  <c r="D63" i="80" s="1"/>
  <c r="D158" i="78"/>
  <c r="C48" i="80" s="1"/>
  <c r="C63" i="80" s="1"/>
  <c r="C158" i="78"/>
  <c r="B48" i="80" s="1"/>
  <c r="B63" i="80" s="1"/>
  <c r="H157" i="78"/>
  <c r="G157" i="78"/>
  <c r="F157" i="78"/>
  <c r="E179" i="78" s="1"/>
  <c r="E157" i="78"/>
  <c r="E190" i="78" s="1"/>
  <c r="D157" i="78"/>
  <c r="C157" i="78"/>
  <c r="E173" i="78" s="1"/>
  <c r="A157" i="78"/>
  <c r="H155" i="78"/>
  <c r="D198" i="78" s="1"/>
  <c r="G155" i="78"/>
  <c r="F46" i="80" s="1"/>
  <c r="F61" i="80" s="1"/>
  <c r="F155" i="78"/>
  <c r="F156" i="78" s="1"/>
  <c r="E155" i="78"/>
  <c r="D191" i="78" s="1"/>
  <c r="D155" i="78"/>
  <c r="D156" i="78" s="1"/>
  <c r="C47" i="80" s="1"/>
  <c r="C62" i="80" s="1"/>
  <c r="C155" i="78"/>
  <c r="B46" i="80" s="1"/>
  <c r="B61" i="80" s="1"/>
  <c r="H154" i="78"/>
  <c r="G154" i="78"/>
  <c r="F154" i="78"/>
  <c r="D179" i="78" s="1"/>
  <c r="E154" i="78"/>
  <c r="D190" i="78" s="1"/>
  <c r="D154" i="78"/>
  <c r="C154" i="78"/>
  <c r="D173" i="78" s="1"/>
  <c r="A154" i="78"/>
  <c r="H152" i="78"/>
  <c r="H153" i="78" s="1"/>
  <c r="G45" i="80" s="1"/>
  <c r="G60" i="80" s="1"/>
  <c r="G152" i="78"/>
  <c r="F44" i="80" s="1"/>
  <c r="F59" i="80" s="1"/>
  <c r="F152" i="78"/>
  <c r="E44" i="80" s="1"/>
  <c r="E59" i="80" s="1"/>
  <c r="E152" i="78"/>
  <c r="E153" i="78" s="1"/>
  <c r="D45" i="80" s="1"/>
  <c r="D60" i="80" s="1"/>
  <c r="D152" i="78"/>
  <c r="D153" i="78" s="1"/>
  <c r="C45" i="80" s="1"/>
  <c r="C60" i="80" s="1"/>
  <c r="C152" i="78"/>
  <c r="B44" i="80" s="1"/>
  <c r="B59" i="80" s="1"/>
  <c r="H151" i="78"/>
  <c r="C197" i="78" s="1"/>
  <c r="G151" i="78"/>
  <c r="F151" i="78"/>
  <c r="C179" i="78" s="1"/>
  <c r="E151" i="78"/>
  <c r="C172" i="78" s="1"/>
  <c r="D151" i="78"/>
  <c r="C151" i="78"/>
  <c r="C173" i="78" s="1"/>
  <c r="A151" i="78"/>
  <c r="H149" i="78"/>
  <c r="B198" i="78" s="1"/>
  <c r="G149" i="78"/>
  <c r="F42" i="80" s="1"/>
  <c r="F57" i="80" s="1"/>
  <c r="F149" i="78"/>
  <c r="E42" i="80" s="1"/>
  <c r="E57" i="80" s="1"/>
  <c r="E149" i="78"/>
  <c r="D42" i="80" s="1"/>
  <c r="D57" i="80" s="1"/>
  <c r="D149" i="78"/>
  <c r="D150" i="78" s="1"/>
  <c r="C43" i="80" s="1"/>
  <c r="C58" i="80" s="1"/>
  <c r="C149" i="78"/>
  <c r="B42" i="80" s="1"/>
  <c r="B57" i="80" s="1"/>
  <c r="H148" i="78"/>
  <c r="B197" i="78" s="1"/>
  <c r="G148" i="78"/>
  <c r="F148" i="78"/>
  <c r="B179" i="78" s="1"/>
  <c r="E148" i="78"/>
  <c r="D148" i="78"/>
  <c r="C148" i="78"/>
  <c r="B173" i="78" s="1"/>
  <c r="A148" i="78"/>
  <c r="A147" i="78"/>
  <c r="A189" i="78" s="1"/>
  <c r="A202" i="78" s="1"/>
  <c r="G113" i="78"/>
  <c r="G115" i="78" s="1"/>
  <c r="F113" i="78"/>
  <c r="G161" i="78" s="1"/>
  <c r="E113" i="78"/>
  <c r="F161" i="78" s="1"/>
  <c r="D113" i="78"/>
  <c r="C113" i="78"/>
  <c r="C115" i="78" s="1"/>
  <c r="B113" i="78"/>
  <c r="C161" i="78" s="1"/>
  <c r="G111" i="78"/>
  <c r="F111" i="78"/>
  <c r="E111" i="78"/>
  <c r="D111" i="78"/>
  <c r="C111" i="78"/>
  <c r="B111" i="78"/>
  <c r="J110" i="78"/>
  <c r="I110" i="78"/>
  <c r="A110" i="78"/>
  <c r="A111" i="78" s="1"/>
  <c r="A112" i="78" s="1"/>
  <c r="G108" i="78"/>
  <c r="F108" i="78"/>
  <c r="E108" i="78"/>
  <c r="D108" i="78"/>
  <c r="C108" i="78"/>
  <c r="B108" i="78"/>
  <c r="A108" i="78"/>
  <c r="A109" i="78" s="1"/>
  <c r="J107" i="78"/>
  <c r="I107" i="78"/>
  <c r="A107" i="78"/>
  <c r="G105" i="78"/>
  <c r="F105" i="78"/>
  <c r="E105" i="78"/>
  <c r="D105" i="78"/>
  <c r="C105" i="78"/>
  <c r="B105" i="78"/>
  <c r="J104" i="78"/>
  <c r="I104" i="78"/>
  <c r="A104" i="78"/>
  <c r="A105" i="78" s="1"/>
  <c r="A106" i="78" s="1"/>
  <c r="G102" i="78"/>
  <c r="F102" i="78"/>
  <c r="E102" i="78"/>
  <c r="D102" i="78"/>
  <c r="C102" i="78"/>
  <c r="B102" i="78"/>
  <c r="J101" i="78"/>
  <c r="I101" i="78"/>
  <c r="A101" i="78"/>
  <c r="A102" i="78" s="1"/>
  <c r="A103" i="78" s="1"/>
  <c r="A100" i="78"/>
  <c r="A117" i="78" s="1"/>
  <c r="A74" i="78"/>
  <c r="A73" i="78"/>
  <c r="A72" i="78"/>
  <c r="A71" i="78"/>
  <c r="G53" i="78"/>
  <c r="J53" i="78" s="1"/>
  <c r="F53" i="78"/>
  <c r="G160" i="78" s="1"/>
  <c r="G164" i="78" s="1"/>
  <c r="E53" i="78"/>
  <c r="E54" i="78" s="1"/>
  <c r="D53" i="78"/>
  <c r="E160" i="78" s="1"/>
  <c r="C53" i="78"/>
  <c r="D160" i="78" s="1"/>
  <c r="D164" i="78" s="1"/>
  <c r="B53" i="78"/>
  <c r="C160" i="78" s="1"/>
  <c r="G52" i="78"/>
  <c r="G74" i="78" s="1"/>
  <c r="F52" i="78"/>
  <c r="F74" i="78" s="1"/>
  <c r="E52" i="78"/>
  <c r="E74" i="78" s="1"/>
  <c r="D52" i="78"/>
  <c r="D74" i="78" s="1"/>
  <c r="C52" i="78"/>
  <c r="C74" i="78" s="1"/>
  <c r="J51" i="78"/>
  <c r="I51" i="78"/>
  <c r="G50" i="78"/>
  <c r="G73" i="78" s="1"/>
  <c r="F50" i="78"/>
  <c r="F73" i="78" s="1"/>
  <c r="E50" i="78"/>
  <c r="E73" i="78" s="1"/>
  <c r="D50" i="78"/>
  <c r="D73" i="78" s="1"/>
  <c r="C50" i="78"/>
  <c r="C73" i="78" s="1"/>
  <c r="J49" i="78"/>
  <c r="I49" i="78"/>
  <c r="G48" i="78"/>
  <c r="G72" i="78" s="1"/>
  <c r="F48" i="78"/>
  <c r="F72" i="78" s="1"/>
  <c r="E48" i="78"/>
  <c r="E72" i="78" s="1"/>
  <c r="D48" i="78"/>
  <c r="D72" i="78" s="1"/>
  <c r="C48" i="78"/>
  <c r="C72" i="78" s="1"/>
  <c r="J47" i="78"/>
  <c r="I47" i="78"/>
  <c r="G46" i="78"/>
  <c r="G71" i="78" s="1"/>
  <c r="F46" i="78"/>
  <c r="F71" i="78" s="1"/>
  <c r="E46" i="78"/>
  <c r="E71" i="78" s="1"/>
  <c r="I71" i="78" s="1"/>
  <c r="D46" i="78"/>
  <c r="D71" i="78" s="1"/>
  <c r="C46" i="78"/>
  <c r="C71" i="78" s="1"/>
  <c r="J45" i="78"/>
  <c r="I45" i="78"/>
  <c r="A44" i="78"/>
  <c r="A56" i="78" s="1"/>
  <c r="B34" i="78"/>
  <c r="C31" i="78"/>
  <c r="B31" i="78"/>
  <c r="B30" i="78"/>
  <c r="C30" i="78" s="1"/>
  <c r="C29" i="78"/>
  <c r="B29" i="78"/>
  <c r="B28" i="78"/>
  <c r="C28" i="78" s="1"/>
  <c r="C27" i="78"/>
  <c r="B27" i="78"/>
  <c r="B23" i="78"/>
  <c r="E20" i="78"/>
  <c r="E21" i="78" s="1"/>
  <c r="E22" i="78" s="1"/>
  <c r="E19" i="78"/>
  <c r="A16" i="78"/>
  <c r="A35" i="78" s="1"/>
  <c r="A15" i="78"/>
  <c r="J273" i="39"/>
  <c r="J269" i="39"/>
  <c r="J268" i="39"/>
  <c r="J264" i="39"/>
  <c r="J263" i="39"/>
  <c r="J262" i="39"/>
  <c r="J261" i="39"/>
  <c r="J257" i="39"/>
  <c r="J256" i="39"/>
  <c r="J255" i="39"/>
  <c r="J254" i="39"/>
  <c r="J250" i="39"/>
  <c r="J246" i="39"/>
  <c r="J242" i="39"/>
  <c r="J241" i="39"/>
  <c r="J240" i="39"/>
  <c r="J239" i="39"/>
  <c r="J235" i="39"/>
  <c r="J234" i="39"/>
  <c r="J233" i="39"/>
  <c r="J232" i="39"/>
  <c r="J231" i="39"/>
  <c r="J230" i="39"/>
  <c r="J229" i="39"/>
  <c r="J228" i="39"/>
  <c r="J227" i="39"/>
  <c r="J226" i="39"/>
  <c r="J222" i="39"/>
  <c r="J221" i="39"/>
  <c r="J220" i="39"/>
  <c r="J219" i="39"/>
  <c r="J212" i="39"/>
  <c r="J208" i="39"/>
  <c r="J204" i="39"/>
  <c r="J203" i="39"/>
  <c r="J199" i="39"/>
  <c r="J198" i="39"/>
  <c r="J197" i="39"/>
  <c r="J196" i="39"/>
  <c r="J192" i="39"/>
  <c r="J191" i="39"/>
  <c r="J190" i="39"/>
  <c r="J183" i="39"/>
  <c r="J182" i="39"/>
  <c r="J181" i="39"/>
  <c r="J180" i="39"/>
  <c r="J175" i="39"/>
  <c r="J168" i="39"/>
  <c r="J167" i="39"/>
  <c r="J163" i="39"/>
  <c r="J162" i="39"/>
  <c r="J158" i="39"/>
  <c r="J157" i="39"/>
  <c r="J153" i="39"/>
  <c r="J152" i="39"/>
  <c r="J145" i="39"/>
  <c r="J144" i="39"/>
  <c r="J143" i="39"/>
  <c r="J138" i="39"/>
  <c r="J137" i="39"/>
  <c r="J133" i="39"/>
  <c r="J132" i="39"/>
  <c r="J128" i="39"/>
  <c r="J127" i="39"/>
  <c r="J120" i="39"/>
  <c r="J119" i="39"/>
  <c r="J115" i="39"/>
  <c r="J114" i="39"/>
  <c r="J110" i="39"/>
  <c r="J109" i="39"/>
  <c r="J108" i="39"/>
  <c r="J101" i="39"/>
  <c r="J100" i="39"/>
  <c r="J99" i="39"/>
  <c r="J98" i="39"/>
  <c r="J97" i="39"/>
  <c r="J96" i="39"/>
  <c r="J92" i="39"/>
  <c r="J88" i="39"/>
  <c r="J87" i="39"/>
  <c r="J86" i="39"/>
  <c r="J82" i="39"/>
  <c r="J81" i="39"/>
  <c r="J80" i="39"/>
  <c r="J79" i="39"/>
  <c r="J78" i="39"/>
  <c r="J77" i="39"/>
  <c r="J73" i="39"/>
  <c r="J72" i="39"/>
  <c r="J68" i="39"/>
  <c r="J67" i="39"/>
  <c r="J66" i="39"/>
  <c r="J65" i="39"/>
  <c r="J64" i="39"/>
  <c r="J63" i="39"/>
  <c r="J62" i="39"/>
  <c r="J61" i="39"/>
  <c r="J60" i="39"/>
  <c r="J59" i="39"/>
  <c r="J52" i="39"/>
  <c r="J51" i="39"/>
  <c r="J50" i="39"/>
  <c r="J49" i="39"/>
  <c r="J48" i="39"/>
  <c r="J47" i="39"/>
  <c r="J43" i="39"/>
  <c r="J35" i="39"/>
  <c r="J34" i="39"/>
  <c r="J30" i="39"/>
  <c r="J29" i="39"/>
  <c r="J28" i="39"/>
  <c r="J27" i="39"/>
  <c r="J26" i="39"/>
  <c r="J25" i="39"/>
  <c r="J21" i="39"/>
  <c r="J20" i="39"/>
  <c r="J16" i="39"/>
  <c r="J15" i="39"/>
  <c r="J14" i="39"/>
  <c r="J13" i="39"/>
  <c r="J12" i="39"/>
  <c r="J11" i="39"/>
  <c r="J10" i="39"/>
  <c r="J9" i="39"/>
  <c r="J8" i="39"/>
  <c r="J7" i="39"/>
  <c r="J81" i="1"/>
  <c r="H81" i="1"/>
  <c r="F81" i="1"/>
  <c r="C161" i="36" s="1"/>
  <c r="C177" i="36" s="1"/>
  <c r="D78" i="1"/>
  <c r="D77" i="1"/>
  <c r="J76" i="1"/>
  <c r="H76" i="1"/>
  <c r="F76" i="1"/>
  <c r="D76" i="1"/>
  <c r="J75" i="1"/>
  <c r="I75" i="1"/>
  <c r="H75" i="1"/>
  <c r="G75" i="1"/>
  <c r="F75" i="1"/>
  <c r="E75" i="1"/>
  <c r="D74" i="1"/>
  <c r="A60" i="23" s="1"/>
  <c r="D73" i="1"/>
  <c r="D72" i="1"/>
  <c r="J71" i="1"/>
  <c r="H71" i="1"/>
  <c r="F71" i="1"/>
  <c r="C48" i="23" s="1"/>
  <c r="D71" i="1"/>
  <c r="J70" i="1"/>
  <c r="B270" i="78" s="1"/>
  <c r="I70" i="1"/>
  <c r="D303" i="78" s="1"/>
  <c r="D302" i="78" s="1"/>
  <c r="H70" i="1"/>
  <c r="E106" i="78" s="1"/>
  <c r="G70" i="1"/>
  <c r="D109" i="78" s="1"/>
  <c r="F70" i="1"/>
  <c r="C106" i="78" s="1"/>
  <c r="E70" i="1"/>
  <c r="B109" i="78" s="1"/>
  <c r="D70" i="1"/>
  <c r="A19" i="23" s="1"/>
  <c r="A27" i="23" s="1"/>
  <c r="H69" i="1"/>
  <c r="E41" i="80" s="1"/>
  <c r="E69" i="1"/>
  <c r="B340" i="78" s="1"/>
  <c r="D69" i="1"/>
  <c r="E68" i="1"/>
  <c r="B40" i="80" s="1"/>
  <c r="B55" i="80" s="1"/>
  <c r="J57" i="1"/>
  <c r="I57" i="1"/>
  <c r="H57" i="1"/>
  <c r="G57" i="1"/>
  <c r="F57" i="1"/>
  <c r="E57" i="1"/>
  <c r="J53" i="1"/>
  <c r="I53" i="1"/>
  <c r="H53" i="1"/>
  <c r="G53" i="1"/>
  <c r="F53" i="1"/>
  <c r="E53" i="1"/>
  <c r="J51" i="1"/>
  <c r="I51" i="1"/>
  <c r="H51" i="1"/>
  <c r="G51" i="1"/>
  <c r="F51" i="1"/>
  <c r="E51" i="1"/>
  <c r="J48" i="1"/>
  <c r="G211" i="23" s="1"/>
  <c r="I48" i="1"/>
  <c r="F211" i="23" s="1"/>
  <c r="H48" i="1"/>
  <c r="E211" i="23" s="1"/>
  <c r="G48" i="1"/>
  <c r="D211" i="23" s="1"/>
  <c r="F48" i="1"/>
  <c r="C211" i="23" s="1"/>
  <c r="E48" i="1"/>
  <c r="B211" i="23" s="1"/>
  <c r="J47" i="1"/>
  <c r="I47" i="1"/>
  <c r="H47" i="1"/>
  <c r="G47" i="1"/>
  <c r="F47" i="1"/>
  <c r="E47" i="1"/>
  <c r="I43" i="1"/>
  <c r="F43" i="1"/>
  <c r="D43" i="1"/>
  <c r="F42" i="1"/>
  <c r="J30" i="1"/>
  <c r="I30" i="1"/>
  <c r="I76" i="1" s="1"/>
  <c r="H30" i="1"/>
  <c r="G30" i="1"/>
  <c r="G76" i="1" s="1"/>
  <c r="F30" i="1"/>
  <c r="E30" i="1"/>
  <c r="E76" i="1" s="1"/>
  <c r="J28" i="1"/>
  <c r="G58" i="23" s="1"/>
  <c r="I28" i="1"/>
  <c r="F58" i="23" s="1"/>
  <c r="H28" i="1"/>
  <c r="E58" i="23" s="1"/>
  <c r="G28" i="1"/>
  <c r="D58" i="23" s="1"/>
  <c r="F28" i="1"/>
  <c r="C58" i="23" s="1"/>
  <c r="E28" i="1"/>
  <c r="B58" i="23" s="1"/>
  <c r="J27" i="1"/>
  <c r="I27" i="1"/>
  <c r="H27" i="1"/>
  <c r="G27" i="1"/>
  <c r="F27" i="1"/>
  <c r="E27" i="1"/>
  <c r="J25" i="1"/>
  <c r="I25" i="1"/>
  <c r="H25" i="1"/>
  <c r="G25" i="1"/>
  <c r="F25" i="1"/>
  <c r="E25" i="1"/>
  <c r="J23" i="1"/>
  <c r="I23" i="1"/>
  <c r="H23" i="1"/>
  <c r="G23" i="1"/>
  <c r="F23" i="1"/>
  <c r="E23" i="1"/>
  <c r="J21" i="1"/>
  <c r="I21" i="1"/>
  <c r="H21" i="1"/>
  <c r="G21" i="1"/>
  <c r="F21" i="1"/>
  <c r="E21" i="1"/>
  <c r="J19" i="1"/>
  <c r="J72" i="1" s="1"/>
  <c r="G19" i="1"/>
  <c r="G72" i="1" s="1"/>
  <c r="F19" i="1"/>
  <c r="F72" i="1" s="1"/>
  <c r="J18" i="1"/>
  <c r="J33" i="1" s="1"/>
  <c r="I18" i="1"/>
  <c r="I71" i="1" s="1"/>
  <c r="H18" i="1"/>
  <c r="H33" i="1" s="1"/>
  <c r="G18" i="1"/>
  <c r="G33" i="1" s="1"/>
  <c r="F18" i="1"/>
  <c r="F33" i="1" s="1"/>
  <c r="E18" i="1"/>
  <c r="E71" i="1" s="1"/>
  <c r="J17" i="1"/>
  <c r="I17" i="1"/>
  <c r="H17" i="1"/>
  <c r="G17" i="1"/>
  <c r="F17" i="1"/>
  <c r="E17" i="1"/>
  <c r="I13" i="1"/>
  <c r="F18" i="23" s="1"/>
  <c r="F26" i="23" s="1"/>
  <c r="F13" i="1"/>
  <c r="D13" i="1"/>
  <c r="F12" i="1"/>
  <c r="C17" i="23" s="1"/>
  <c r="C25" i="23" s="1"/>
  <c r="D102" i="23" l="1"/>
  <c r="D131" i="23" s="1"/>
  <c r="D49" i="23"/>
  <c r="F123" i="36"/>
  <c r="F141" i="36" s="1"/>
  <c r="F194" i="36"/>
  <c r="F207" i="36" s="1"/>
  <c r="F62" i="23"/>
  <c r="F107" i="23"/>
  <c r="I73" i="78"/>
  <c r="F172" i="78"/>
  <c r="E164" i="78"/>
  <c r="B210" i="78"/>
  <c r="B633" i="36"/>
  <c r="B48" i="23"/>
  <c r="B20" i="23"/>
  <c r="B29" i="23" s="1"/>
  <c r="F48" i="23"/>
  <c r="F20" i="23"/>
  <c r="F29" i="23" s="1"/>
  <c r="G685" i="36"/>
  <c r="G700" i="36" s="1"/>
  <c r="G102" i="23"/>
  <c r="G49" i="23"/>
  <c r="C32" i="78"/>
  <c r="I72" i="78"/>
  <c r="E50" i="80"/>
  <c r="E65" i="80" s="1"/>
  <c r="F165" i="78"/>
  <c r="B217" i="78"/>
  <c r="B199" i="78"/>
  <c r="B218" i="78" s="1"/>
  <c r="E47" i="80"/>
  <c r="E62" i="80" s="1"/>
  <c r="F34" i="1"/>
  <c r="F78" i="1" s="1"/>
  <c r="F77" i="1"/>
  <c r="F31" i="1"/>
  <c r="D123" i="36"/>
  <c r="D141" i="36" s="1"/>
  <c r="D107" i="23"/>
  <c r="D62" i="23"/>
  <c r="C164" i="78"/>
  <c r="F173" i="78"/>
  <c r="F50" i="80"/>
  <c r="F65" i="80" s="1"/>
  <c r="G165" i="78"/>
  <c r="G162" i="78"/>
  <c r="F51" i="80" s="1"/>
  <c r="F66" i="80" s="1"/>
  <c r="J34" i="1"/>
  <c r="J78" i="1" s="1"/>
  <c r="J77" i="1"/>
  <c r="J31" i="1"/>
  <c r="C270" i="78"/>
  <c r="B50" i="80"/>
  <c r="B65" i="80" s="1"/>
  <c r="C165" i="78"/>
  <c r="C162" i="78"/>
  <c r="G77" i="1"/>
  <c r="G31" i="1"/>
  <c r="G34" i="1"/>
  <c r="G78" i="1" s="1"/>
  <c r="C102" i="23"/>
  <c r="C49" i="23"/>
  <c r="I74" i="78"/>
  <c r="D217" i="78"/>
  <c r="H77" i="1"/>
  <c r="H31" i="1"/>
  <c r="H34" i="1"/>
  <c r="H78" i="1" s="1"/>
  <c r="B123" i="36"/>
  <c r="B141" i="36" s="1"/>
  <c r="B62" i="23"/>
  <c r="B107" i="23"/>
  <c r="D211" i="78"/>
  <c r="D192" i="78"/>
  <c r="D212" i="78" s="1"/>
  <c r="E217" i="78"/>
  <c r="E322" i="78"/>
  <c r="F321" i="78"/>
  <c r="B35" i="78"/>
  <c r="B44" i="78"/>
  <c r="B54" i="78"/>
  <c r="F54" i="78"/>
  <c r="E75" i="78"/>
  <c r="B99" i="78"/>
  <c r="D103" i="78"/>
  <c r="G106" i="78"/>
  <c r="F109" i="78"/>
  <c r="E112" i="78"/>
  <c r="C114" i="78"/>
  <c r="G114" i="78"/>
  <c r="E115" i="78"/>
  <c r="C146" i="78"/>
  <c r="E150" i="78"/>
  <c r="D43" i="80" s="1"/>
  <c r="D58" i="80" s="1"/>
  <c r="F153" i="78"/>
  <c r="C156" i="78"/>
  <c r="G156" i="78"/>
  <c r="F47" i="80" s="1"/>
  <c r="F62" i="80" s="1"/>
  <c r="D159" i="78"/>
  <c r="C49" i="80" s="1"/>
  <c r="C64" i="80" s="1"/>
  <c r="H159" i="78"/>
  <c r="G49" i="80" s="1"/>
  <c r="G64" i="80" s="1"/>
  <c r="F160" i="78"/>
  <c r="D161" i="78"/>
  <c r="H161" i="78"/>
  <c r="D172" i="78"/>
  <c r="B178" i="78"/>
  <c r="B190" i="78"/>
  <c r="E191" i="78"/>
  <c r="A196" i="78"/>
  <c r="D197" i="78"/>
  <c r="F197" i="78" s="1"/>
  <c r="C198" i="78"/>
  <c r="F198" i="78" s="1"/>
  <c r="C210" i="78"/>
  <c r="B266" i="78"/>
  <c r="E319" i="78"/>
  <c r="E17" i="80"/>
  <c r="E22" i="80"/>
  <c r="C42" i="80"/>
  <c r="C57" i="80" s="1"/>
  <c r="G42" i="80"/>
  <c r="G57" i="80" s="1"/>
  <c r="C44" i="80"/>
  <c r="C59" i="80" s="1"/>
  <c r="G44" i="80"/>
  <c r="G59" i="80" s="1"/>
  <c r="C46" i="80"/>
  <c r="C61" i="80" s="1"/>
  <c r="G46" i="80"/>
  <c r="G61" i="80" s="1"/>
  <c r="G48" i="80"/>
  <c r="G63" i="80" s="1"/>
  <c r="E19" i="23"/>
  <c r="E27" i="23" s="1"/>
  <c r="C120" i="38"/>
  <c r="C136" i="38" s="1"/>
  <c r="C70" i="38"/>
  <c r="C78" i="38" s="1"/>
  <c r="C43" i="38"/>
  <c r="C56" i="38" s="1"/>
  <c r="C15" i="38"/>
  <c r="C29" i="38" s="1"/>
  <c r="C92" i="38"/>
  <c r="C104" i="38" s="1"/>
  <c r="C121" i="36"/>
  <c r="C139" i="36" s="1"/>
  <c r="C81" i="36"/>
  <c r="C98" i="36" s="1"/>
  <c r="C46" i="36"/>
  <c r="C63" i="36" s="1"/>
  <c r="C159" i="36"/>
  <c r="C175" i="36" s="1"/>
  <c r="C43" i="23"/>
  <c r="C16" i="35"/>
  <c r="C31" i="35" s="1"/>
  <c r="C99" i="23"/>
  <c r="D47" i="23"/>
  <c r="D101" i="23"/>
  <c r="B103" i="23"/>
  <c r="B51" i="23"/>
  <c r="F103" i="23"/>
  <c r="F51" i="23"/>
  <c r="D83" i="36"/>
  <c r="D100" i="36" s="1"/>
  <c r="D104" i="23"/>
  <c r="D53" i="23"/>
  <c r="B55" i="23"/>
  <c r="B105" i="23"/>
  <c r="F55" i="23"/>
  <c r="F105" i="23"/>
  <c r="D106" i="23"/>
  <c r="D57" i="23"/>
  <c r="E33" i="1"/>
  <c r="I33" i="1"/>
  <c r="C15" i="40"/>
  <c r="C40" i="40" s="1"/>
  <c r="C160" i="38"/>
  <c r="C185" i="38" s="1"/>
  <c r="C301" i="36"/>
  <c r="H340" i="36" s="1"/>
  <c r="C253" i="36"/>
  <c r="H292" i="36" s="1"/>
  <c r="C166" i="23"/>
  <c r="C206" i="23"/>
  <c r="C60" i="35"/>
  <c r="C72" i="35" s="1"/>
  <c r="F16" i="40"/>
  <c r="E41" i="40" s="1"/>
  <c r="F161" i="38"/>
  <c r="E186" i="38" s="1"/>
  <c r="F302" i="36"/>
  <c r="F254" i="36"/>
  <c r="F61" i="35"/>
  <c r="F73" i="35" s="1"/>
  <c r="F167" i="23"/>
  <c r="F207" i="23"/>
  <c r="D210" i="23"/>
  <c r="D168" i="23"/>
  <c r="G49" i="1"/>
  <c r="B170" i="23"/>
  <c r="B214" i="23"/>
  <c r="F170" i="23"/>
  <c r="F214" i="23"/>
  <c r="D171" i="23"/>
  <c r="D216" i="23"/>
  <c r="E54" i="1"/>
  <c r="I54" i="1"/>
  <c r="B220" i="23"/>
  <c r="B172" i="23"/>
  <c r="F220" i="23"/>
  <c r="F172" i="23"/>
  <c r="E76" i="76"/>
  <c r="E57" i="76"/>
  <c r="E40" i="76"/>
  <c r="E102" i="76"/>
  <c r="E111" i="62"/>
  <c r="E91" i="62"/>
  <c r="E16" i="62"/>
  <c r="E103" i="57"/>
  <c r="G75" i="48"/>
  <c r="E37" i="62"/>
  <c r="E17" i="57"/>
  <c r="G153" i="48"/>
  <c r="G186" i="48" s="1"/>
  <c r="D17" i="48"/>
  <c r="E16" i="76"/>
  <c r="E153" i="57"/>
  <c r="E17" i="49"/>
  <c r="E575" i="36"/>
  <c r="E614" i="36"/>
  <c r="E413" i="36"/>
  <c r="E508" i="36"/>
  <c r="E350" i="36"/>
  <c r="E475" i="36"/>
  <c r="B103" i="76"/>
  <c r="C36" i="63"/>
  <c r="B64" i="63"/>
  <c r="B40" i="62"/>
  <c r="B43" i="62" s="1"/>
  <c r="B21" i="49"/>
  <c r="B112" i="62"/>
  <c r="B72" i="38"/>
  <c r="B80" i="38" s="1"/>
  <c r="B17" i="38"/>
  <c r="B131" i="38"/>
  <c r="B154" i="38" s="1"/>
  <c r="B661" i="36"/>
  <c r="B255" i="36"/>
  <c r="B263" i="36" s="1"/>
  <c r="B279" i="36" s="1"/>
  <c r="B294" i="36" s="1"/>
  <c r="B632" i="36"/>
  <c r="B18" i="35"/>
  <c r="B33" i="35" s="1"/>
  <c r="B36" i="35" s="1"/>
  <c r="B62" i="35"/>
  <c r="B74" i="35" s="1"/>
  <c r="B77" i="35" s="1"/>
  <c r="B45" i="23"/>
  <c r="F17" i="63"/>
  <c r="F103" i="76"/>
  <c r="F112" i="62"/>
  <c r="F114" i="62" s="1"/>
  <c r="F40" i="62"/>
  <c r="F43" i="62" s="1"/>
  <c r="F21" i="49"/>
  <c r="F22" i="49" s="1"/>
  <c r="F72" i="38"/>
  <c r="F80" i="38" s="1"/>
  <c r="F17" i="38"/>
  <c r="F131" i="38"/>
  <c r="F154" i="38" s="1"/>
  <c r="F509" i="36"/>
  <c r="F527" i="36" s="1"/>
  <c r="F255" i="36"/>
  <c r="F263" i="36" s="1"/>
  <c r="F279" i="36" s="1"/>
  <c r="V294" i="36" s="1"/>
  <c r="F545" i="36"/>
  <c r="F560" i="36" s="1"/>
  <c r="F18" i="35"/>
  <c r="F33" i="35" s="1"/>
  <c r="F62" i="35"/>
  <c r="F74" i="35" s="1"/>
  <c r="F45" i="23"/>
  <c r="B654" i="36"/>
  <c r="G48" i="23"/>
  <c r="A97" i="37"/>
  <c r="A36" i="37"/>
  <c r="A78" i="37" s="1"/>
  <c r="A59" i="23"/>
  <c r="A49" i="35"/>
  <c r="D38" i="62"/>
  <c r="D73" i="38"/>
  <c r="D81" i="38" s="1"/>
  <c r="D96" i="37"/>
  <c r="P90" i="37" s="1"/>
  <c r="D97" i="38"/>
  <c r="D109" i="38" s="1"/>
  <c r="D45" i="38"/>
  <c r="D52" i="38" s="1"/>
  <c r="D61" i="23"/>
  <c r="D24" i="35"/>
  <c r="D48" i="35" s="1"/>
  <c r="A194" i="36"/>
  <c r="A205" i="36" s="1"/>
  <c r="A123" i="36"/>
  <c r="A138" i="36" s="1"/>
  <c r="A107" i="23"/>
  <c r="E123" i="36"/>
  <c r="E141" i="36" s="1"/>
  <c r="E194" i="36"/>
  <c r="E207" i="36" s="1"/>
  <c r="E107" i="23"/>
  <c r="E62" i="23"/>
  <c r="E161" i="36"/>
  <c r="E177" i="36" s="1"/>
  <c r="E223" i="36"/>
  <c r="E238" i="36" s="1"/>
  <c r="B32" i="78"/>
  <c r="G12" i="1"/>
  <c r="A148" i="37"/>
  <c r="A157" i="37" s="1"/>
  <c r="A89" i="37"/>
  <c r="J89" i="37" s="1"/>
  <c r="A126" i="37"/>
  <c r="A17" i="37"/>
  <c r="A17" i="35"/>
  <c r="A32" i="35" s="1"/>
  <c r="A81" i="23"/>
  <c r="A143" i="23"/>
  <c r="A44" i="23"/>
  <c r="J13" i="1"/>
  <c r="E101" i="23"/>
  <c r="E119" i="23" s="1"/>
  <c r="E47" i="23"/>
  <c r="H19" i="1"/>
  <c r="H72" i="1" s="1"/>
  <c r="C103" i="23"/>
  <c r="C51" i="23"/>
  <c r="G103" i="23"/>
  <c r="G51" i="23"/>
  <c r="E83" i="36"/>
  <c r="E100" i="36" s="1"/>
  <c r="E104" i="23"/>
  <c r="E53" i="23"/>
  <c r="C105" i="23"/>
  <c r="C55" i="23"/>
  <c r="G105" i="23"/>
  <c r="G55" i="23"/>
  <c r="E106" i="23"/>
  <c r="E57" i="23"/>
  <c r="G42" i="1"/>
  <c r="A207" i="23"/>
  <c r="A167" i="23"/>
  <c r="J43" i="1"/>
  <c r="E168" i="23"/>
  <c r="E179" i="23" s="1"/>
  <c r="E210" i="23"/>
  <c r="H49" i="1"/>
  <c r="C170" i="23"/>
  <c r="C214" i="23"/>
  <c r="G170" i="23"/>
  <c r="G214" i="23"/>
  <c r="E216" i="23"/>
  <c r="E171" i="23"/>
  <c r="F54" i="1"/>
  <c r="J54" i="1"/>
  <c r="C172" i="23"/>
  <c r="C220" i="23"/>
  <c r="G172" i="23"/>
  <c r="G220" i="23"/>
  <c r="B102" i="76"/>
  <c r="B40" i="76"/>
  <c r="B76" i="76"/>
  <c r="B153" i="57"/>
  <c r="B111" i="62"/>
  <c r="B91" i="62"/>
  <c r="B103" i="57"/>
  <c r="D75" i="48"/>
  <c r="D112" i="48" s="1"/>
  <c r="B37" i="62"/>
  <c r="B16" i="62"/>
  <c r="B17" i="49"/>
  <c r="B28" i="49" s="1"/>
  <c r="D153" i="48"/>
  <c r="D186" i="48" s="1"/>
  <c r="B57" i="76"/>
  <c r="B16" i="76"/>
  <c r="B17" i="57"/>
  <c r="B475" i="36"/>
  <c r="B350" i="36"/>
  <c r="B575" i="36"/>
  <c r="B614" i="36"/>
  <c r="B413" i="36"/>
  <c r="B508" i="36"/>
  <c r="I69" i="1"/>
  <c r="C64" i="63"/>
  <c r="G36" i="63"/>
  <c r="C112" i="62"/>
  <c r="C40" i="62"/>
  <c r="C43" i="62" s="1"/>
  <c r="C103" i="76"/>
  <c r="C21" i="49"/>
  <c r="C22" i="49" s="1"/>
  <c r="C131" i="38"/>
  <c r="C154" i="38" s="1"/>
  <c r="C72" i="38"/>
  <c r="C80" i="38" s="1"/>
  <c r="C17" i="38"/>
  <c r="C509" i="36"/>
  <c r="C527" i="36" s="1"/>
  <c r="C255" i="36"/>
  <c r="C263" i="36" s="1"/>
  <c r="C279" i="36" s="1"/>
  <c r="G294" i="36" s="1"/>
  <c r="C18" i="35"/>
  <c r="C33" i="35" s="1"/>
  <c r="C62" i="35"/>
  <c r="C74" i="35" s="1"/>
  <c r="C45" i="23"/>
  <c r="G103" i="76"/>
  <c r="G112" i="62"/>
  <c r="G40" i="62"/>
  <c r="G43" i="62" s="1"/>
  <c r="G17" i="63"/>
  <c r="G21" i="49"/>
  <c r="G22" i="49" s="1"/>
  <c r="G131" i="38"/>
  <c r="G154" i="38" s="1"/>
  <c r="G72" i="38"/>
  <c r="G80" i="38" s="1"/>
  <c r="G17" i="38"/>
  <c r="B653" i="36"/>
  <c r="G545" i="36"/>
  <c r="G560" i="36" s="1"/>
  <c r="G509" i="36"/>
  <c r="G527" i="36" s="1"/>
  <c r="G255" i="36"/>
  <c r="G263" i="36" s="1"/>
  <c r="G279" i="36" s="1"/>
  <c r="G18" i="35"/>
  <c r="G33" i="35" s="1"/>
  <c r="G62" i="35"/>
  <c r="G74" i="35" s="1"/>
  <c r="G45" i="23"/>
  <c r="G71" i="1"/>
  <c r="D115" i="78" s="1"/>
  <c r="A129" i="37"/>
  <c r="A49" i="23"/>
  <c r="A102" i="23"/>
  <c r="A131" i="23" s="1"/>
  <c r="E38" i="62"/>
  <c r="D30" i="48"/>
  <c r="D58" i="48" s="1"/>
  <c r="E97" i="38"/>
  <c r="E109" i="38" s="1"/>
  <c r="E45" i="38"/>
  <c r="E52" i="38" s="1"/>
  <c r="E73" i="38"/>
  <c r="E81" i="38" s="1"/>
  <c r="E96" i="37"/>
  <c r="P91" i="37" s="1"/>
  <c r="E61" i="23"/>
  <c r="E24" i="35"/>
  <c r="E48" i="35" s="1"/>
  <c r="E81" i="1"/>
  <c r="B161" i="36" s="1"/>
  <c r="B177" i="36" s="1"/>
  <c r="I81" i="1"/>
  <c r="B43" i="78"/>
  <c r="C54" i="78"/>
  <c r="G54" i="78"/>
  <c r="F75" i="78"/>
  <c r="E103" i="78"/>
  <c r="D106" i="78"/>
  <c r="C109" i="78"/>
  <c r="G109" i="78"/>
  <c r="B112" i="78"/>
  <c r="F112" i="78"/>
  <c r="I113" i="78"/>
  <c r="D114" i="78"/>
  <c r="B115" i="78"/>
  <c r="F115" i="78"/>
  <c r="F150" i="78"/>
  <c r="C153" i="78"/>
  <c r="G153" i="78"/>
  <c r="F45" i="80" s="1"/>
  <c r="F60" i="80" s="1"/>
  <c r="H156" i="78"/>
  <c r="G47" i="80" s="1"/>
  <c r="G62" i="80" s="1"/>
  <c r="E159" i="78"/>
  <c r="D49" i="80" s="1"/>
  <c r="D64" i="80" s="1"/>
  <c r="E161" i="78"/>
  <c r="E172" i="78"/>
  <c r="C178" i="78"/>
  <c r="C190" i="78"/>
  <c r="B191" i="78"/>
  <c r="E197" i="78"/>
  <c r="E199" i="78" s="1"/>
  <c r="E218" i="78" s="1"/>
  <c r="D210" i="78"/>
  <c r="E303" i="78"/>
  <c r="E302" i="78" s="1"/>
  <c r="B319" i="78"/>
  <c r="C367" i="78"/>
  <c r="B17" i="80"/>
  <c r="B22" i="80"/>
  <c r="F22" i="80"/>
  <c r="B41" i="80"/>
  <c r="D44" i="80"/>
  <c r="D59" i="80" s="1"/>
  <c r="D46" i="80"/>
  <c r="D61" i="80" s="1"/>
  <c r="B19" i="23"/>
  <c r="B27" i="23" s="1"/>
  <c r="F19" i="23"/>
  <c r="F27" i="23" s="1"/>
  <c r="F28" i="23" s="1"/>
  <c r="C20" i="23"/>
  <c r="C29" i="23" s="1"/>
  <c r="G20" i="23"/>
  <c r="G29" i="23" s="1"/>
  <c r="I53" i="78"/>
  <c r="D54" i="78"/>
  <c r="C75" i="78"/>
  <c r="G75" i="78"/>
  <c r="E100" i="78"/>
  <c r="B103" i="78"/>
  <c r="F103" i="78"/>
  <c r="C112" i="78"/>
  <c r="G112" i="78"/>
  <c r="J113" i="78"/>
  <c r="E114" i="78"/>
  <c r="F147" i="78"/>
  <c r="C150" i="78"/>
  <c r="G150" i="78"/>
  <c r="F43" i="80" s="1"/>
  <c r="F58" i="80" s="1"/>
  <c r="E156" i="78"/>
  <c r="D47" i="80" s="1"/>
  <c r="D62" i="80" s="1"/>
  <c r="F159" i="78"/>
  <c r="H160" i="78"/>
  <c r="E216" i="78" s="1"/>
  <c r="B172" i="78"/>
  <c r="D178" i="78"/>
  <c r="C191" i="78"/>
  <c r="E210" i="78"/>
  <c r="B339" i="78"/>
  <c r="B16" i="80"/>
  <c r="B27" i="80" s="1"/>
  <c r="C22" i="80"/>
  <c r="G22" i="80"/>
  <c r="E46" i="80"/>
  <c r="E61" i="80" s="1"/>
  <c r="C19" i="23"/>
  <c r="C27" i="23" s="1"/>
  <c r="C28" i="23" s="1"/>
  <c r="G19" i="23"/>
  <c r="G27" i="23" s="1"/>
  <c r="A21" i="23"/>
  <c r="A31" i="23" s="1"/>
  <c r="A32" i="23" s="1"/>
  <c r="F93" i="38"/>
  <c r="E105" i="38" s="1"/>
  <c r="F121" i="38"/>
  <c r="E137" i="38" s="1"/>
  <c r="F71" i="38"/>
  <c r="E79" i="38" s="1"/>
  <c r="F44" i="38"/>
  <c r="E57" i="38" s="1"/>
  <c r="F16" i="38"/>
  <c r="E30" i="38" s="1"/>
  <c r="F47" i="36"/>
  <c r="E64" i="36" s="1"/>
  <c r="F160" i="36"/>
  <c r="E176" i="36" s="1"/>
  <c r="F122" i="36"/>
  <c r="E140" i="36" s="1"/>
  <c r="F82" i="36"/>
  <c r="E99" i="36" s="1"/>
  <c r="F17" i="35"/>
  <c r="F32" i="35" s="1"/>
  <c r="F100" i="23"/>
  <c r="F44" i="23"/>
  <c r="C93" i="38"/>
  <c r="B105" i="38" s="1"/>
  <c r="C121" i="38"/>
  <c r="B137" i="38" s="1"/>
  <c r="C71" i="38"/>
  <c r="B79" i="38" s="1"/>
  <c r="C44" i="38"/>
  <c r="B57" i="38" s="1"/>
  <c r="C16" i="38"/>
  <c r="B30" i="38" s="1"/>
  <c r="C160" i="36"/>
  <c r="B176" i="36" s="1"/>
  <c r="C122" i="36"/>
  <c r="B140" i="36" s="1"/>
  <c r="C82" i="36"/>
  <c r="B99" i="36" s="1"/>
  <c r="C47" i="36"/>
  <c r="B64" i="36" s="1"/>
  <c r="C44" i="23"/>
  <c r="C17" i="35"/>
  <c r="C32" i="35" s="1"/>
  <c r="C100" i="23"/>
  <c r="B101" i="23"/>
  <c r="B47" i="23"/>
  <c r="F101" i="23"/>
  <c r="F119" i="23" s="1"/>
  <c r="F47" i="23"/>
  <c r="E19" i="1"/>
  <c r="E72" i="1" s="1"/>
  <c r="I19" i="1"/>
  <c r="I72" i="1" s="1"/>
  <c r="D103" i="23"/>
  <c r="D51" i="23"/>
  <c r="B83" i="36"/>
  <c r="B100" i="36" s="1"/>
  <c r="B104" i="23"/>
  <c r="B53" i="23"/>
  <c r="F83" i="36"/>
  <c r="F100" i="36" s="1"/>
  <c r="F104" i="23"/>
  <c r="F53" i="23"/>
  <c r="D55" i="23"/>
  <c r="D105" i="23"/>
  <c r="B106" i="23"/>
  <c r="B57" i="23"/>
  <c r="F106" i="23"/>
  <c r="F57" i="23"/>
  <c r="C161" i="38"/>
  <c r="B186" i="38" s="1"/>
  <c r="C16" i="40"/>
  <c r="B41" i="40" s="1"/>
  <c r="C302" i="36"/>
  <c r="C254" i="36"/>
  <c r="C61" i="35"/>
  <c r="C73" i="35" s="1"/>
  <c r="C167" i="23"/>
  <c r="C207" i="23"/>
  <c r="B210" i="23"/>
  <c r="B168" i="23"/>
  <c r="F210" i="23"/>
  <c r="F168" i="23"/>
  <c r="F179" i="23" s="1"/>
  <c r="E49" i="1"/>
  <c r="I49" i="1"/>
  <c r="D214" i="23"/>
  <c r="D170" i="23"/>
  <c r="B216" i="23"/>
  <c r="B171" i="23"/>
  <c r="F216" i="23"/>
  <c r="F171" i="23"/>
  <c r="G54" i="1"/>
  <c r="D172" i="23"/>
  <c r="D220" i="23"/>
  <c r="B15" i="76"/>
  <c r="B56" i="76"/>
  <c r="B39" i="76"/>
  <c r="B75" i="76"/>
  <c r="B101" i="76"/>
  <c r="B63" i="63"/>
  <c r="B110" i="62"/>
  <c r="B34" i="63"/>
  <c r="B36" i="62"/>
  <c r="B102" i="57"/>
  <c r="B16" i="49"/>
  <c r="B27" i="49" s="1"/>
  <c r="D74" i="48"/>
  <c r="D111" i="48" s="1"/>
  <c r="B90" i="62"/>
  <c r="B152" i="57"/>
  <c r="D152" i="48"/>
  <c r="D185" i="48" s="1"/>
  <c r="B15" i="62"/>
  <c r="B16" i="57"/>
  <c r="B27" i="57" s="1"/>
  <c r="A629" i="36"/>
  <c r="B613" i="36"/>
  <c r="B412" i="36"/>
  <c r="A630" i="36"/>
  <c r="B507" i="36"/>
  <c r="B574" i="36"/>
  <c r="B349" i="36"/>
  <c r="B474" i="36"/>
  <c r="F69" i="1"/>
  <c r="D103" i="76"/>
  <c r="K36" i="63"/>
  <c r="D64" i="63"/>
  <c r="D112" i="62"/>
  <c r="D114" i="62" s="1"/>
  <c r="D21" i="49"/>
  <c r="D22" i="49" s="1"/>
  <c r="D40" i="62"/>
  <c r="C149" i="37"/>
  <c r="D131" i="38"/>
  <c r="D154" i="38" s="1"/>
  <c r="D72" i="38"/>
  <c r="D80" i="38" s="1"/>
  <c r="D17" i="38"/>
  <c r="D18" i="37"/>
  <c r="B639" i="36"/>
  <c r="B660" i="36" s="1"/>
  <c r="D255" i="36"/>
  <c r="D263" i="36" s="1"/>
  <c r="D279" i="36" s="1"/>
  <c r="D509" i="36"/>
  <c r="D527" i="36" s="1"/>
  <c r="I527" i="36" s="1"/>
  <c r="D62" i="35"/>
  <c r="D74" i="35" s="1"/>
  <c r="D45" i="23"/>
  <c r="D18" i="35"/>
  <c r="D33" i="35" s="1"/>
  <c r="A128" i="37"/>
  <c r="A150" i="37"/>
  <c r="A24" i="37"/>
  <c r="A48" i="23"/>
  <c r="A36" i="35"/>
  <c r="F150" i="37"/>
  <c r="F159" i="37" s="1"/>
  <c r="E24" i="37"/>
  <c r="B647" i="36"/>
  <c r="E48" i="23"/>
  <c r="B38" i="62"/>
  <c r="B44" i="62" s="1"/>
  <c r="B97" i="38"/>
  <c r="B109" i="38" s="1"/>
  <c r="B45" i="38"/>
  <c r="B52" i="38" s="1"/>
  <c r="B73" i="38"/>
  <c r="B81" i="38" s="1"/>
  <c r="B82" i="38" s="1"/>
  <c r="B24" i="35"/>
  <c r="B48" i="35" s="1"/>
  <c r="B61" i="23"/>
  <c r="F38" i="62"/>
  <c r="F44" i="62" s="1"/>
  <c r="E30" i="48"/>
  <c r="E58" i="48" s="1"/>
  <c r="F97" i="38"/>
  <c r="F109" i="38" s="1"/>
  <c r="F45" i="38"/>
  <c r="F52" i="38" s="1"/>
  <c r="F73" i="38"/>
  <c r="F81" i="38" s="1"/>
  <c r="F82" i="38" s="1"/>
  <c r="F24" i="35"/>
  <c r="F48" i="35" s="1"/>
  <c r="F61" i="23"/>
  <c r="C123" i="36"/>
  <c r="C141" i="36" s="1"/>
  <c r="C62" i="23"/>
  <c r="C107" i="23"/>
  <c r="G194" i="36"/>
  <c r="G207" i="36" s="1"/>
  <c r="G123" i="36"/>
  <c r="G141" i="36" s="1"/>
  <c r="J141" i="36" s="1"/>
  <c r="G62" i="23"/>
  <c r="G107" i="23"/>
  <c r="A131" i="37"/>
  <c r="A48" i="36"/>
  <c r="A62" i="36" s="1"/>
  <c r="A64" i="23"/>
  <c r="A18" i="36"/>
  <c r="A30" i="36" s="1"/>
  <c r="A108" i="23"/>
  <c r="G223" i="36"/>
  <c r="G238" i="36" s="1"/>
  <c r="G161" i="36"/>
  <c r="G177" i="36" s="1"/>
  <c r="J177" i="36" s="1"/>
  <c r="G13" i="1"/>
  <c r="C101" i="23"/>
  <c r="C119" i="23" s="1"/>
  <c r="C47" i="23"/>
  <c r="G101" i="23"/>
  <c r="G119" i="23" s="1"/>
  <c r="G47" i="23"/>
  <c r="E103" i="23"/>
  <c r="E51" i="23"/>
  <c r="C83" i="36"/>
  <c r="C100" i="36" s="1"/>
  <c r="C53" i="23"/>
  <c r="C104" i="23"/>
  <c r="G83" i="36"/>
  <c r="G100" i="36" s="1"/>
  <c r="J100" i="36" s="1"/>
  <c r="G53" i="23"/>
  <c r="G104" i="23"/>
  <c r="E55" i="23"/>
  <c r="E105" i="23"/>
  <c r="C106" i="23"/>
  <c r="C57" i="23"/>
  <c r="G106" i="23"/>
  <c r="G57" i="23"/>
  <c r="G43" i="1"/>
  <c r="C210" i="23"/>
  <c r="C168" i="23"/>
  <c r="C179" i="23" s="1"/>
  <c r="G210" i="23"/>
  <c r="G168" i="23"/>
  <c r="G179" i="23" s="1"/>
  <c r="F49" i="1"/>
  <c r="J49" i="1"/>
  <c r="E170" i="23"/>
  <c r="E214" i="23"/>
  <c r="C171" i="23"/>
  <c r="C216" i="23"/>
  <c r="G171" i="23"/>
  <c r="G216" i="23"/>
  <c r="H54" i="1"/>
  <c r="E172" i="23"/>
  <c r="E220" i="23"/>
  <c r="F68" i="1"/>
  <c r="A62" i="63"/>
  <c r="A40" i="62"/>
  <c r="A21" i="49"/>
  <c r="A32" i="49" s="1"/>
  <c r="A127" i="37"/>
  <c r="A72" i="38"/>
  <c r="A80" i="38" s="1"/>
  <c r="A17" i="38"/>
  <c r="A36" i="38" s="1"/>
  <c r="A149" i="37"/>
  <c r="A18" i="37"/>
  <c r="A255" i="36"/>
  <c r="A45" i="23"/>
  <c r="A18" i="35"/>
  <c r="A33" i="35" s="1"/>
  <c r="A62" i="35"/>
  <c r="A74" i="35" s="1"/>
  <c r="E103" i="76"/>
  <c r="E17" i="63"/>
  <c r="E112" i="62"/>
  <c r="E40" i="62"/>
  <c r="E21" i="49"/>
  <c r="E22" i="49" s="1"/>
  <c r="E131" i="38"/>
  <c r="E154" i="38" s="1"/>
  <c r="E72" i="38"/>
  <c r="E80" i="38" s="1"/>
  <c r="E17" i="38"/>
  <c r="F149" i="37"/>
  <c r="E18" i="37"/>
  <c r="B668" i="36"/>
  <c r="B669" i="36" s="1"/>
  <c r="B646" i="36"/>
  <c r="E255" i="36"/>
  <c r="E263" i="36" s="1"/>
  <c r="E279" i="36" s="1"/>
  <c r="Q294" i="36" s="1"/>
  <c r="E545" i="36"/>
  <c r="E560" i="36" s="1"/>
  <c r="E509" i="36"/>
  <c r="E527" i="36" s="1"/>
  <c r="E45" i="23"/>
  <c r="E18" i="35"/>
  <c r="E33" i="35" s="1"/>
  <c r="E62" i="35"/>
  <c r="E74" i="35" s="1"/>
  <c r="C38" i="62"/>
  <c r="C44" i="62" s="1"/>
  <c r="C45" i="38"/>
  <c r="C52" i="38" s="1"/>
  <c r="C73" i="38"/>
  <c r="C81" i="38" s="1"/>
  <c r="C82" i="38" s="1"/>
  <c r="C97" i="38"/>
  <c r="C109" i="38" s="1"/>
  <c r="C61" i="23"/>
  <c r="C24" i="35"/>
  <c r="C48" i="35" s="1"/>
  <c r="G38" i="62"/>
  <c r="G44" i="62" s="1"/>
  <c r="F30" i="48"/>
  <c r="F58" i="48" s="1"/>
  <c r="G45" i="38"/>
  <c r="G52" i="38" s="1"/>
  <c r="G73" i="38"/>
  <c r="G81" i="38" s="1"/>
  <c r="G82" i="38" s="1"/>
  <c r="G97" i="38"/>
  <c r="G109" i="38" s="1"/>
  <c r="G61" i="23"/>
  <c r="G24" i="35"/>
  <c r="G48" i="35" s="1"/>
  <c r="B18" i="48"/>
  <c r="B46" i="48" s="1"/>
  <c r="A98" i="37"/>
  <c r="A151" i="37"/>
  <c r="A130" i="37"/>
  <c r="A30" i="37"/>
  <c r="A56" i="37" s="1"/>
  <c r="A82" i="23"/>
  <c r="A42" i="35"/>
  <c r="A63" i="23"/>
  <c r="G81" i="1"/>
  <c r="D161" i="36" s="1"/>
  <c r="D177" i="36" s="1"/>
  <c r="I177" i="36" s="1"/>
  <c r="E44" i="78"/>
  <c r="E70" i="78"/>
  <c r="D75" i="78"/>
  <c r="B100" i="78"/>
  <c r="C103" i="78"/>
  <c r="G103" i="78"/>
  <c r="B106" i="78"/>
  <c r="F106" i="78"/>
  <c r="E109" i="78"/>
  <c r="D112" i="78"/>
  <c r="B114" i="78"/>
  <c r="F114" i="78"/>
  <c r="C147" i="78"/>
  <c r="H150" i="78"/>
  <c r="G43" i="80" s="1"/>
  <c r="G58" i="80" s="1"/>
  <c r="C159" i="78"/>
  <c r="G159" i="78"/>
  <c r="F49" i="80" s="1"/>
  <c r="F64" i="80" s="1"/>
  <c r="E178" i="78"/>
  <c r="C303" i="78"/>
  <c r="C302" i="78" s="1"/>
  <c r="B318" i="78"/>
  <c r="E340" i="78"/>
  <c r="D22" i="80"/>
  <c r="C18" i="23"/>
  <c r="C26" i="23" s="1"/>
  <c r="D19" i="23"/>
  <c r="D27" i="23" s="1"/>
  <c r="A20" i="23"/>
  <c r="A29" i="23" s="1"/>
  <c r="A30" i="23" s="1"/>
  <c r="E20" i="23"/>
  <c r="E29" i="23" s="1"/>
  <c r="E30" i="23" s="1"/>
  <c r="A22" i="23"/>
  <c r="A33" i="23" s="1"/>
  <c r="A34" i="23" s="1"/>
  <c r="J602" i="36"/>
  <c r="A586" i="36" s="1"/>
  <c r="A121" i="23"/>
  <c r="A123" i="23"/>
  <c r="A181" i="23"/>
  <c r="A183" i="23"/>
  <c r="A191" i="23"/>
  <c r="A193" i="23"/>
  <c r="A117" i="23"/>
  <c r="J437" i="36"/>
  <c r="A120" i="23"/>
  <c r="A122" i="23"/>
  <c r="G38" i="36"/>
  <c r="E71" i="36"/>
  <c r="C72" i="36"/>
  <c r="G72" i="36"/>
  <c r="E73" i="36"/>
  <c r="J73" i="36" s="1"/>
  <c r="E106" i="36"/>
  <c r="C107" i="36"/>
  <c r="G107" i="36"/>
  <c r="E108" i="36"/>
  <c r="J108" i="36" s="1"/>
  <c r="D147" i="36"/>
  <c r="B148" i="36"/>
  <c r="F148" i="36"/>
  <c r="D149" i="36"/>
  <c r="I149" i="36" s="1"/>
  <c r="C184" i="36"/>
  <c r="G184" i="36"/>
  <c r="D185" i="36"/>
  <c r="I185" i="36" s="1"/>
  <c r="H185" i="36"/>
  <c r="F212" i="36"/>
  <c r="G213" i="36"/>
  <c r="G244" i="36"/>
  <c r="D437" i="36"/>
  <c r="I602" i="36"/>
  <c r="F600" i="36"/>
  <c r="B602" i="36"/>
  <c r="D631" i="36"/>
  <c r="G37" i="36"/>
  <c r="E39" i="36"/>
  <c r="B71" i="36"/>
  <c r="F71" i="36"/>
  <c r="D72" i="36"/>
  <c r="B106" i="36"/>
  <c r="F106" i="36"/>
  <c r="D107" i="36"/>
  <c r="E147" i="36"/>
  <c r="C148" i="36"/>
  <c r="G148" i="36"/>
  <c r="C183" i="36"/>
  <c r="G183" i="36"/>
  <c r="D184" i="36"/>
  <c r="H184" i="36"/>
  <c r="E185" i="36"/>
  <c r="J185" i="36" s="1"/>
  <c r="G212" i="36"/>
  <c r="E214" i="36"/>
  <c r="G243" i="36"/>
  <c r="E245" i="36"/>
  <c r="H294" i="36"/>
  <c r="C287" i="36"/>
  <c r="C285" i="36"/>
  <c r="AB294" i="36"/>
  <c r="G287" i="36"/>
  <c r="J287" i="36" s="1"/>
  <c r="G285" i="36"/>
  <c r="G286" i="36"/>
  <c r="B333" i="36"/>
  <c r="D334" i="36"/>
  <c r="F335" i="36"/>
  <c r="E436" i="36"/>
  <c r="E437" i="36"/>
  <c r="F466" i="36"/>
  <c r="F465" i="36"/>
  <c r="B533" i="36"/>
  <c r="F535" i="36"/>
  <c r="E566" i="36"/>
  <c r="E565" i="36"/>
  <c r="I595" i="36"/>
  <c r="E602" i="36"/>
  <c r="E38" i="36"/>
  <c r="C71" i="36"/>
  <c r="G71" i="36"/>
  <c r="C106" i="36"/>
  <c r="G106" i="36"/>
  <c r="B147" i="36"/>
  <c r="F147" i="36"/>
  <c r="E184" i="36"/>
  <c r="F214" i="36"/>
  <c r="E244" i="36"/>
  <c r="M294" i="36"/>
  <c r="D286" i="36"/>
  <c r="B286" i="36"/>
  <c r="D287" i="36"/>
  <c r="J294" i="36"/>
  <c r="D311" i="36"/>
  <c r="D327" i="36" s="1"/>
  <c r="C333" i="36"/>
  <c r="E334" i="36"/>
  <c r="G335" i="36"/>
  <c r="J335" i="36" s="1"/>
  <c r="H342" i="36"/>
  <c r="AB342" i="36"/>
  <c r="B372" i="36"/>
  <c r="F374" i="36"/>
  <c r="B437" i="36"/>
  <c r="F437" i="36"/>
  <c r="D435" i="36"/>
  <c r="G467" i="36"/>
  <c r="G466" i="36"/>
  <c r="B498" i="36"/>
  <c r="B497" i="36"/>
  <c r="F498" i="36"/>
  <c r="F497" i="36"/>
  <c r="F499" i="36"/>
  <c r="C534" i="36"/>
  <c r="G534" i="36"/>
  <c r="C533" i="36"/>
  <c r="G535" i="36"/>
  <c r="J535" i="36" s="1"/>
  <c r="A519" i="36" s="1"/>
  <c r="F567" i="36"/>
  <c r="F566" i="36"/>
  <c r="A588" i="36"/>
  <c r="B600" i="36"/>
  <c r="F602" i="36"/>
  <c r="C667" i="36"/>
  <c r="D71" i="36"/>
  <c r="D106" i="36"/>
  <c r="C147" i="36"/>
  <c r="G147" i="36"/>
  <c r="R294" i="36"/>
  <c r="E286" i="36"/>
  <c r="E287" i="36"/>
  <c r="J327" i="36"/>
  <c r="D335" i="36"/>
  <c r="I335" i="36" s="1"/>
  <c r="C373" i="36"/>
  <c r="G373" i="36"/>
  <c r="C372" i="36"/>
  <c r="G374" i="36"/>
  <c r="J374" i="36" s="1"/>
  <c r="E405" i="36"/>
  <c r="E404" i="36"/>
  <c r="E435" i="36"/>
  <c r="G465" i="36"/>
  <c r="C499" i="36"/>
  <c r="C498" i="36"/>
  <c r="G499" i="36"/>
  <c r="J499" i="36" s="1"/>
  <c r="G498" i="36"/>
  <c r="G497" i="36"/>
  <c r="A520" i="36"/>
  <c r="D535" i="36"/>
  <c r="F533" i="36"/>
  <c r="B535" i="36"/>
  <c r="E567" i="36"/>
  <c r="B631" i="36"/>
  <c r="D667" i="36"/>
  <c r="E333" i="36"/>
  <c r="E372" i="36"/>
  <c r="C435" i="36"/>
  <c r="G435" i="36"/>
  <c r="E533" i="36"/>
  <c r="D600" i="36"/>
  <c r="E705" i="36"/>
  <c r="G707" i="36"/>
  <c r="A59" i="37"/>
  <c r="A39" i="37"/>
  <c r="A81" i="37" s="1"/>
  <c r="A52" i="37"/>
  <c r="B36" i="38"/>
  <c r="F36" i="38"/>
  <c r="C36" i="38"/>
  <c r="G36" i="38"/>
  <c r="B84" i="38"/>
  <c r="F84" i="38"/>
  <c r="C84" i="38"/>
  <c r="B100" i="38"/>
  <c r="A201" i="38"/>
  <c r="A181" i="38"/>
  <c r="A206" i="38" s="1"/>
  <c r="G706" i="36"/>
  <c r="A76" i="37"/>
  <c r="A55" i="37"/>
  <c r="A34" i="37"/>
  <c r="C75" i="38"/>
  <c r="G75" i="38"/>
  <c r="E84" i="38"/>
  <c r="E707" i="36"/>
  <c r="E160" i="37"/>
  <c r="D36" i="38"/>
  <c r="E36" i="38"/>
  <c r="D75" i="38"/>
  <c r="G84" i="38"/>
  <c r="B285" i="36"/>
  <c r="F285" i="36"/>
  <c r="B287" i="36"/>
  <c r="F287" i="36"/>
  <c r="D333" i="36"/>
  <c r="D372" i="36"/>
  <c r="B435" i="36"/>
  <c r="F435" i="36"/>
  <c r="D533" i="36"/>
  <c r="C600" i="36"/>
  <c r="G600" i="36"/>
  <c r="A32" i="37"/>
  <c r="A74" i="37"/>
  <c r="A53" i="37"/>
  <c r="A57" i="37"/>
  <c r="A37" i="37"/>
  <c r="A79" i="37" s="1"/>
  <c r="E75" i="38"/>
  <c r="K174" i="37"/>
  <c r="K179" i="37" s="1"/>
  <c r="F176" i="37"/>
  <c r="M175" i="37" s="1"/>
  <c r="M180" i="37" s="1"/>
  <c r="F178" i="37"/>
  <c r="D83" i="38"/>
  <c r="D84" i="38" s="1"/>
  <c r="E100" i="38"/>
  <c r="B107" i="38"/>
  <c r="A135" i="38"/>
  <c r="F139" i="38"/>
  <c r="F141" i="38"/>
  <c r="F143" i="38"/>
  <c r="F145" i="38"/>
  <c r="F147" i="38"/>
  <c r="F149" i="38"/>
  <c r="E152" i="38"/>
  <c r="C153" i="38"/>
  <c r="G153" i="38"/>
  <c r="A174" i="38"/>
  <c r="A196" i="38"/>
  <c r="A53" i="40"/>
  <c r="A33" i="40"/>
  <c r="A58" i="40" s="1"/>
  <c r="A30" i="40"/>
  <c r="E37" i="40"/>
  <c r="E61" i="40"/>
  <c r="G150" i="37"/>
  <c r="G159" i="37" s="1"/>
  <c r="B75" i="38"/>
  <c r="F100" i="38"/>
  <c r="G139" i="38"/>
  <c r="D150" i="38"/>
  <c r="A175" i="38"/>
  <c r="C100" i="38"/>
  <c r="G100" i="38"/>
  <c r="D139" i="38"/>
  <c r="D141" i="38"/>
  <c r="D143" i="38"/>
  <c r="D145" i="38"/>
  <c r="D147" i="38"/>
  <c r="D149" i="38"/>
  <c r="A48" i="40"/>
  <c r="D100" i="38"/>
  <c r="A173" i="38"/>
  <c r="A29" i="40"/>
  <c r="E181" i="48"/>
  <c r="E214" i="48" s="1"/>
  <c r="G80" i="57"/>
  <c r="G85" i="57" s="1"/>
  <c r="G86" i="57" s="1"/>
  <c r="A53" i="62"/>
  <c r="E43" i="62"/>
  <c r="E46" i="62" s="1"/>
  <c r="F46" i="62" s="1"/>
  <c r="G46" i="62" s="1"/>
  <c r="G77" i="62"/>
  <c r="G68" i="62"/>
  <c r="G80" i="62" s="1"/>
  <c r="I113" i="62"/>
  <c r="L35" i="63"/>
  <c r="A54" i="63" s="1"/>
  <c r="A50" i="63"/>
  <c r="B20" i="82"/>
  <c r="D18" i="62"/>
  <c r="D19" i="62" s="1"/>
  <c r="C19" i="62"/>
  <c r="E66" i="62"/>
  <c r="E78" i="62" s="1"/>
  <c r="E80" i="62"/>
  <c r="Z19" i="79"/>
  <c r="Y19" i="79"/>
  <c r="A31" i="40"/>
  <c r="D37" i="40"/>
  <c r="G181" i="48"/>
  <c r="G214" i="48" s="1"/>
  <c r="I181" i="48"/>
  <c r="I214" i="48" s="1"/>
  <c r="F80" i="62"/>
  <c r="F66" i="62"/>
  <c r="F78" i="62" s="1"/>
  <c r="D181" i="48"/>
  <c r="D214" i="48" s="1"/>
  <c r="D43" i="62"/>
  <c r="E114" i="62"/>
  <c r="D147" i="76"/>
  <c r="F147" i="76" s="1"/>
  <c r="G147" i="76" s="1"/>
  <c r="Z10" i="79"/>
  <c r="Y10" i="79"/>
  <c r="X20" i="79" a="1"/>
  <c r="X20" i="79" s="1"/>
  <c r="X11" i="79" a="1"/>
  <c r="X11" i="79" s="1"/>
  <c r="C114" i="62"/>
  <c r="G114" i="62"/>
  <c r="X29" i="79" a="1"/>
  <c r="X29" i="79" s="1"/>
  <c r="X22" i="79" a="1"/>
  <c r="X22" i="79" s="1"/>
  <c r="X15" i="79" a="1"/>
  <c r="X15" i="79" s="1"/>
  <c r="X28" i="79" a="1"/>
  <c r="X28" i="79" s="1"/>
  <c r="X21" i="79" a="1"/>
  <c r="X21" i="79" s="1"/>
  <c r="X14" i="79" a="1"/>
  <c r="X14" i="79" s="1"/>
  <c r="X34" i="79" a="1"/>
  <c r="X34" i="79" s="1"/>
  <c r="X33" i="79" a="1"/>
  <c r="X33" i="79" s="1"/>
  <c r="X32" i="79" a="1"/>
  <c r="X32" i="79" s="1"/>
  <c r="X31" i="79" a="1"/>
  <c r="X31" i="79" s="1"/>
  <c r="X27" i="79" a="1"/>
  <c r="X27" i="79" s="1"/>
  <c r="X26" i="79" a="1"/>
  <c r="X26" i="79" s="1"/>
  <c r="X25" i="79" a="1"/>
  <c r="X25" i="79" s="1"/>
  <c r="X24" i="79" a="1"/>
  <c r="X24" i="79" s="1"/>
  <c r="X12" i="79" a="1"/>
  <c r="X12" i="79" s="1"/>
  <c r="X17" i="79" a="1"/>
  <c r="X17" i="79" s="1"/>
  <c r="X13" i="79" a="1"/>
  <c r="X13" i="79" s="1"/>
  <c r="X16" i="79" a="1"/>
  <c r="X16" i="79" s="1"/>
  <c r="X18" i="79" a="1"/>
  <c r="X18" i="79" s="1"/>
  <c r="X30" i="79" a="1"/>
  <c r="X30" i="79" s="1"/>
  <c r="X23" i="79" a="1"/>
  <c r="X23" i="79" s="1"/>
  <c r="F199" i="78" l="1"/>
  <c r="Z13" i="79"/>
  <c r="Y13" i="79"/>
  <c r="Z30" i="79"/>
  <c r="Y30" i="79"/>
  <c r="Z17" i="79"/>
  <c r="Y17" i="79"/>
  <c r="Z26" i="79"/>
  <c r="Y26" i="79"/>
  <c r="Z33" i="79"/>
  <c r="Y33" i="79"/>
  <c r="Y28" i="79"/>
  <c r="Z28" i="79"/>
  <c r="A56" i="40"/>
  <c r="A36" i="40"/>
  <c r="A61" i="40" s="1"/>
  <c r="G66" i="62"/>
  <c r="G78" i="62" s="1"/>
  <c r="A58" i="37"/>
  <c r="A38" i="37"/>
  <c r="A80" i="37" s="1"/>
  <c r="A90" i="37"/>
  <c r="A46" i="37"/>
  <c r="A66" i="37"/>
  <c r="C75" i="76"/>
  <c r="F34" i="63"/>
  <c r="C101" i="76"/>
  <c r="C15" i="76"/>
  <c r="C63" i="63"/>
  <c r="C110" i="62"/>
  <c r="C36" i="62"/>
  <c r="C15" i="62"/>
  <c r="C90" i="62"/>
  <c r="C152" i="57"/>
  <c r="C102" i="57"/>
  <c r="C16" i="57"/>
  <c r="C27" i="57" s="1"/>
  <c r="E152" i="48"/>
  <c r="E185" i="48" s="1"/>
  <c r="C39" i="76"/>
  <c r="C56" i="76"/>
  <c r="E74" i="48"/>
  <c r="E111" i="48" s="1"/>
  <c r="C16" i="49"/>
  <c r="C27" i="49" s="1"/>
  <c r="C574" i="36"/>
  <c r="C613" i="36"/>
  <c r="C412" i="36"/>
  <c r="C507" i="36"/>
  <c r="C349" i="36"/>
  <c r="C474" i="36"/>
  <c r="C40" i="80"/>
  <c r="C55" i="80" s="1"/>
  <c r="C16" i="80"/>
  <c r="C27" i="80" s="1"/>
  <c r="C339" i="78"/>
  <c r="C69" i="78"/>
  <c r="C43" i="78"/>
  <c r="D146" i="78"/>
  <c r="C99" i="78"/>
  <c r="C318" i="78"/>
  <c r="D161" i="38"/>
  <c r="D171" i="37"/>
  <c r="D16" i="40"/>
  <c r="D302" i="36"/>
  <c r="D254" i="36"/>
  <c r="D167" i="23"/>
  <c r="D207" i="23"/>
  <c r="D61" i="35"/>
  <c r="C135" i="23"/>
  <c r="C123" i="23"/>
  <c r="B648" i="36"/>
  <c r="D36" i="35"/>
  <c r="D34" i="35"/>
  <c r="I279" i="36"/>
  <c r="L294" i="36"/>
  <c r="D193" i="23"/>
  <c r="D182" i="23"/>
  <c r="F212" i="23"/>
  <c r="F169" i="23"/>
  <c r="F133" i="23"/>
  <c r="F121" i="23"/>
  <c r="B49" i="23"/>
  <c r="B102" i="23"/>
  <c r="J527" i="36"/>
  <c r="A521" i="36" s="1"/>
  <c r="C77" i="35"/>
  <c r="C75" i="35"/>
  <c r="F83" i="63"/>
  <c r="C71" i="63"/>
  <c r="C70" i="63"/>
  <c r="G193" i="23"/>
  <c r="G182" i="23"/>
  <c r="C19" i="49"/>
  <c r="C20" i="49" s="1"/>
  <c r="C217" i="23"/>
  <c r="F58" i="1"/>
  <c r="F55" i="1"/>
  <c r="C218" i="23" s="1"/>
  <c r="G191" i="23"/>
  <c r="G180" i="23"/>
  <c r="G132" i="23"/>
  <c r="G120" i="23"/>
  <c r="D44" i="62"/>
  <c r="F75" i="35"/>
  <c r="F77" i="35"/>
  <c r="B45" i="62"/>
  <c r="C45" i="62" s="1"/>
  <c r="D45" i="62" s="1"/>
  <c r="E34" i="1"/>
  <c r="E78" i="1" s="1"/>
  <c r="E77" i="1"/>
  <c r="E31" i="1"/>
  <c r="D133" i="23"/>
  <c r="D121" i="23"/>
  <c r="C128" i="23"/>
  <c r="C116" i="23"/>
  <c r="E28" i="23"/>
  <c r="F18" i="80"/>
  <c r="B216" i="78"/>
  <c r="E45" i="80"/>
  <c r="E60" i="80" s="1"/>
  <c r="C180" i="78"/>
  <c r="G321" i="78"/>
  <c r="G322" i="78" s="1"/>
  <c r="F322" i="78"/>
  <c r="D199" i="78"/>
  <c r="D218" i="78" s="1"/>
  <c r="G73" i="1"/>
  <c r="G32" i="1"/>
  <c r="G74" i="1" s="1"/>
  <c r="J32" i="1"/>
  <c r="J74" i="1" s="1"/>
  <c r="J73" i="1"/>
  <c r="I141" i="36"/>
  <c r="Z18" i="79"/>
  <c r="Y18" i="79"/>
  <c r="Z12" i="79"/>
  <c r="Y12" i="79"/>
  <c r="Z27" i="79"/>
  <c r="Y27" i="79"/>
  <c r="Z34" i="79"/>
  <c r="Y34" i="79"/>
  <c r="Y15" i="79"/>
  <c r="Z15" i="79"/>
  <c r="F179" i="37"/>
  <c r="O175" i="37"/>
  <c r="O180" i="37" s="1"/>
  <c r="A60" i="37"/>
  <c r="A40" i="37"/>
  <c r="A82" i="37" s="1"/>
  <c r="I287" i="36"/>
  <c r="I437" i="36"/>
  <c r="E18" i="80"/>
  <c r="E23" i="80" s="1"/>
  <c r="G181" i="23"/>
  <c r="G192" i="23"/>
  <c r="E180" i="23"/>
  <c r="E191" i="23"/>
  <c r="E134" i="23"/>
  <c r="E122" i="23"/>
  <c r="E72" i="37"/>
  <c r="E51" i="37"/>
  <c r="L46" i="37"/>
  <c r="E29" i="37"/>
  <c r="E77" i="37" s="1"/>
  <c r="L20" i="37"/>
  <c r="A72" i="37"/>
  <c r="A51" i="37"/>
  <c r="C57" i="76"/>
  <c r="C16" i="76"/>
  <c r="C102" i="76"/>
  <c r="C76" i="76"/>
  <c r="C153" i="57"/>
  <c r="C37" i="62"/>
  <c r="C40" i="76"/>
  <c r="C111" i="62"/>
  <c r="C16" i="62"/>
  <c r="E75" i="48"/>
  <c r="C17" i="49"/>
  <c r="C103" i="57"/>
  <c r="E153" i="48"/>
  <c r="C91" i="62"/>
  <c r="C17" i="57"/>
  <c r="B28" i="57" s="1"/>
  <c r="C508" i="36"/>
  <c r="C475" i="36"/>
  <c r="C350" i="36"/>
  <c r="C614" i="36"/>
  <c r="C575" i="36"/>
  <c r="C413" i="36"/>
  <c r="C41" i="80"/>
  <c r="B56" i="80" s="1"/>
  <c r="C17" i="80"/>
  <c r="B28" i="80" s="1"/>
  <c r="C319" i="78"/>
  <c r="C340" i="78"/>
  <c r="C70" i="78"/>
  <c r="C44" i="78"/>
  <c r="D147" i="78"/>
  <c r="C100" i="78"/>
  <c r="C631" i="36"/>
  <c r="E631" i="36"/>
  <c r="A65" i="63"/>
  <c r="A84" i="63" s="1"/>
  <c r="B69" i="63"/>
  <c r="D19" i="49"/>
  <c r="D20" i="49" s="1"/>
  <c r="D178" i="37"/>
  <c r="O173" i="37" s="1"/>
  <c r="O178" i="37" s="1"/>
  <c r="D217" i="23"/>
  <c r="G58" i="1"/>
  <c r="G55" i="1"/>
  <c r="D218" i="23" s="1"/>
  <c r="B212" i="23"/>
  <c r="B169" i="23"/>
  <c r="D134" i="23"/>
  <c r="D122" i="23"/>
  <c r="C129" i="23"/>
  <c r="C117" i="23"/>
  <c r="G23" i="80"/>
  <c r="F178" i="78"/>
  <c r="H164" i="78"/>
  <c r="B43" i="80"/>
  <c r="B58" i="80" s="1"/>
  <c r="B174" i="78"/>
  <c r="F23" i="80"/>
  <c r="G18" i="80"/>
  <c r="G75" i="35"/>
  <c r="G77" i="35"/>
  <c r="C36" i="35"/>
  <c r="C34" i="35"/>
  <c r="F102" i="76"/>
  <c r="F40" i="76"/>
  <c r="F57" i="76"/>
  <c r="F76" i="76"/>
  <c r="F16" i="76"/>
  <c r="F111" i="62"/>
  <c r="F91" i="62"/>
  <c r="F16" i="62"/>
  <c r="F103" i="57"/>
  <c r="H75" i="48"/>
  <c r="F37" i="62"/>
  <c r="H153" i="48"/>
  <c r="E17" i="48"/>
  <c r="D45" i="48" s="1"/>
  <c r="F17" i="57"/>
  <c r="E28" i="57" s="1"/>
  <c r="F17" i="49"/>
  <c r="F153" i="57"/>
  <c r="F475" i="36"/>
  <c r="F350" i="36"/>
  <c r="F575" i="36"/>
  <c r="F508" i="36"/>
  <c r="F614" i="36"/>
  <c r="F413" i="36"/>
  <c r="G147" i="78"/>
  <c r="F100" i="78"/>
  <c r="D367" i="78"/>
  <c r="F41" i="80"/>
  <c r="E56" i="80" s="1"/>
  <c r="F17" i="80"/>
  <c r="E28" i="80" s="1"/>
  <c r="F319" i="78"/>
  <c r="F340" i="78"/>
  <c r="F70" i="78"/>
  <c r="F44" i="78"/>
  <c r="E192" i="23"/>
  <c r="E181" i="23"/>
  <c r="D15" i="40"/>
  <c r="D40" i="40" s="1"/>
  <c r="D160" i="38"/>
  <c r="D185" i="38" s="1"/>
  <c r="D172" i="37"/>
  <c r="D253" i="36"/>
  <c r="M292" i="36" s="1"/>
  <c r="D301" i="36"/>
  <c r="M340" i="36" s="1"/>
  <c r="D206" i="23"/>
  <c r="D60" i="35"/>
  <c r="D72" i="35" s="1"/>
  <c r="D166" i="23"/>
  <c r="H42" i="1"/>
  <c r="G134" i="23"/>
  <c r="G122" i="23"/>
  <c r="E133" i="23"/>
  <c r="E121" i="23"/>
  <c r="F34" i="35"/>
  <c r="F36" i="35"/>
  <c r="B70" i="63"/>
  <c r="E83" i="63"/>
  <c r="D181" i="23"/>
  <c r="D192" i="23"/>
  <c r="I100" i="36"/>
  <c r="E211" i="78"/>
  <c r="E192" i="78"/>
  <c r="E212" i="78" s="1"/>
  <c r="H165" i="78"/>
  <c r="H162" i="78"/>
  <c r="G51" i="80" s="1"/>
  <c r="G66" i="80" s="1"/>
  <c r="G50" i="80"/>
  <c r="G65" i="80" s="1"/>
  <c r="E48" i="36"/>
  <c r="E65" i="36" s="1"/>
  <c r="E18" i="36"/>
  <c r="E32" i="36" s="1"/>
  <c r="E64" i="23"/>
  <c r="E108" i="23"/>
  <c r="K38" i="63"/>
  <c r="C151" i="37"/>
  <c r="D98" i="37"/>
  <c r="D30" i="37"/>
  <c r="D63" i="23"/>
  <c r="D22" i="23"/>
  <c r="D33" i="23" s="1"/>
  <c r="B82" i="23"/>
  <c r="F18" i="48"/>
  <c r="G63" i="23"/>
  <c r="B88" i="23"/>
  <c r="G22" i="23"/>
  <c r="G33" i="23" s="1"/>
  <c r="F32" i="1"/>
  <c r="F74" i="1" s="1"/>
  <c r="F73" i="1"/>
  <c r="D180" i="78"/>
  <c r="B30" i="23"/>
  <c r="Z16" i="79"/>
  <c r="Y16" i="79"/>
  <c r="Z24" i="79"/>
  <c r="Y24" i="79"/>
  <c r="Z31" i="79"/>
  <c r="Y31" i="79"/>
  <c r="Y14" i="79"/>
  <c r="Z14" i="79"/>
  <c r="Z22" i="79"/>
  <c r="Y22" i="79"/>
  <c r="Z11" i="79"/>
  <c r="Y11" i="79"/>
  <c r="X8" i="79"/>
  <c r="A34" i="40"/>
  <c r="A59" i="40" s="1"/>
  <c r="A54" i="40"/>
  <c r="A200" i="38"/>
  <c r="A180" i="38"/>
  <c r="A205" i="38" s="1"/>
  <c r="E75" i="35"/>
  <c r="E77" i="35"/>
  <c r="E90" i="37"/>
  <c r="E46" i="37"/>
  <c r="E66" i="37"/>
  <c r="K46" i="37"/>
  <c r="K20" i="37"/>
  <c r="E182" i="23"/>
  <c r="E193" i="23"/>
  <c r="G212" i="23"/>
  <c r="G169" i="23"/>
  <c r="G190" i="23" s="1"/>
  <c r="G135" i="23"/>
  <c r="G123" i="23"/>
  <c r="C133" i="23"/>
  <c r="C121" i="23"/>
  <c r="E132" i="23"/>
  <c r="E120" i="23"/>
  <c r="A136" i="23"/>
  <c r="A124" i="23"/>
  <c r="D77" i="35"/>
  <c r="D75" i="35"/>
  <c r="D66" i="37"/>
  <c r="D46" i="37"/>
  <c r="K45" i="37"/>
  <c r="D90" i="37"/>
  <c r="D23" i="37"/>
  <c r="D71" i="37" s="1"/>
  <c r="D22" i="37"/>
  <c r="K19" i="37"/>
  <c r="E19" i="37"/>
  <c r="E20" i="37"/>
  <c r="E21" i="37"/>
  <c r="C158" i="37"/>
  <c r="D149" i="37"/>
  <c r="D158" i="37" s="1"/>
  <c r="D70" i="63"/>
  <c r="G83" i="63"/>
  <c r="D72" i="63"/>
  <c r="D71" i="63"/>
  <c r="F192" i="23"/>
  <c r="F181" i="23"/>
  <c r="D191" i="23"/>
  <c r="D180" i="23"/>
  <c r="F135" i="23"/>
  <c r="F123" i="23"/>
  <c r="D132" i="23"/>
  <c r="D120" i="23"/>
  <c r="E129" i="23"/>
  <c r="E117" i="23"/>
  <c r="G28" i="23"/>
  <c r="J27" i="23"/>
  <c r="D18" i="80"/>
  <c r="D23" i="80" s="1"/>
  <c r="C192" i="78"/>
  <c r="C212" i="78" s="1"/>
  <c r="C211" i="78"/>
  <c r="E180" i="78"/>
  <c r="E49" i="80"/>
  <c r="E64" i="80" s="1"/>
  <c r="G30" i="23"/>
  <c r="J29" i="23"/>
  <c r="B23" i="80"/>
  <c r="B18" i="80"/>
  <c r="C18" i="80"/>
  <c r="C23" i="80" s="1"/>
  <c r="B211" i="78"/>
  <c r="B192" i="78"/>
  <c r="B212" i="78" s="1"/>
  <c r="F191" i="78"/>
  <c r="E165" i="78"/>
  <c r="E162" i="78"/>
  <c r="D51" i="80" s="1"/>
  <c r="D66" i="80" s="1"/>
  <c r="D50" i="80"/>
  <c r="D65" i="80" s="1"/>
  <c r="C174" i="78"/>
  <c r="B45" i="80"/>
  <c r="B60" i="80" s="1"/>
  <c r="F161" i="36"/>
  <c r="F223" i="36"/>
  <c r="F238" i="36" s="1"/>
  <c r="P96" i="37"/>
  <c r="G36" i="35"/>
  <c r="G34" i="35"/>
  <c r="B667" i="36"/>
  <c r="C193" i="23"/>
  <c r="C182" i="23"/>
  <c r="C191" i="23"/>
  <c r="C180" i="23"/>
  <c r="G16" i="40"/>
  <c r="G161" i="38"/>
  <c r="G302" i="36"/>
  <c r="G254" i="36"/>
  <c r="G61" i="35"/>
  <c r="G167" i="23"/>
  <c r="G207" i="23"/>
  <c r="C132" i="23"/>
  <c r="C120" i="23"/>
  <c r="G93" i="38"/>
  <c r="G121" i="38"/>
  <c r="G71" i="38"/>
  <c r="G44" i="38"/>
  <c r="G16" i="38"/>
  <c r="G160" i="36"/>
  <c r="G122" i="36"/>
  <c r="G82" i="36"/>
  <c r="G47" i="36"/>
  <c r="G44" i="23"/>
  <c r="G17" i="35"/>
  <c r="G100" i="23"/>
  <c r="G18" i="23"/>
  <c r="J69" i="1"/>
  <c r="P95" i="37"/>
  <c r="B655" i="36"/>
  <c r="B78" i="35"/>
  <c r="B81" i="35"/>
  <c r="B662" i="36"/>
  <c r="B114" i="62"/>
  <c r="I112" i="62"/>
  <c r="I114" i="62" s="1"/>
  <c r="B45" i="63"/>
  <c r="D36" i="63"/>
  <c r="E36" i="63"/>
  <c r="F182" i="23"/>
  <c r="F193" i="23"/>
  <c r="F19" i="49"/>
  <c r="F20" i="49" s="1"/>
  <c r="F217" i="23"/>
  <c r="I58" i="1"/>
  <c r="I55" i="1"/>
  <c r="F218" i="23" s="1"/>
  <c r="D212" i="23"/>
  <c r="D169" i="23"/>
  <c r="C187" i="23"/>
  <c r="C176" i="23"/>
  <c r="D135" i="23"/>
  <c r="D123" i="23"/>
  <c r="D119" i="23"/>
  <c r="C217" i="78"/>
  <c r="C199" i="78"/>
  <c r="C218" i="78" s="1"/>
  <c r="F190" i="78"/>
  <c r="D165" i="78"/>
  <c r="D162" i="78"/>
  <c r="C51" i="80" s="1"/>
  <c r="C66" i="80" s="1"/>
  <c r="C50" i="80"/>
  <c r="C65" i="80" s="1"/>
  <c r="H32" i="1"/>
  <c r="H74" i="1" s="1"/>
  <c r="H73" i="1"/>
  <c r="C131" i="23"/>
  <c r="G48" i="36"/>
  <c r="G65" i="36" s="1"/>
  <c r="J65" i="36" s="1"/>
  <c r="G18" i="36"/>
  <c r="G32" i="36" s="1"/>
  <c r="G64" i="23"/>
  <c r="G108" i="23"/>
  <c r="G38" i="63"/>
  <c r="C63" i="23"/>
  <c r="C22" i="23"/>
  <c r="C33" i="23" s="1"/>
  <c r="C34" i="23" s="1"/>
  <c r="D216" i="78"/>
  <c r="Z23" i="79"/>
  <c r="Y23" i="79"/>
  <c r="Z25" i="79"/>
  <c r="Y25" i="79"/>
  <c r="Z32" i="79"/>
  <c r="Y32" i="79"/>
  <c r="Y21" i="79"/>
  <c r="Z21" i="79"/>
  <c r="Z29" i="79"/>
  <c r="Y29" i="79"/>
  <c r="Z20" i="79"/>
  <c r="Y20" i="79"/>
  <c r="A198" i="38"/>
  <c r="A178" i="38"/>
  <c r="A203" i="38" s="1"/>
  <c r="A35" i="40"/>
  <c r="A60" i="40" s="1"/>
  <c r="A55" i="40"/>
  <c r="A199" i="38"/>
  <c r="A179" i="38"/>
  <c r="A204" i="38" s="1"/>
  <c r="I535" i="36"/>
  <c r="L342" i="36"/>
  <c r="I327" i="36"/>
  <c r="I27" i="23"/>
  <c r="D28" i="23"/>
  <c r="B49" i="80"/>
  <c r="B64" i="80" s="1"/>
  <c r="E174" i="78"/>
  <c r="E34" i="35"/>
  <c r="E36" i="35"/>
  <c r="G149" i="37"/>
  <c r="G158" i="37" s="1"/>
  <c r="F158" i="37"/>
  <c r="F160" i="37" s="1"/>
  <c r="A75" i="63"/>
  <c r="A81" i="63"/>
  <c r="A95" i="63"/>
  <c r="E19" i="49"/>
  <c r="E20" i="49" s="1"/>
  <c r="E178" i="37"/>
  <c r="O174" i="37" s="1"/>
  <c r="O179" i="37" s="1"/>
  <c r="E217" i="23"/>
  <c r="H58" i="1"/>
  <c r="H55" i="1"/>
  <c r="E218" i="23" s="1"/>
  <c r="C181" i="23"/>
  <c r="C192" i="23"/>
  <c r="C212" i="23"/>
  <c r="C169" i="23"/>
  <c r="C190" i="23" s="1"/>
  <c r="G133" i="23"/>
  <c r="G121" i="23"/>
  <c r="D121" i="38"/>
  <c r="D71" i="38"/>
  <c r="D44" i="38"/>
  <c r="D16" i="38"/>
  <c r="D88" i="37"/>
  <c r="C147" i="37"/>
  <c r="D93" i="38"/>
  <c r="D16" i="37"/>
  <c r="D160" i="36"/>
  <c r="D122" i="36"/>
  <c r="D82" i="36"/>
  <c r="D47" i="36"/>
  <c r="D44" i="23"/>
  <c r="D17" i="35"/>
  <c r="D100" i="23"/>
  <c r="G69" i="1"/>
  <c r="D18" i="23"/>
  <c r="B53" i="63"/>
  <c r="M36" i="63"/>
  <c r="L36" i="63"/>
  <c r="A45" i="63"/>
  <c r="A44" i="63"/>
  <c r="C177" i="23"/>
  <c r="C188" i="23"/>
  <c r="F685" i="36"/>
  <c r="F700" i="36" s="1"/>
  <c r="F49" i="23"/>
  <c r="F102" i="23"/>
  <c r="C30" i="23"/>
  <c r="C216" i="78"/>
  <c r="B180" i="78"/>
  <c r="E43" i="80"/>
  <c r="E58" i="80" s="1"/>
  <c r="E82" i="38"/>
  <c r="E44" i="62"/>
  <c r="C150" i="37"/>
  <c r="D24" i="37"/>
  <c r="B640" i="36"/>
  <c r="B641" i="36" s="1"/>
  <c r="D48" i="23"/>
  <c r="D20" i="23"/>
  <c r="D29" i="23" s="1"/>
  <c r="AA294" i="36"/>
  <c r="J279" i="36"/>
  <c r="I36" i="63"/>
  <c r="B49" i="63"/>
  <c r="H36" i="63"/>
  <c r="G19" i="49"/>
  <c r="G20" i="49" s="1"/>
  <c r="G217" i="23"/>
  <c r="J58" i="1"/>
  <c r="J55" i="1"/>
  <c r="G218" i="23" s="1"/>
  <c r="E212" i="23"/>
  <c r="E169" i="23"/>
  <c r="E190" i="23" s="1"/>
  <c r="A177" i="23"/>
  <c r="A188" i="23"/>
  <c r="E135" i="23"/>
  <c r="E123" i="23"/>
  <c r="C134" i="23"/>
  <c r="C122" i="23"/>
  <c r="E685" i="36"/>
  <c r="E700" i="36" s="1"/>
  <c r="E49" i="23"/>
  <c r="E102" i="23"/>
  <c r="E131" i="23" s="1"/>
  <c r="A65" i="37"/>
  <c r="A45" i="37"/>
  <c r="D70" i="38"/>
  <c r="D78" i="38" s="1"/>
  <c r="D43" i="38"/>
  <c r="D56" i="38" s="1"/>
  <c r="D15" i="38"/>
  <c r="D29" i="38" s="1"/>
  <c r="D92" i="38"/>
  <c r="D104" i="38" s="1"/>
  <c r="D120" i="38"/>
  <c r="D136" i="38" s="1"/>
  <c r="B148" i="37"/>
  <c r="D89" i="37"/>
  <c r="D17" i="37"/>
  <c r="D46" i="36"/>
  <c r="D63" i="36" s="1"/>
  <c r="I64" i="36" s="1"/>
  <c r="D159" i="36"/>
  <c r="D175" i="36" s="1"/>
  <c r="I176" i="36" s="1"/>
  <c r="D121" i="36"/>
  <c r="D139" i="36" s="1"/>
  <c r="I140" i="36" s="1"/>
  <c r="D81" i="36"/>
  <c r="D98" i="36" s="1"/>
  <c r="I99" i="36" s="1"/>
  <c r="D16" i="35"/>
  <c r="D31" i="35" s="1"/>
  <c r="D99" i="23"/>
  <c r="D43" i="23"/>
  <c r="H12" i="1"/>
  <c r="D17" i="23"/>
  <c r="D25" i="23" s="1"/>
  <c r="I26" i="23" s="1"/>
  <c r="G68" i="1"/>
  <c r="D82" i="38"/>
  <c r="B37" i="35"/>
  <c r="B42" i="35"/>
  <c r="H103" i="76"/>
  <c r="B19" i="49"/>
  <c r="B18" i="49" s="1"/>
  <c r="B217" i="23"/>
  <c r="E58" i="1"/>
  <c r="E55" i="1"/>
  <c r="B218" i="23" s="1"/>
  <c r="F180" i="23"/>
  <c r="F191" i="23"/>
  <c r="D179" i="23"/>
  <c r="I34" i="1"/>
  <c r="I78" i="1" s="1"/>
  <c r="I77" i="1"/>
  <c r="I31" i="1"/>
  <c r="F134" i="23"/>
  <c r="F122" i="23"/>
  <c r="F132" i="23"/>
  <c r="F120" i="23"/>
  <c r="D267" i="78"/>
  <c r="D268" i="78"/>
  <c r="D269" i="78"/>
  <c r="C266" i="78"/>
  <c r="E267" i="78"/>
  <c r="F179" i="78"/>
  <c r="F164" i="78"/>
  <c r="D174" i="78"/>
  <c r="B47" i="80"/>
  <c r="B62" i="80" s="1"/>
  <c r="I75" i="78"/>
  <c r="D31" i="78"/>
  <c r="D27" i="78"/>
  <c r="D28" i="78"/>
  <c r="D29" i="78"/>
  <c r="D30" i="78"/>
  <c r="D18" i="48"/>
  <c r="F151" i="37"/>
  <c r="E98" i="37"/>
  <c r="E30" i="37"/>
  <c r="E63" i="23"/>
  <c r="E22" i="23"/>
  <c r="E33" i="23" s="1"/>
  <c r="E34" i="23" s="1"/>
  <c r="D48" i="36"/>
  <c r="D65" i="36" s="1"/>
  <c r="D64" i="23"/>
  <c r="D108" i="23"/>
  <c r="B51" i="80"/>
  <c r="B66" i="80" s="1"/>
  <c r="F174" i="78"/>
  <c r="B271" i="78"/>
  <c r="C48" i="36"/>
  <c r="C65" i="36" s="1"/>
  <c r="C64" i="23"/>
  <c r="C108" i="23"/>
  <c r="F162" i="78"/>
  <c r="F30" i="23"/>
  <c r="B634" i="36"/>
  <c r="Z8" i="79" l="1"/>
  <c r="Y8" i="79"/>
  <c r="I32" i="1"/>
  <c r="I74" i="1" s="1"/>
  <c r="I73" i="1"/>
  <c r="E148" i="37"/>
  <c r="E92" i="38"/>
  <c r="E104" i="38" s="1"/>
  <c r="E120" i="38"/>
  <c r="E136" i="38" s="1"/>
  <c r="E89" i="37"/>
  <c r="E70" i="38"/>
  <c r="E78" i="38" s="1"/>
  <c r="E43" i="38"/>
  <c r="E56" i="38" s="1"/>
  <c r="E15" i="38"/>
  <c r="E29" i="38" s="1"/>
  <c r="E17" i="37"/>
  <c r="E159" i="36"/>
  <c r="E175" i="36" s="1"/>
  <c r="E222" i="36"/>
  <c r="E237" i="36" s="1"/>
  <c r="E121" i="36"/>
  <c r="E139" i="36" s="1"/>
  <c r="E81" i="36"/>
  <c r="E98" i="36" s="1"/>
  <c r="E193" i="36"/>
  <c r="E206" i="36" s="1"/>
  <c r="E46" i="36"/>
  <c r="E63" i="36" s="1"/>
  <c r="E17" i="36"/>
  <c r="E31" i="36" s="1"/>
  <c r="E16" i="35"/>
  <c r="E31" i="35" s="1"/>
  <c r="E99" i="23"/>
  <c r="G143" i="23"/>
  <c r="E43" i="23"/>
  <c r="I12" i="1"/>
  <c r="E17" i="23"/>
  <c r="E25" i="23" s="1"/>
  <c r="H68" i="1"/>
  <c r="D65" i="37"/>
  <c r="D45" i="37"/>
  <c r="D16" i="76"/>
  <c r="D57" i="76"/>
  <c r="D40" i="76"/>
  <c r="D37" i="62"/>
  <c r="D102" i="76"/>
  <c r="D16" i="62"/>
  <c r="D17" i="57"/>
  <c r="F153" i="48"/>
  <c r="D153" i="57"/>
  <c r="D103" i="57"/>
  <c r="D91" i="62"/>
  <c r="D76" i="76"/>
  <c r="D111" i="62"/>
  <c r="F75" i="48"/>
  <c r="D17" i="49"/>
  <c r="D614" i="36"/>
  <c r="D413" i="36"/>
  <c r="D508" i="36"/>
  <c r="D575" i="36"/>
  <c r="D350" i="36"/>
  <c r="D475" i="36"/>
  <c r="D41" i="80"/>
  <c r="D17" i="80"/>
  <c r="D319" i="78"/>
  <c r="D340" i="78"/>
  <c r="D70" i="78"/>
  <c r="D44" i="78"/>
  <c r="E147" i="78"/>
  <c r="D100" i="78"/>
  <c r="B367" i="78"/>
  <c r="D64" i="37"/>
  <c r="D44" i="37"/>
  <c r="J19" i="37"/>
  <c r="J45" i="37" s="1"/>
  <c r="E37" i="35"/>
  <c r="E42" i="35"/>
  <c r="G154" i="48"/>
  <c r="G187" i="48" s="1"/>
  <c r="E115" i="57"/>
  <c r="E97" i="37"/>
  <c r="Q91" i="37" s="1"/>
  <c r="Q96" i="37" s="1"/>
  <c r="E36" i="37"/>
  <c r="E21" i="23"/>
  <c r="E31" i="23" s="1"/>
  <c r="E32" i="23" s="1"/>
  <c r="E59" i="23"/>
  <c r="E68" i="37"/>
  <c r="F20" i="37"/>
  <c r="E48" i="37"/>
  <c r="B89" i="23"/>
  <c r="C88" i="23"/>
  <c r="D34" i="23"/>
  <c r="C161" i="37"/>
  <c r="C162" i="37" s="1"/>
  <c r="D151" i="37"/>
  <c r="D161" i="37" s="1"/>
  <c r="F37" i="35"/>
  <c r="F42" i="35"/>
  <c r="G115" i="57"/>
  <c r="I154" i="48"/>
  <c r="I187" i="48" s="1"/>
  <c r="G21" i="23"/>
  <c r="G31" i="23" s="1"/>
  <c r="G59" i="23"/>
  <c r="F85" i="63"/>
  <c r="F88" i="63"/>
  <c r="F86" i="63"/>
  <c r="F89" i="63"/>
  <c r="F190" i="23"/>
  <c r="A49" i="63"/>
  <c r="A48" i="63"/>
  <c r="D136" i="23"/>
  <c r="D124" i="23"/>
  <c r="D46" i="48"/>
  <c r="D25" i="48"/>
  <c r="F180" i="78"/>
  <c r="E51" i="80"/>
  <c r="E66" i="80" s="1"/>
  <c r="E35" i="37"/>
  <c r="E56" i="37"/>
  <c r="M20" i="37"/>
  <c r="E18" i="48"/>
  <c r="F22" i="23"/>
  <c r="F33" i="23" s="1"/>
  <c r="F34" i="23" s="1"/>
  <c r="F63" i="23"/>
  <c r="B22" i="49"/>
  <c r="B20" i="49"/>
  <c r="D72" i="37"/>
  <c r="L19" i="37"/>
  <c r="D29" i="37"/>
  <c r="D77" i="37" s="1"/>
  <c r="D51" i="37"/>
  <c r="L45" i="37"/>
  <c r="F131" i="23"/>
  <c r="E476" i="36"/>
  <c r="E492" i="36" s="1"/>
  <c r="E60" i="23"/>
  <c r="B46" i="63"/>
  <c r="B47" i="63"/>
  <c r="B82" i="35"/>
  <c r="B84" i="35"/>
  <c r="G57" i="76"/>
  <c r="G16" i="76"/>
  <c r="G40" i="76"/>
  <c r="G102" i="76"/>
  <c r="G76" i="76"/>
  <c r="G153" i="57"/>
  <c r="G111" i="62"/>
  <c r="G91" i="62"/>
  <c r="G17" i="57"/>
  <c r="G17" i="49"/>
  <c r="E28" i="49" s="1"/>
  <c r="I75" i="48"/>
  <c r="G112" i="48" s="1"/>
  <c r="G37" i="62"/>
  <c r="G16" i="62"/>
  <c r="G103" i="57"/>
  <c r="I153" i="48"/>
  <c r="F17" i="48"/>
  <c r="G508" i="36"/>
  <c r="G475" i="36"/>
  <c r="G350" i="36"/>
  <c r="G614" i="36"/>
  <c r="G575" i="36"/>
  <c r="G413" i="36"/>
  <c r="E367" i="78"/>
  <c r="G41" i="80"/>
  <c r="G17" i="80"/>
  <c r="G319" i="78"/>
  <c r="G340" i="78"/>
  <c r="G70" i="78"/>
  <c r="G44" i="78"/>
  <c r="H147" i="78"/>
  <c r="G100" i="78"/>
  <c r="F177" i="36"/>
  <c r="F75" i="38"/>
  <c r="E67" i="37"/>
  <c r="E47" i="37"/>
  <c r="F19" i="37"/>
  <c r="M95" i="37"/>
  <c r="L95" i="37"/>
  <c r="N95" i="37"/>
  <c r="O95" i="37"/>
  <c r="K95" i="37"/>
  <c r="N96" i="37"/>
  <c r="K96" i="37"/>
  <c r="M96" i="37"/>
  <c r="O96" i="37"/>
  <c r="L96" i="37"/>
  <c r="C115" i="57"/>
  <c r="E154" i="48"/>
  <c r="E187" i="48" s="1"/>
  <c r="G37" i="63"/>
  <c r="C59" i="23"/>
  <c r="C21" i="23"/>
  <c r="C31" i="23" s="1"/>
  <c r="C32" i="23" s="1"/>
  <c r="F53" i="63"/>
  <c r="L38" i="63"/>
  <c r="M38" i="63"/>
  <c r="C42" i="35"/>
  <c r="C37" i="35"/>
  <c r="G476" i="36"/>
  <c r="G60" i="23"/>
  <c r="E32" i="1"/>
  <c r="E74" i="1" s="1"/>
  <c r="E73" i="1"/>
  <c r="F78" i="35"/>
  <c r="F81" i="35"/>
  <c r="C221" i="23"/>
  <c r="F59" i="1"/>
  <c r="J173" i="37"/>
  <c r="J178" i="37" s="1"/>
  <c r="C69" i="63"/>
  <c r="A66" i="63"/>
  <c r="A87" i="63" s="1"/>
  <c r="E99" i="37"/>
  <c r="R91" i="37"/>
  <c r="R96" i="37" s="1"/>
  <c r="F48" i="36"/>
  <c r="F65" i="36" s="1"/>
  <c r="F18" i="36"/>
  <c r="F32" i="36" s="1"/>
  <c r="F108" i="23"/>
  <c r="F64" i="23"/>
  <c r="D39" i="76"/>
  <c r="D63" i="63"/>
  <c r="D101" i="76"/>
  <c r="D75" i="76"/>
  <c r="D56" i="76"/>
  <c r="D90" i="62"/>
  <c r="F74" i="48"/>
  <c r="F111" i="48" s="1"/>
  <c r="D152" i="57"/>
  <c r="D102" i="57"/>
  <c r="D16" i="57"/>
  <c r="D27" i="57" s="1"/>
  <c r="F152" i="48"/>
  <c r="F185" i="48" s="1"/>
  <c r="D15" i="76"/>
  <c r="D110" i="62"/>
  <c r="D15" i="62"/>
  <c r="J34" i="63"/>
  <c r="D61" i="62"/>
  <c r="D73" i="62" s="1"/>
  <c r="D36" i="62"/>
  <c r="D16" i="49"/>
  <c r="D27" i="49" s="1"/>
  <c r="A637" i="36"/>
  <c r="D474" i="36"/>
  <c r="D349" i="36"/>
  <c r="D574" i="36"/>
  <c r="A636" i="36"/>
  <c r="D507" i="36"/>
  <c r="D613" i="36"/>
  <c r="D412" i="36"/>
  <c r="B366" i="78"/>
  <c r="B300" i="78"/>
  <c r="A266" i="78"/>
  <c r="D43" i="78"/>
  <c r="I44" i="78" s="1"/>
  <c r="C26" i="78"/>
  <c r="A16" i="81"/>
  <c r="H15" i="81" s="1"/>
  <c r="B26" i="78"/>
  <c r="E146" i="78"/>
  <c r="D99" i="78"/>
  <c r="I100" i="78" s="1"/>
  <c r="D318" i="78"/>
  <c r="A285" i="78"/>
  <c r="A21" i="81"/>
  <c r="O15" i="81" s="1"/>
  <c r="D40" i="80"/>
  <c r="D55" i="80" s="1"/>
  <c r="D16" i="80"/>
  <c r="D27" i="80" s="1"/>
  <c r="D339" i="78"/>
  <c r="A231" i="78"/>
  <c r="D69" i="78"/>
  <c r="D17" i="78"/>
  <c r="D128" i="23"/>
  <c r="D116" i="23"/>
  <c r="B157" i="37"/>
  <c r="C148" i="37"/>
  <c r="C157" i="37" s="1"/>
  <c r="G221" i="23"/>
  <c r="J59" i="1"/>
  <c r="B50" i="63"/>
  <c r="C51" i="63"/>
  <c r="I29" i="23"/>
  <c r="D30" i="23"/>
  <c r="C159" i="37"/>
  <c r="C160" i="37" s="1"/>
  <c r="D150" i="37"/>
  <c r="D159" i="37" s="1"/>
  <c r="B54" i="63"/>
  <c r="B55" i="63"/>
  <c r="D148" i="37"/>
  <c r="D157" i="37" s="1"/>
  <c r="C156" i="37"/>
  <c r="H38" i="63"/>
  <c r="I38" i="63"/>
  <c r="F49" i="63"/>
  <c r="F221" i="23"/>
  <c r="I59" i="1"/>
  <c r="E188" i="23"/>
  <c r="E177" i="23"/>
  <c r="G42" i="35"/>
  <c r="G37" i="35"/>
  <c r="D81" i="35"/>
  <c r="D78" i="35"/>
  <c r="E81" i="35"/>
  <c r="E78" i="35"/>
  <c r="C476" i="36"/>
  <c r="C492" i="36" s="1"/>
  <c r="C60" i="23"/>
  <c r="F25" i="48"/>
  <c r="F46" i="48"/>
  <c r="D56" i="37"/>
  <c r="D35" i="37"/>
  <c r="M19" i="37"/>
  <c r="E136" i="23"/>
  <c r="E124" i="23"/>
  <c r="E85" i="63"/>
  <c r="E86" i="63"/>
  <c r="E160" i="38"/>
  <c r="E185" i="38" s="1"/>
  <c r="E172" i="37"/>
  <c r="E15" i="40"/>
  <c r="E40" i="40" s="1"/>
  <c r="E301" i="36"/>
  <c r="R340" i="36" s="1"/>
  <c r="E253" i="36"/>
  <c r="R292" i="36" s="1"/>
  <c r="E60" i="35"/>
  <c r="E72" i="35" s="1"/>
  <c r="E166" i="23"/>
  <c r="E206" i="23"/>
  <c r="I42" i="1"/>
  <c r="G81" i="35"/>
  <c r="G78" i="35"/>
  <c r="D476" i="36"/>
  <c r="D492" i="36" s="1"/>
  <c r="D60" i="23"/>
  <c r="C38" i="63"/>
  <c r="B22" i="23"/>
  <c r="B33" i="23" s="1"/>
  <c r="B34" i="23" s="1"/>
  <c r="B63" i="23"/>
  <c r="C78" i="35"/>
  <c r="C81" i="35"/>
  <c r="G151" i="37"/>
  <c r="G161" i="37" s="1"/>
  <c r="F161" i="37"/>
  <c r="F162" i="37" s="1"/>
  <c r="B221" i="23"/>
  <c r="E59" i="1"/>
  <c r="B49" i="35"/>
  <c r="B50" i="35" s="1"/>
  <c r="B46" i="35"/>
  <c r="B43" i="35"/>
  <c r="J90" i="37"/>
  <c r="J95" i="37" s="1"/>
  <c r="E179" i="37"/>
  <c r="E221" i="23"/>
  <c r="H59" i="1"/>
  <c r="G136" i="23"/>
  <c r="G124" i="23"/>
  <c r="D190" i="23"/>
  <c r="F192" i="78"/>
  <c r="G88" i="63"/>
  <c r="G85" i="63"/>
  <c r="G92" i="63"/>
  <c r="G89" i="63"/>
  <c r="G91" i="63"/>
  <c r="G86" i="63"/>
  <c r="E69" i="37"/>
  <c r="E49" i="37"/>
  <c r="F21" i="37"/>
  <c r="D70" i="37"/>
  <c r="D50" i="37"/>
  <c r="E22" i="37"/>
  <c r="G131" i="23"/>
  <c r="J33" i="23"/>
  <c r="G34" i="23"/>
  <c r="D86" i="23"/>
  <c r="D83" i="23"/>
  <c r="D87" i="23"/>
  <c r="D84" i="23"/>
  <c r="C82" i="23"/>
  <c r="D85" i="23"/>
  <c r="E83" i="23"/>
  <c r="D99" i="37"/>
  <c r="R90" i="37"/>
  <c r="R95" i="37" s="1"/>
  <c r="D176" i="23"/>
  <c r="D187" i="23"/>
  <c r="D179" i="37"/>
  <c r="D221" i="23"/>
  <c r="G59" i="1"/>
  <c r="F182" i="37"/>
  <c r="P175" i="37"/>
  <c r="P180" i="37" s="1"/>
  <c r="K37" i="63"/>
  <c r="D115" i="57"/>
  <c r="F154" i="48"/>
  <c r="F187" i="48" s="1"/>
  <c r="D97" i="37"/>
  <c r="Q90" i="37" s="1"/>
  <c r="Q95" i="37" s="1"/>
  <c r="D36" i="37"/>
  <c r="D59" i="23"/>
  <c r="D21" i="23"/>
  <c r="D31" i="23" s="1"/>
  <c r="B48" i="36"/>
  <c r="B65" i="36" s="1"/>
  <c r="I65" i="36" s="1"/>
  <c r="B108" i="23"/>
  <c r="C136" i="23" s="1"/>
  <c r="B64" i="23"/>
  <c r="D37" i="35"/>
  <c r="D42" i="35"/>
  <c r="D46" i="35" l="1"/>
  <c r="D43" i="35"/>
  <c r="D49" i="35"/>
  <c r="D50" i="35" s="1"/>
  <c r="D222" i="23"/>
  <c r="D173" i="23"/>
  <c r="F69" i="37"/>
  <c r="G21" i="37"/>
  <c r="F49" i="37"/>
  <c r="D78" i="37"/>
  <c r="M45" i="37"/>
  <c r="D41" i="37"/>
  <c r="M37" i="63"/>
  <c r="L37" i="63"/>
  <c r="D53" i="63"/>
  <c r="E87" i="23"/>
  <c r="E70" i="37"/>
  <c r="E50" i="37"/>
  <c r="F22" i="37"/>
  <c r="E173" i="23"/>
  <c r="E222" i="23"/>
  <c r="C84" i="35"/>
  <c r="C82" i="35"/>
  <c r="D38" i="63"/>
  <c r="F45" i="63"/>
  <c r="E38" i="63"/>
  <c r="G84" i="35"/>
  <c r="G82" i="35"/>
  <c r="J174" i="37"/>
  <c r="J179" i="37" s="1"/>
  <c r="F172" i="37"/>
  <c r="J175" i="37" s="1"/>
  <c r="J180" i="37" s="1"/>
  <c r="D84" i="35"/>
  <c r="D82" i="35"/>
  <c r="G222" i="23"/>
  <c r="G173" i="23"/>
  <c r="F82" i="35"/>
  <c r="F84" i="35"/>
  <c r="D53" i="48"/>
  <c r="D29" i="48"/>
  <c r="C124" i="23"/>
  <c r="G105" i="57"/>
  <c r="G104" i="57"/>
  <c r="E101" i="76"/>
  <c r="E56" i="76"/>
  <c r="E15" i="76"/>
  <c r="E15" i="63"/>
  <c r="E39" i="76"/>
  <c r="E61" i="62"/>
  <c r="E73" i="62" s="1"/>
  <c r="E152" i="57"/>
  <c r="E36" i="62"/>
  <c r="E15" i="62"/>
  <c r="E90" i="62"/>
  <c r="G74" i="48"/>
  <c r="G111" i="48" s="1"/>
  <c r="E75" i="76"/>
  <c r="E110" i="62"/>
  <c r="B125" i="57"/>
  <c r="E79" i="57"/>
  <c r="E90" i="57" s="1"/>
  <c r="G152" i="48"/>
  <c r="G185" i="48" s="1"/>
  <c r="D16" i="48"/>
  <c r="D44" i="48" s="1"/>
  <c r="E16" i="49"/>
  <c r="E27" i="49" s="1"/>
  <c r="E16" i="57"/>
  <c r="E27" i="57" s="1"/>
  <c r="E102" i="57"/>
  <c r="E507" i="36"/>
  <c r="E684" i="36"/>
  <c r="E699" i="36" s="1"/>
  <c r="E474" i="36"/>
  <c r="E444" i="36"/>
  <c r="E459" i="36" s="1"/>
  <c r="E349" i="36"/>
  <c r="A644" i="36"/>
  <c r="E613" i="36"/>
  <c r="E574" i="36"/>
  <c r="E412" i="36"/>
  <c r="A643" i="36"/>
  <c r="E382" i="36"/>
  <c r="E397" i="36" s="1"/>
  <c r="E544" i="36"/>
  <c r="E559" i="36" s="1"/>
  <c r="F146" i="78"/>
  <c r="E99" i="78"/>
  <c r="E318" i="78"/>
  <c r="E40" i="80"/>
  <c r="E55" i="80" s="1"/>
  <c r="E16" i="80"/>
  <c r="E27" i="80" s="1"/>
  <c r="E339" i="78"/>
  <c r="E69" i="78"/>
  <c r="B44" i="81"/>
  <c r="F44" i="81" s="1"/>
  <c r="J44" i="81" s="1"/>
  <c r="C366" i="78"/>
  <c r="C300" i="78"/>
  <c r="E43" i="78"/>
  <c r="D182" i="37"/>
  <c r="P173" i="37"/>
  <c r="P178" i="37" s="1"/>
  <c r="F160" i="38"/>
  <c r="F185" i="38" s="1"/>
  <c r="F15" i="40"/>
  <c r="F40" i="40" s="1"/>
  <c r="F301" i="36"/>
  <c r="W340" i="36" s="1"/>
  <c r="F253" i="36"/>
  <c r="W292" i="36" s="1"/>
  <c r="F60" i="35"/>
  <c r="F72" i="35" s="1"/>
  <c r="F166" i="23"/>
  <c r="F206" i="23"/>
  <c r="J42" i="1"/>
  <c r="F173" i="23"/>
  <c r="F222" i="23"/>
  <c r="H476" i="36"/>
  <c r="H492" i="36" s="1"/>
  <c r="G492" i="36"/>
  <c r="J492" i="36" s="1"/>
  <c r="D49" i="63"/>
  <c r="H37" i="63"/>
  <c r="I37" i="63"/>
  <c r="F49" i="35"/>
  <c r="F50" i="35" s="1"/>
  <c r="F46" i="35"/>
  <c r="F43" i="35"/>
  <c r="I33" i="23"/>
  <c r="E23" i="37"/>
  <c r="E71" i="37" s="1"/>
  <c r="E104" i="57"/>
  <c r="E105" i="57"/>
  <c r="E128" i="23"/>
  <c r="E116" i="23"/>
  <c r="E157" i="37"/>
  <c r="F148" i="37"/>
  <c r="F157" i="37" s="1"/>
  <c r="D32" i="23"/>
  <c r="E182" i="37"/>
  <c r="P174" i="37"/>
  <c r="P179" i="37" s="1"/>
  <c r="F29" i="48"/>
  <c r="F53" i="48"/>
  <c r="E82" i="35"/>
  <c r="E84" i="35"/>
  <c r="G49" i="35"/>
  <c r="G50" i="35" s="1"/>
  <c r="G46" i="35"/>
  <c r="G43" i="35"/>
  <c r="A170" i="78"/>
  <c r="A208" i="78"/>
  <c r="A188" i="78"/>
  <c r="F171" i="78"/>
  <c r="F189" i="78" s="1"/>
  <c r="B171" i="78"/>
  <c r="B189" i="78" s="1"/>
  <c r="B209" i="78" s="1"/>
  <c r="C171" i="78"/>
  <c r="C189" i="78" s="1"/>
  <c r="C209" i="78" s="1"/>
  <c r="D171" i="78"/>
  <c r="D189" i="78" s="1"/>
  <c r="D209" i="78" s="1"/>
  <c r="E171" i="78"/>
  <c r="E189" i="78" s="1"/>
  <c r="E209" i="78" s="1"/>
  <c r="A172" i="78"/>
  <c r="A657" i="36"/>
  <c r="C638" i="36"/>
  <c r="E638" i="36"/>
  <c r="D638" i="36"/>
  <c r="B638" i="36"/>
  <c r="A677" i="36"/>
  <c r="A660" i="36"/>
  <c r="A676" i="36"/>
  <c r="A53" i="63"/>
  <c r="A52" i="63"/>
  <c r="F136" i="23"/>
  <c r="F124" i="23"/>
  <c r="C222" i="23"/>
  <c r="C173" i="23"/>
  <c r="C37" i="63"/>
  <c r="D154" i="48"/>
  <c r="D187" i="48" s="1"/>
  <c r="B115" i="57"/>
  <c r="B59" i="23"/>
  <c r="B21" i="23"/>
  <c r="B31" i="23" s="1"/>
  <c r="B32" i="23" s="1"/>
  <c r="F54" i="63"/>
  <c r="F55" i="63"/>
  <c r="F67" i="37"/>
  <c r="F47" i="37"/>
  <c r="F23" i="37"/>
  <c r="F71" i="37" s="1"/>
  <c r="G19" i="37"/>
  <c r="B88" i="35"/>
  <c r="B85" i="35"/>
  <c r="E25" i="48"/>
  <c r="E46" i="48"/>
  <c r="J31" i="23"/>
  <c r="G32" i="23"/>
  <c r="F92" i="38"/>
  <c r="F104" i="38" s="1"/>
  <c r="F120" i="38"/>
  <c r="F136" i="38" s="1"/>
  <c r="F70" i="38"/>
  <c r="F78" i="38" s="1"/>
  <c r="F43" i="38"/>
  <c r="F56" i="38" s="1"/>
  <c r="F15" i="38"/>
  <c r="F29" i="38" s="1"/>
  <c r="F159" i="36"/>
  <c r="F175" i="36" s="1"/>
  <c r="F222" i="36"/>
  <c r="F237" i="36" s="1"/>
  <c r="F121" i="36"/>
  <c r="F139" i="36" s="1"/>
  <c r="F81" i="36"/>
  <c r="F98" i="36" s="1"/>
  <c r="F193" i="36"/>
  <c r="F206" i="36" s="1"/>
  <c r="F46" i="36"/>
  <c r="F63" i="36" s="1"/>
  <c r="F17" i="36"/>
  <c r="F31" i="36" s="1"/>
  <c r="H143" i="23"/>
  <c r="F43" i="23"/>
  <c r="F16" i="35"/>
  <c r="F31" i="35" s="1"/>
  <c r="F99" i="23"/>
  <c r="F17" i="23"/>
  <c r="F25" i="23" s="1"/>
  <c r="I68" i="1"/>
  <c r="J12" i="1"/>
  <c r="E65" i="37"/>
  <c r="E45" i="37"/>
  <c r="F17" i="37"/>
  <c r="J20" i="37"/>
  <c r="J46" i="37" s="1"/>
  <c r="F89" i="37"/>
  <c r="J92" i="37" s="1"/>
  <c r="J97" i="37" s="1"/>
  <c r="J91" i="37"/>
  <c r="J96" i="37" s="1"/>
  <c r="F115" i="57"/>
  <c r="H154" i="48"/>
  <c r="H187" i="48" s="1"/>
  <c r="F59" i="23"/>
  <c r="F21" i="23"/>
  <c r="F31" i="23" s="1"/>
  <c r="F32" i="23" s="1"/>
  <c r="D105" i="57"/>
  <c r="D104" i="57"/>
  <c r="B173" i="23"/>
  <c r="B222" i="23"/>
  <c r="E176" i="23"/>
  <c r="E187" i="23"/>
  <c r="F51" i="63"/>
  <c r="F50" i="63"/>
  <c r="D69" i="63"/>
  <c r="A67" i="63"/>
  <c r="A90" i="63" s="1"/>
  <c r="B476" i="36"/>
  <c r="B492" i="36" s="1"/>
  <c r="I492" i="36" s="1"/>
  <c r="B60" i="23"/>
  <c r="C49" i="35"/>
  <c r="C50" i="35" s="1"/>
  <c r="C46" i="35"/>
  <c r="C43" i="35"/>
  <c r="C104" i="57"/>
  <c r="C105" i="57"/>
  <c r="F68" i="37"/>
  <c r="F48" i="37"/>
  <c r="G20" i="37"/>
  <c r="E78" i="37"/>
  <c r="M46" i="37"/>
  <c r="E41" i="37"/>
  <c r="E46" i="35"/>
  <c r="E43" i="35"/>
  <c r="E49" i="35"/>
  <c r="E50" i="35" s="1"/>
  <c r="F476" i="36"/>
  <c r="F492" i="36" s="1"/>
  <c r="F60" i="23"/>
  <c r="G68" i="37" l="1"/>
  <c r="G48" i="37"/>
  <c r="F15" i="76"/>
  <c r="F56" i="76"/>
  <c r="F39" i="76"/>
  <c r="F75" i="76"/>
  <c r="F110" i="62"/>
  <c r="F79" i="57"/>
  <c r="F90" i="57" s="1"/>
  <c r="F36" i="62"/>
  <c r="F15" i="62"/>
  <c r="F101" i="76"/>
  <c r="F125" i="57"/>
  <c r="H152" i="48"/>
  <c r="H185" i="48" s="1"/>
  <c r="E16" i="48"/>
  <c r="E44" i="48" s="1"/>
  <c r="F16" i="49"/>
  <c r="F27" i="49" s="1"/>
  <c r="F15" i="63"/>
  <c r="F90" i="62"/>
  <c r="F152" i="57"/>
  <c r="F16" i="57"/>
  <c r="F27" i="57" s="1"/>
  <c r="F61" i="62"/>
  <c r="F73" i="62" s="1"/>
  <c r="F102" i="57"/>
  <c r="H74" i="48"/>
  <c r="H111" i="48" s="1"/>
  <c r="F684" i="36"/>
  <c r="F699" i="36" s="1"/>
  <c r="F613" i="36"/>
  <c r="F544" i="36"/>
  <c r="F559" i="36" s="1"/>
  <c r="F412" i="36"/>
  <c r="F382" i="36"/>
  <c r="F397" i="36" s="1"/>
  <c r="F507" i="36"/>
  <c r="F574" i="36"/>
  <c r="F349" i="36"/>
  <c r="F474" i="36"/>
  <c r="F444" i="36"/>
  <c r="F459" i="36" s="1"/>
  <c r="F318" i="78"/>
  <c r="F40" i="80"/>
  <c r="F55" i="80" s="1"/>
  <c r="F16" i="80"/>
  <c r="F27" i="80" s="1"/>
  <c r="F339" i="78"/>
  <c r="F69" i="78"/>
  <c r="D366" i="78"/>
  <c r="D300" i="78"/>
  <c r="F43" i="78"/>
  <c r="G146" i="78"/>
  <c r="F99" i="78"/>
  <c r="G67" i="37"/>
  <c r="G47" i="37"/>
  <c r="B105" i="57"/>
  <c r="B104" i="57"/>
  <c r="C659" i="36"/>
  <c r="E659" i="36"/>
  <c r="D659" i="36"/>
  <c r="B659" i="36"/>
  <c r="F57" i="48"/>
  <c r="F37" i="48"/>
  <c r="I31" i="23"/>
  <c r="F187" i="23"/>
  <c r="F176" i="23"/>
  <c r="F46" i="63"/>
  <c r="F47" i="63"/>
  <c r="E29" i="48"/>
  <c r="E53" i="48"/>
  <c r="E88" i="35"/>
  <c r="E85" i="35"/>
  <c r="D50" i="63"/>
  <c r="D51" i="63"/>
  <c r="F194" i="23"/>
  <c r="F183" i="23"/>
  <c r="F88" i="35"/>
  <c r="F85" i="35"/>
  <c r="E194" i="23"/>
  <c r="E183" i="23"/>
  <c r="G69" i="37"/>
  <c r="G49" i="37"/>
  <c r="F128" i="23"/>
  <c r="F116" i="23"/>
  <c r="D45" i="63"/>
  <c r="E37" i="63"/>
  <c r="D37" i="63"/>
  <c r="G15" i="40"/>
  <c r="G40" i="40" s="1"/>
  <c r="G160" i="38"/>
  <c r="G185" i="38" s="1"/>
  <c r="G301" i="36"/>
  <c r="AB340" i="36" s="1"/>
  <c r="G253" i="36"/>
  <c r="AB292" i="36" s="1"/>
  <c r="G166" i="23"/>
  <c r="G206" i="23"/>
  <c r="G60" i="35"/>
  <c r="G72" i="35" s="1"/>
  <c r="C645" i="36"/>
  <c r="B645" i="36"/>
  <c r="E645" i="36"/>
  <c r="D645" i="36"/>
  <c r="D85" i="35"/>
  <c r="D88" i="35"/>
  <c r="G88" i="35"/>
  <c r="G85" i="35"/>
  <c r="F70" i="37"/>
  <c r="F50" i="37"/>
  <c r="G22" i="37"/>
  <c r="D54" i="63"/>
  <c r="D55" i="63"/>
  <c r="F104" i="57"/>
  <c r="F105" i="57"/>
  <c r="A154" i="37"/>
  <c r="F45" i="37"/>
  <c r="G17" i="37"/>
  <c r="F65" i="37"/>
  <c r="G120" i="38"/>
  <c r="G136" i="38" s="1"/>
  <c r="G70" i="38"/>
  <c r="G78" i="38" s="1"/>
  <c r="G43" i="38"/>
  <c r="G56" i="38" s="1"/>
  <c r="G15" i="38"/>
  <c r="G29" i="38" s="1"/>
  <c r="G92" i="38"/>
  <c r="G104" i="38" s="1"/>
  <c r="G222" i="36"/>
  <c r="G237" i="36" s="1"/>
  <c r="G121" i="36"/>
  <c r="G139" i="36" s="1"/>
  <c r="J140" i="36" s="1"/>
  <c r="G81" i="36"/>
  <c r="G98" i="36" s="1"/>
  <c r="J99" i="36" s="1"/>
  <c r="G193" i="36"/>
  <c r="G206" i="36" s="1"/>
  <c r="G46" i="36"/>
  <c r="G63" i="36" s="1"/>
  <c r="J64" i="36" s="1"/>
  <c r="G17" i="36"/>
  <c r="G31" i="36" s="1"/>
  <c r="G159" i="36"/>
  <c r="G175" i="36" s="1"/>
  <c r="J176" i="36" s="1"/>
  <c r="G43" i="23"/>
  <c r="G16" i="35"/>
  <c r="G31" i="35" s="1"/>
  <c r="G99" i="23"/>
  <c r="I143" i="23"/>
  <c r="J68" i="1"/>
  <c r="G17" i="23"/>
  <c r="G25" i="23" s="1"/>
  <c r="J26" i="23" s="1"/>
  <c r="A88" i="23"/>
  <c r="C183" i="23"/>
  <c r="C194" i="23"/>
  <c r="D57" i="48"/>
  <c r="D37" i="48"/>
  <c r="G183" i="23"/>
  <c r="G194" i="23"/>
  <c r="C88" i="35"/>
  <c r="C85" i="35"/>
  <c r="D183" i="23"/>
  <c r="D194" i="23"/>
  <c r="D65" i="48" l="1"/>
  <c r="D39" i="48"/>
  <c r="D67" i="48" s="1"/>
  <c r="G75" i="76"/>
  <c r="G56" i="76"/>
  <c r="G39" i="76"/>
  <c r="G101" i="76"/>
  <c r="G15" i="63"/>
  <c r="G110" i="62"/>
  <c r="G36" i="62"/>
  <c r="G15" i="62"/>
  <c r="J125" i="57"/>
  <c r="G15" i="76"/>
  <c r="G61" i="62"/>
  <c r="G73" i="62" s="1"/>
  <c r="G102" i="57"/>
  <c r="G16" i="57"/>
  <c r="G27" i="57" s="1"/>
  <c r="I152" i="48"/>
  <c r="I185" i="48" s="1"/>
  <c r="G79" i="57"/>
  <c r="G90" i="57" s="1"/>
  <c r="G90" i="62"/>
  <c r="G152" i="57"/>
  <c r="I74" i="48"/>
  <c r="I111" i="48" s="1"/>
  <c r="F16" i="48"/>
  <c r="F44" i="48" s="1"/>
  <c r="G16" i="49"/>
  <c r="G27" i="49" s="1"/>
  <c r="G574" i="36"/>
  <c r="G684" i="36"/>
  <c r="G699" i="36" s="1"/>
  <c r="A650" i="36"/>
  <c r="G613" i="36"/>
  <c r="G544" i="36"/>
  <c r="G559" i="36" s="1"/>
  <c r="G412" i="36"/>
  <c r="G382" i="36"/>
  <c r="G397" i="36" s="1"/>
  <c r="G474" i="36"/>
  <c r="A651" i="36"/>
  <c r="G444" i="36"/>
  <c r="G459" i="36" s="1"/>
  <c r="G507" i="36"/>
  <c r="G349" i="36"/>
  <c r="G40" i="80"/>
  <c r="G55" i="80" s="1"/>
  <c r="G16" i="80"/>
  <c r="G27" i="80" s="1"/>
  <c r="G339" i="78"/>
  <c r="A270" i="78"/>
  <c r="G69" i="78"/>
  <c r="I69" i="78" s="1"/>
  <c r="E366" i="78"/>
  <c r="E300" i="78"/>
  <c r="A290" i="78"/>
  <c r="G43" i="78"/>
  <c r="J44" i="78" s="1"/>
  <c r="A240" i="78"/>
  <c r="H146" i="78"/>
  <c r="G99" i="78"/>
  <c r="J100" i="78" s="1"/>
  <c r="G318" i="78"/>
  <c r="C17" i="78"/>
  <c r="D26" i="78"/>
  <c r="E17" i="78"/>
  <c r="G187" i="23"/>
  <c r="G176" i="23"/>
  <c r="G70" i="37"/>
  <c r="G50" i="37"/>
  <c r="E37" i="48"/>
  <c r="E57" i="48"/>
  <c r="G128" i="23"/>
  <c r="G116" i="23"/>
  <c r="G65" i="37"/>
  <c r="G45" i="37"/>
  <c r="J21" i="37"/>
  <c r="J47" i="37" s="1"/>
  <c r="A60" i="36"/>
  <c r="A59" i="36"/>
  <c r="A58" i="36"/>
  <c r="D47" i="63"/>
  <c r="D46" i="63"/>
  <c r="F39" i="48"/>
  <c r="F67" i="48" s="1"/>
  <c r="F65" i="48"/>
  <c r="G23" i="37"/>
  <c r="G71" i="37" s="1"/>
  <c r="E39" i="48" l="1"/>
  <c r="E67" i="48" s="1"/>
  <c r="E65" i="48"/>
  <c r="A214" i="78"/>
  <c r="A195" i="78"/>
  <c r="A176" i="78"/>
  <c r="A183" i="78"/>
  <c r="A178" i="78"/>
  <c r="A664" i="36"/>
  <c r="E652" i="36"/>
  <c r="C652" i="36"/>
  <c r="D652" i="36"/>
  <c r="B652" i="36"/>
  <c r="A667" i="36"/>
  <c r="C666" i="36" l="1"/>
  <c r="E666" i="36"/>
  <c r="B666" i="36"/>
  <c r="D666" i="36"/>
</calcChain>
</file>

<file path=xl/comments1.xml><?xml version="1.0" encoding="utf-8"?>
<comments xmlns="http://schemas.openxmlformats.org/spreadsheetml/2006/main">
  <authors>
    <author>moritz</author>
  </authors>
  <commentList>
    <comment ref="O88" authorId="0" shapeId="0">
      <text>
        <r>
          <rPr>
            <b/>
            <sz val="9"/>
            <color indexed="81"/>
            <rFont val="Tahoma"/>
            <family val="2"/>
          </rPr>
          <t xml:space="preserve">please rename:
net earnings oder net expenses?
</t>
        </r>
      </text>
    </comment>
    <comment ref="M171" authorId="0" shapeId="0">
      <text>
        <r>
          <rPr>
            <b/>
            <sz val="9"/>
            <color indexed="81"/>
            <rFont val="Tahoma"/>
            <family val="2"/>
          </rPr>
          <t xml:space="preserve">please rename:
net earnings oder net expenses?
</t>
        </r>
      </text>
    </comment>
  </commentList>
</comments>
</file>

<file path=xl/sharedStrings.xml><?xml version="1.0" encoding="utf-8"?>
<sst xmlns="http://schemas.openxmlformats.org/spreadsheetml/2006/main" count="1640" uniqueCount="617">
  <si>
    <t>EBITDA</t>
  </si>
  <si>
    <t>EBIT</t>
  </si>
  <si>
    <t>Plan</t>
  </si>
  <si>
    <t>XXX AG</t>
  </si>
  <si>
    <t>Peer 1</t>
  </si>
  <si>
    <t>Peer 2</t>
  </si>
  <si>
    <t>Peer 3</t>
  </si>
  <si>
    <t>Peer Max</t>
  </si>
  <si>
    <t>Peer Min</t>
  </si>
  <si>
    <t>Peer Group Min-Max</t>
  </si>
  <si>
    <t>Analyst A</t>
  </si>
  <si>
    <t>Analyst B</t>
  </si>
  <si>
    <t>Analyst C</t>
  </si>
  <si>
    <t>Analyst Min</t>
  </si>
  <si>
    <t>Analyst Min-Max</t>
  </si>
  <si>
    <t>Analyst Consensus</t>
  </si>
  <si>
    <t>Jan</t>
  </si>
  <si>
    <t>Feb</t>
  </si>
  <si>
    <t>Apr</t>
  </si>
  <si>
    <t>Jun</t>
  </si>
  <si>
    <t>IT</t>
  </si>
  <si>
    <t>XXX</t>
  </si>
  <si>
    <t>YYY</t>
  </si>
  <si>
    <t>KPI</t>
  </si>
  <si>
    <t>Ø Peer Group</t>
  </si>
  <si>
    <t>Left</t>
  </si>
  <si>
    <t>Top</t>
  </si>
  <si>
    <t>Right</t>
  </si>
  <si>
    <t>Bottom</t>
  </si>
  <si>
    <t>Ref</t>
  </si>
  <si>
    <t>$A$20:$G$25</t>
  </si>
  <si>
    <t>$I$17:$O$24</t>
  </si>
  <si>
    <t>Segment A</t>
  </si>
  <si>
    <t>Segment B</t>
  </si>
  <si>
    <t>Segment C</t>
  </si>
  <si>
    <t>Segment D</t>
  </si>
  <si>
    <t>$A$4:$G$10</t>
  </si>
  <si>
    <t>$A$4:$G$15</t>
  </si>
  <si>
    <t>$A$5:$D$14</t>
  </si>
  <si>
    <t>$A$5:$G$15</t>
  </si>
  <si>
    <t>$A$4:$G$11</t>
  </si>
  <si>
    <t>$A$4:$G$14</t>
  </si>
  <si>
    <t>$A$20:$G$30</t>
  </si>
  <si>
    <t>$A$4:$D$13</t>
  </si>
  <si>
    <t>$A$18:$D$27</t>
  </si>
  <si>
    <t>EBIT margin</t>
  </si>
  <si>
    <t>Distribution costs</t>
  </si>
  <si>
    <t>Sales</t>
  </si>
  <si>
    <t>Gross profit</t>
  </si>
  <si>
    <t>Gross profit margin</t>
  </si>
  <si>
    <t>EBITDA margin</t>
  </si>
  <si>
    <t>Actual</t>
  </si>
  <si>
    <t>Financial result</t>
  </si>
  <si>
    <t>Taxes</t>
  </si>
  <si>
    <t>Annual profit/loss</t>
  </si>
  <si>
    <t>Research and development costs</t>
  </si>
  <si>
    <t>Scale effects</t>
  </si>
  <si>
    <t>Price reduction</t>
  </si>
  <si>
    <t>Other</t>
  </si>
  <si>
    <t>Depreciation ratio</t>
  </si>
  <si>
    <t>Change of …</t>
  </si>
  <si>
    <t>Negotiations with vendors</t>
  </si>
  <si>
    <t>Reduction of the personnel</t>
  </si>
  <si>
    <t>Higher capacity utilization</t>
  </si>
  <si>
    <t>Not approved cost reductions measures</t>
  </si>
  <si>
    <t>Approved cost reductions measures (total planning period)</t>
  </si>
  <si>
    <t>Total planning period</t>
  </si>
  <si>
    <t>Market study YYY</t>
  </si>
  <si>
    <t>May</t>
  </si>
  <si>
    <t>Mar</t>
  </si>
  <si>
    <t>YTD June 2013</t>
  </si>
  <si>
    <t>Packaging costs</t>
  </si>
  <si>
    <t>Freight costs</t>
  </si>
  <si>
    <t>Transportation insurance</t>
  </si>
  <si>
    <t>Total</t>
  </si>
  <si>
    <t>Rent</t>
  </si>
  <si>
    <t>Change in %</t>
  </si>
  <si>
    <t>Advertising</t>
  </si>
  <si>
    <t>Depreciation</t>
  </si>
  <si>
    <t>Depreciation…</t>
  </si>
  <si>
    <t>Investments</t>
  </si>
  <si>
    <t>Investment rate</t>
  </si>
  <si>
    <t>Changes in fixed assets</t>
  </si>
  <si>
    <t>Opening balance of fixed assets</t>
  </si>
  <si>
    <t>+ Investments</t>
  </si>
  <si>
    <t>- Divestments</t>
  </si>
  <si>
    <t>- Depreciation</t>
  </si>
  <si>
    <t>+/- Revaluations</t>
  </si>
  <si>
    <t>Closing balance of fixed assets</t>
  </si>
  <si>
    <t>Other operating result</t>
  </si>
  <si>
    <t>Other operating result ratio</t>
  </si>
  <si>
    <t>Tariff Increas</t>
  </si>
  <si>
    <t>Total costs</t>
  </si>
  <si>
    <t>Input data</t>
  </si>
  <si>
    <t>For information:</t>
  </si>
  <si>
    <t>Input Data</t>
  </si>
  <si>
    <t>Procurement
conditions</t>
  </si>
  <si>
    <t>€m</t>
  </si>
  <si>
    <t>€'000</t>
  </si>
  <si>
    <t>Forecast vs. budget</t>
  </si>
  <si>
    <t>Comparison YTD June 2013 actuals vs. budget</t>
  </si>
  <si>
    <t>Cost of Sales approach</t>
  </si>
  <si>
    <t>thereof Depreciation</t>
  </si>
  <si>
    <t>Company Name</t>
  </si>
  <si>
    <t>Currency</t>
  </si>
  <si>
    <t>#3</t>
  </si>
  <si>
    <t>check</t>
  </si>
  <si>
    <t>#4</t>
  </si>
  <si>
    <t>#5</t>
  </si>
  <si>
    <t>Sales, Gross Profit, Costs, EBIT</t>
  </si>
  <si>
    <t>…. In comparison to peer group / analysts' expectations / …</t>
  </si>
  <si>
    <t>2. Are the planned types of function costs and the resulting margins consistent with the market expectations?</t>
  </si>
  <si>
    <t>4. Have the distribution costs been plausibly planned?</t>
  </si>
  <si>
    <t>8. Has depreciation (within the function costs) been plausibly planned?</t>
  </si>
  <si>
    <t>#2</t>
  </si>
  <si>
    <t>Captions</t>
  </si>
  <si>
    <t>Analyst Max</t>
  </si>
  <si>
    <t>Comparison forecast vs. budget</t>
  </si>
  <si>
    <t>Check</t>
  </si>
  <si>
    <t>Budget</t>
  </si>
  <si>
    <t>1H</t>
  </si>
  <si>
    <t>FC</t>
  </si>
  <si>
    <t>Input</t>
  </si>
  <si>
    <t>R&amp;D costs</t>
  </si>
  <si>
    <t>in %</t>
  </si>
  <si>
    <t>R&amp;D 
costs</t>
  </si>
  <si>
    <t>Other 
operating 
expenses</t>
  </si>
  <si>
    <t>in % of</t>
  </si>
  <si>
    <t>#6</t>
  </si>
  <si>
    <t>#7</t>
  </si>
  <si>
    <t>7. Has other operating result been plausibly planned?</t>
  </si>
  <si>
    <t>Cost planning</t>
  </si>
  <si>
    <t>Thereof</t>
  </si>
  <si>
    <t>as part of</t>
  </si>
  <si>
    <t>Depreciation and investment rate</t>
  </si>
  <si>
    <t>Employees</t>
  </si>
  <si>
    <t>Others</t>
  </si>
  <si>
    <t>Work book Expenditures from Gross Profit to EBIT Cost of Sales (CoS) (Planning)</t>
  </si>
  <si>
    <t>1. Are the planned expenditures, cost ratios and the resulting planned profit margins plausible developments from the past?</t>
  </si>
  <si>
    <r>
      <t>Operating plan XXX AG</t>
    </r>
    <r>
      <rPr>
        <b/>
        <vertAlign val="superscript"/>
        <sz val="8"/>
        <color rgb="FF00338D"/>
        <rFont val="Arial"/>
        <family val="2"/>
      </rPr>
      <t xml:space="preserve"> </t>
    </r>
  </si>
  <si>
    <t>Profit and Loss Statement XXX AG</t>
  </si>
  <si>
    <r>
      <t>EBIT and EBIT margin over time</t>
    </r>
    <r>
      <rPr>
        <b/>
        <vertAlign val="superscript"/>
        <sz val="8"/>
        <color rgb="FF00338D"/>
        <rFont val="Arial"/>
        <family val="2"/>
      </rPr>
      <t xml:space="preserve"> </t>
    </r>
  </si>
  <si>
    <r>
      <t>Change in EBIT in the planning period</t>
    </r>
    <r>
      <rPr>
        <b/>
        <vertAlign val="superscript"/>
        <sz val="8"/>
        <color rgb="FF00338D"/>
        <rFont val="Arial"/>
        <family val="2"/>
      </rPr>
      <t xml:space="preserve"> </t>
    </r>
  </si>
  <si>
    <r>
      <t>Change of EBIT margin compared to previous year</t>
    </r>
    <r>
      <rPr>
        <b/>
        <vertAlign val="superscript"/>
        <sz val="8"/>
        <color rgb="FF00338D"/>
        <rFont val="Arial"/>
        <family val="2"/>
      </rPr>
      <t xml:space="preserve"> </t>
    </r>
  </si>
  <si>
    <t>Change of EBIT Margin</t>
  </si>
  <si>
    <t>Chart</t>
  </si>
  <si>
    <t>Table</t>
  </si>
  <si>
    <t>Change of EBIT margin</t>
  </si>
  <si>
    <r>
      <t>Composition of expenditures</t>
    </r>
    <r>
      <rPr>
        <b/>
        <vertAlign val="superscript"/>
        <sz val="8"/>
        <color rgb="FF00338D"/>
        <rFont val="Arial"/>
        <family val="2"/>
      </rPr>
      <t xml:space="preserve"> </t>
    </r>
  </si>
  <si>
    <t xml:space="preserve">Development of the cost/income ratios </t>
  </si>
  <si>
    <r>
      <t>Cost reduction measures</t>
    </r>
    <r>
      <rPr>
        <b/>
        <vertAlign val="superscript"/>
        <sz val="8"/>
        <color rgb="FF00338D"/>
        <rFont val="Arial"/>
        <family val="2"/>
      </rPr>
      <t xml:space="preserve"> </t>
    </r>
  </si>
  <si>
    <r>
      <t>EBIT margin in comparison to peer group</t>
    </r>
    <r>
      <rPr>
        <b/>
        <vertAlign val="superscript"/>
        <sz val="8"/>
        <color rgb="FF00338D"/>
        <rFont val="Arial"/>
        <family val="2"/>
      </rPr>
      <t xml:space="preserve"> </t>
    </r>
  </si>
  <si>
    <r>
      <t>EBIT margin in comparison to analysts' expectations</t>
    </r>
    <r>
      <rPr>
        <b/>
        <vertAlign val="superscript"/>
        <sz val="8"/>
        <color rgb="FF00338D"/>
        <rFont val="Arial"/>
        <family val="2"/>
      </rPr>
      <t xml:space="preserve"> </t>
    </r>
  </si>
  <si>
    <t xml:space="preserve">Comparison forecast vs. budget </t>
  </si>
  <si>
    <t>3. Does the current trading/LTM or the current forecast support the cost and profit planning?</t>
  </si>
  <si>
    <r>
      <t>Comparison forecast vs. budget (absolute)</t>
    </r>
    <r>
      <rPr>
        <b/>
        <vertAlign val="superscript"/>
        <sz val="8"/>
        <color rgb="FF00338D"/>
        <rFont val="Arial"/>
        <family val="2"/>
      </rPr>
      <t xml:space="preserve"> </t>
    </r>
  </si>
  <si>
    <r>
      <t>Comparison forecast vs. budget (margin)</t>
    </r>
    <r>
      <rPr>
        <b/>
        <vertAlign val="superscript"/>
        <sz val="8"/>
        <color rgb="FF00338D"/>
        <rFont val="Arial"/>
        <family val="2"/>
      </rPr>
      <t xml:space="preserve"> </t>
    </r>
  </si>
  <si>
    <r>
      <t>Distribution rate in comparison to peer group</t>
    </r>
    <r>
      <rPr>
        <b/>
        <vertAlign val="superscript"/>
        <sz val="8"/>
        <color rgb="FF00338D"/>
        <rFont val="Arial"/>
        <family val="2"/>
      </rPr>
      <t xml:space="preserve"> </t>
    </r>
  </si>
  <si>
    <t>#1</t>
  </si>
  <si>
    <t>5. Have the research and development costs been plausibly planned?</t>
  </si>
  <si>
    <t>6. Have the administrative costs been plausibly planned?</t>
  </si>
  <si>
    <t xml:space="preserve">Depreciation rate in comparison to peer group </t>
  </si>
  <si>
    <t xml:space="preserve">Investment rate in comparison to peer group </t>
  </si>
  <si>
    <r>
      <t>Depreciation and investments over time</t>
    </r>
    <r>
      <rPr>
        <vertAlign val="superscript"/>
        <sz val="8"/>
        <color theme="1"/>
        <rFont val="Arial"/>
        <family val="2"/>
      </rPr>
      <t xml:space="preserve"> </t>
    </r>
  </si>
  <si>
    <r>
      <t>Investment rate in comparison to analysts' expectations</t>
    </r>
    <r>
      <rPr>
        <vertAlign val="superscript"/>
        <sz val="8"/>
        <color theme="1"/>
        <rFont val="Arial"/>
        <family val="2"/>
      </rPr>
      <t xml:space="preserve"> </t>
    </r>
  </si>
  <si>
    <t>Contents</t>
  </si>
  <si>
    <t>Sheet</t>
  </si>
  <si>
    <t>Section</t>
  </si>
  <si>
    <t>Total Cost approach</t>
  </si>
  <si>
    <t>Cost of material</t>
  </si>
  <si>
    <t>Cost of material ratio</t>
  </si>
  <si>
    <t>Overall figures</t>
  </si>
  <si>
    <t xml:space="preserve">1. Are the planned expenditures, cost/income ratios and the resulting planned profit margins plausible developments from the past? </t>
  </si>
  <si>
    <t>Operating plan XXX AG</t>
  </si>
  <si>
    <t xml:space="preserve">Change of EBIT margin compared to previous year
</t>
  </si>
  <si>
    <t xml:space="preserve">Development of the cost/income ratios
</t>
  </si>
  <si>
    <t>2. Are the planned types of expenditures and the resulting margins consistent with the market expectations?</t>
  </si>
  <si>
    <t xml:space="preserve">3. Does the current trading/LTM or the current forecast support the cost and profit planning? </t>
  </si>
  <si>
    <t>Cost of 
material</t>
  </si>
  <si>
    <t>Other 
operating 
result</t>
  </si>
  <si>
    <t xml:space="preserve">4. Are the personnel costs planned plausibly? </t>
  </si>
  <si>
    <t>Headcount (FTE)</t>
  </si>
  <si>
    <t>Contribution margin per employee</t>
  </si>
  <si>
    <t>Personnel costs per employee</t>
  </si>
  <si>
    <t>Earnings per employee</t>
  </si>
  <si>
    <t>Personnel costs</t>
  </si>
  <si>
    <r>
      <t>Earnings per employee in comparison to peer group</t>
    </r>
    <r>
      <rPr>
        <b/>
        <vertAlign val="superscript"/>
        <sz val="8"/>
        <color rgb="FF00338D"/>
        <rFont val="Arial"/>
        <family val="2"/>
      </rPr>
      <t xml:space="preserve"> </t>
    </r>
  </si>
  <si>
    <r>
      <t>Personnel costs per employee in comparison to peer group</t>
    </r>
    <r>
      <rPr>
        <b/>
        <vertAlign val="superscript"/>
        <sz val="8"/>
        <color rgb="FF00338D"/>
        <rFont val="Arial"/>
        <family val="2"/>
      </rPr>
      <t xml:space="preserve"> </t>
    </r>
  </si>
  <si>
    <t>#8</t>
  </si>
  <si>
    <t>Number of employees</t>
  </si>
  <si>
    <t>Währung KPIs</t>
  </si>
  <si>
    <t>Umrechnungsfaktor 1 :</t>
  </si>
  <si>
    <t>#9</t>
  </si>
  <si>
    <t>5. Has other operating result been plausibly planned?</t>
  </si>
  <si>
    <t>Number of Employees</t>
  </si>
  <si>
    <t>6. Has depreciation been plausibly planned?</t>
  </si>
  <si>
    <t xml:space="preserve">WB Gross Profit to EBIT (CoS) - 1. Are the planned expenditures, cost ratios and the resulting planned profit margins plausible developments from the past? </t>
  </si>
  <si>
    <t>WB Gross Profit to EBIT (CoS) - 2. Are the planned types of function costs and the resulting margins consistent with the market expectations?</t>
  </si>
  <si>
    <t>WB Gross Profit to EBIT (CoS) - 4. Have the distribution costs been plausibly planned?</t>
  </si>
  <si>
    <t>WB Gross Profit to EBIT (CoS) - 8. Has depreciation (within the function costs) been plausibly planned?</t>
  </si>
  <si>
    <t xml:space="preserve">WB Gross Profit to EBIT (CoS) - 3. Does the current trading/LTM or the current forecast support the cost and profit planning?  </t>
  </si>
  <si>
    <t>WB Gross Profit to EBIT (CoS) - 7. Has other operating result been plausibly planned?</t>
  </si>
  <si>
    <t xml:space="preserve">WB Gross Profit to EBIT (TCM) - 1. Are the planned expenditures, cost/income ratios and the resulting planned profit margins plausible developments from the past? </t>
  </si>
  <si>
    <t>WB Gross Profit to EBIT (TCM) - 2. Are the planned types of expenditures and the resulting margins consistent with the market expectations?</t>
  </si>
  <si>
    <t xml:space="preserve">WB Gross Profit to EBIT (TCM) - 4. Are the personnel costs planned plausibly? </t>
  </si>
  <si>
    <t>WB Gross Profit to EBIT (TCM) - 6. Has depreciation been plausibly planned?</t>
  </si>
  <si>
    <t xml:space="preserve">WB Gross Profit to EBIT (TCM) - 3. Does the current trading/LTM or the current forecast support the cost and profit planning? </t>
  </si>
  <si>
    <t>WB Gross Profit to EBIT (TCM) - 5. Has other operating result been plausibly planned?</t>
  </si>
  <si>
    <t>Other interest and similar income</t>
  </si>
  <si>
    <t>Other financial result (Participations, securities)</t>
  </si>
  <si>
    <t>Extraordinary result</t>
  </si>
  <si>
    <t>Income from profit transfer</t>
  </si>
  <si>
    <t>Expense from profit transfer</t>
  </si>
  <si>
    <t>(Plus) Adjusted (reclassified) expense (-) / income (+)</t>
  </si>
  <si>
    <t>EBIT for the purpose of valuation</t>
  </si>
  <si>
    <t>Adjustment corporate tax expense</t>
  </si>
  <si>
    <t>Adjustment trade tax expense</t>
  </si>
  <si>
    <t>Active/passive deferred tax expense</t>
  </si>
  <si>
    <t>EAT</t>
  </si>
  <si>
    <t>Investment/Divestment in/of fixed assets</t>
  </si>
  <si>
    <t>Investment/Divestment in/of working capital</t>
  </si>
  <si>
    <t>Increase/reduction of minority interest</t>
  </si>
  <si>
    <t>Increase/reduction of the differential from consolidation</t>
  </si>
  <si>
    <t>Increase/Decrease of other non interest bearing receivables</t>
  </si>
  <si>
    <t>Increase/Decrease of other non interest bearing liabilities</t>
  </si>
  <si>
    <t>Free cash flow</t>
  </si>
  <si>
    <t>Effective income tax</t>
  </si>
  <si>
    <t>Free cash flow after personal taxes</t>
  </si>
  <si>
    <t>+/-</t>
  </si>
  <si>
    <t>-/+</t>
  </si>
  <si>
    <t>Cash flow from ordinary activities</t>
  </si>
  <si>
    <t>Cash in of sold tangible assets</t>
  </si>
  <si>
    <t>+</t>
  </si>
  <si>
    <t>Cash in of sold intangible assets</t>
  </si>
  <si>
    <t>-</t>
  </si>
  <si>
    <t>Cash out from investment in tangible assets</t>
  </si>
  <si>
    <t>Cash out from investment in intangible assets</t>
  </si>
  <si>
    <t xml:space="preserve">Cash in from sold financial assets </t>
  </si>
  <si>
    <t>Cash out from investment in financial assets</t>
  </si>
  <si>
    <t>Cash flow from investing activities</t>
  </si>
  <si>
    <t>Cash in from capital injection</t>
  </si>
  <si>
    <t>Cash out minority interests</t>
  </si>
  <si>
    <t>Cash in from increase of debt</t>
  </si>
  <si>
    <t>Cash out from reduction of debt</t>
  </si>
  <si>
    <t>Cash flow from financing activities</t>
  </si>
  <si>
    <t>Change in cash funds</t>
  </si>
  <si>
    <t>Net income before extraordinary activities</t>
  </si>
  <si>
    <t>Depreciation / Appreciation of non-current assets</t>
  </si>
  <si>
    <t>Accruals</t>
  </si>
  <si>
    <t>Accruals for pension and similar obligations</t>
  </si>
  <si>
    <t>Accruals for pension (non interest bearing)</t>
  </si>
  <si>
    <t>Accruals for pension (interest bearing)</t>
  </si>
  <si>
    <t>Change in accruals</t>
  </si>
  <si>
    <t>Change in special items</t>
  </si>
  <si>
    <t>Profit/Loss from extraordinary return/expense</t>
  </si>
  <si>
    <t>Change of inventories</t>
  </si>
  <si>
    <t>Change of receivables and other assets</t>
  </si>
  <si>
    <t>Change of securities</t>
  </si>
  <si>
    <t>Change of prepaid expense (active)</t>
  </si>
  <si>
    <t>Change of deferred tax assets (active)</t>
  </si>
  <si>
    <t>Change of After A: Equity-equivalent accounts</t>
  </si>
  <si>
    <t>Change of non interest bearing liabilities</t>
  </si>
  <si>
    <t>Change of prepaid expense (passive)</t>
  </si>
  <si>
    <t>Extraordinary income/expense from profit and loss transfer agreements</t>
  </si>
  <si>
    <t>Tax expense</t>
  </si>
  <si>
    <t>Work book Cash Flow (Planning)</t>
  </si>
  <si>
    <t>Work book Expenditures from  Gross Profit to EBIT  Total Cost Method (TCM)  (Planning)</t>
  </si>
  <si>
    <t>1. What cash flows are available to providers of capital and what are the  main drivers for changes over time?</t>
  </si>
  <si>
    <t>2. To what extent is the company able to convert operative results or sales into cash flows over time?</t>
  </si>
  <si>
    <t>3. Does the planned cash flow correspond to market expectations (benchmarking)?</t>
  </si>
  <si>
    <t>WB Cash Flow - 1. What cash flows are available to providers of capital and what are the  main drivers for changes over time?</t>
  </si>
  <si>
    <t>Cash Flow</t>
  </si>
  <si>
    <t>Cash conversion rate and FCF in % of sales</t>
  </si>
  <si>
    <t>Free Cashflow</t>
  </si>
  <si>
    <t>01_P&amp;L_small</t>
  </si>
  <si>
    <t>01_P&amp;L_big</t>
  </si>
  <si>
    <t>02_Comparison</t>
  </si>
  <si>
    <t>03_FC vs. Budget</t>
  </si>
  <si>
    <t>04_Cost split up_small</t>
  </si>
  <si>
    <t>04_Cost split up_big</t>
  </si>
  <si>
    <t>05_Cashflow_big</t>
  </si>
  <si>
    <t>05_Cashflow_small</t>
  </si>
  <si>
    <t>WB Cash Flow - 2. To what extent is the company able to convert operative results or sales into cash flows over time?</t>
  </si>
  <si>
    <r>
      <t>Cash conversion rate in comparison to peer group</t>
    </r>
    <r>
      <rPr>
        <b/>
        <vertAlign val="superscript"/>
        <sz val="8"/>
        <color rgb="FF00338D"/>
        <rFont val="Arial"/>
        <family val="2"/>
      </rPr>
      <t xml:space="preserve"> </t>
    </r>
  </si>
  <si>
    <r>
      <t>Cash conversion rate in comparison to analysts‘ expectations</t>
    </r>
    <r>
      <rPr>
        <b/>
        <vertAlign val="superscript"/>
        <sz val="8"/>
        <color rgb="FF00338D"/>
        <rFont val="Arial"/>
        <family val="2"/>
      </rPr>
      <t xml:space="preserve"> </t>
    </r>
  </si>
  <si>
    <t>WB Cash Flow - 3. Does the planned cash flow correspond to market expectations (benchmarking)?</t>
  </si>
  <si>
    <t>#10</t>
  </si>
  <si>
    <t>#11</t>
  </si>
  <si>
    <t>Composition of net debt</t>
  </si>
  <si>
    <t>Senior Debt</t>
  </si>
  <si>
    <t>Mezzanine</t>
  </si>
  <si>
    <t>Working capital</t>
  </si>
  <si>
    <t>Liquid assets</t>
  </si>
  <si>
    <t>Net debt</t>
  </si>
  <si>
    <t>Net debt ratio (market value)</t>
  </si>
  <si>
    <t>Origin and purpose of funds</t>
  </si>
  <si>
    <t>Origin of the funds</t>
  </si>
  <si>
    <t>Operating profit</t>
  </si>
  <si>
    <t>Divestment of fixed assets</t>
  </si>
  <si>
    <t>Reduction of working capital</t>
  </si>
  <si>
    <t>Purpose of funds</t>
  </si>
  <si>
    <t>Distribution</t>
  </si>
  <si>
    <t>Increase in cash</t>
  </si>
  <si>
    <t>Redemption of debt</t>
  </si>
  <si>
    <t>Opening balance of the net debt</t>
  </si>
  <si>
    <t>- Redemption of debt</t>
  </si>
  <si>
    <t>+ Increase of debt</t>
  </si>
  <si>
    <t>+/- Change in cash and cash equivalents</t>
  </si>
  <si>
    <t>+/- XXX</t>
  </si>
  <si>
    <t>Closing balance of the net debt</t>
  </si>
  <si>
    <t>Interest coverage ratio</t>
  </si>
  <si>
    <t>XXX Covenant</t>
  </si>
  <si>
    <t>Limit XXX Covenant</t>
  </si>
  <si>
    <t>Net Debt</t>
  </si>
  <si>
    <t>Interest expenditures</t>
  </si>
  <si>
    <t>Q1</t>
  </si>
  <si>
    <t>Q2</t>
  </si>
  <si>
    <t>Q3</t>
  </si>
  <si>
    <t>Q4</t>
  </si>
  <si>
    <t>Agreed credit line A</t>
  </si>
  <si>
    <t>Borrowing requirements</t>
  </si>
  <si>
    <t>∆ Market value</t>
  </si>
  <si>
    <t>Work book Financing (Planning)</t>
  </si>
  <si>
    <t>1. How is the net debt composed and how does it develop over time?</t>
  </si>
  <si>
    <t>2. What causes changes in net debt over time and what assumptions have been made for (re)financing/repayment?</t>
  </si>
  <si>
    <t>3. Is there sufficient financing headroom?</t>
  </si>
  <si>
    <t xml:space="preserve">4. Do special aspects of the financing have to be considered in  a valuation? </t>
  </si>
  <si>
    <t>06_Financing</t>
  </si>
  <si>
    <t>Financing</t>
  </si>
  <si>
    <t>WB Financing - 1. How is the net debt composed and how does it develop over time?</t>
  </si>
  <si>
    <t>WB Financing - 2. What causes changes in net debt over time and what assumptions have been made for (re)financing/repayment?</t>
  </si>
  <si>
    <r>
      <t>Covenants</t>
    </r>
    <r>
      <rPr>
        <b/>
        <vertAlign val="superscript"/>
        <sz val="8"/>
        <color rgb="FF00338D"/>
        <rFont val="Arial"/>
        <family val="2"/>
      </rPr>
      <t xml:space="preserve"> </t>
    </r>
  </si>
  <si>
    <t>Capital needs and line of credit</t>
  </si>
  <si>
    <r>
      <t>Debt (book value vs. market value)</t>
    </r>
    <r>
      <rPr>
        <b/>
        <vertAlign val="superscript"/>
        <sz val="8"/>
        <color rgb="FF00338D"/>
        <rFont val="Arial"/>
        <family val="2"/>
      </rPr>
      <t xml:space="preserve"> </t>
    </r>
  </si>
  <si>
    <t>Market value of debt</t>
  </si>
  <si>
    <t>Book value of debt</t>
  </si>
  <si>
    <t>Debt ratio (market value) in comparison to peer group</t>
  </si>
  <si>
    <t>Debt ratio (market value) in comparison to analysts' expectations</t>
  </si>
  <si>
    <t>WB Financing - 3. Is there sufficient financing headroom?</t>
  </si>
  <si>
    <t xml:space="preserve">WB Financing - 4. Do special aspects of the financing have to be considered in  a valuation? </t>
  </si>
  <si>
    <t>#12</t>
  </si>
  <si>
    <t>Debt ratio</t>
  </si>
  <si>
    <t>#13</t>
  </si>
  <si>
    <t>Work book Investments (Planning)</t>
  </si>
  <si>
    <t>1. Are the investments planned consistently with the past and have investment needs that have been identified for the future considered in the planning?</t>
  </si>
  <si>
    <t xml:space="preserve">2. Are the investments consistent for sales planning and the planned business model? </t>
  </si>
  <si>
    <t xml:space="preserve">Capacity and degree of utilisation </t>
  </si>
  <si>
    <t xml:space="preserve">Investments and investment rate </t>
  </si>
  <si>
    <t xml:space="preserve">3. What are the investment projects? </t>
  </si>
  <si>
    <t xml:space="preserve">Investments in purchase, new building and modernisation </t>
  </si>
  <si>
    <t>4. Are the planned investments consistent with the market expectations and sector parameters?</t>
  </si>
  <si>
    <t>Calculations</t>
  </si>
  <si>
    <t>Ø Investments Actual</t>
  </si>
  <si>
    <t>Ø Investments Plan</t>
  </si>
  <si>
    <t>Ø Investments</t>
  </si>
  <si>
    <t>Output</t>
  </si>
  <si>
    <t>Capacity</t>
  </si>
  <si>
    <t>Degree of utilisation</t>
  </si>
  <si>
    <t>Planned investments</t>
  </si>
  <si>
    <t>Planned investment A</t>
  </si>
  <si>
    <t>Planned investment B</t>
  </si>
  <si>
    <t>Planned investment C</t>
  </si>
  <si>
    <t>Total "Top Projects"</t>
  </si>
  <si>
    <t>Share "Top Projects"</t>
  </si>
  <si>
    <t>Composition of Investment</t>
  </si>
  <si>
    <t>Acquisition</t>
  </si>
  <si>
    <t>New construction</t>
  </si>
  <si>
    <t>Modernisation</t>
  </si>
  <si>
    <t>Total investment</t>
  </si>
  <si>
    <t xml:space="preserve">WB Investments - 2. Are the investments consistent for sales planning and the planned business model? </t>
  </si>
  <si>
    <t xml:space="preserve">WB Investments - 3. What are the investment projects? </t>
  </si>
  <si>
    <t>WB Investments - 4. Are the planned investments consistent with the market expectations and sector parameters?</t>
  </si>
  <si>
    <t>t million</t>
  </si>
  <si>
    <t>07_Investments</t>
  </si>
  <si>
    <t>Degree of</t>
  </si>
  <si>
    <t>Total Projects</t>
  </si>
  <si>
    <t>Work module Planning Process and Adherence to Planning</t>
  </si>
  <si>
    <t>4. Are major adjustments to planning in the course of the year also considered in the following years – to the extent they are relevant?</t>
  </si>
  <si>
    <t xml:space="preserve">5. Did the company’s past planning tend to be more realistic, optimistic or pessimistic (adherence to plan)? </t>
  </si>
  <si>
    <t xml:space="preserve">Planning adjustments for subsequent years </t>
  </si>
  <si>
    <t>Planning Adherence</t>
  </si>
  <si>
    <t>Input data and calculations</t>
  </si>
  <si>
    <t>Deviations (total)</t>
  </si>
  <si>
    <t>Plan-Actual comparison</t>
  </si>
  <si>
    <t>Actual figures</t>
  </si>
  <si>
    <t>Planning 2009</t>
  </si>
  <si>
    <t>Planning 2010</t>
  </si>
  <si>
    <t>Planning 2011</t>
  </si>
  <si>
    <t>Growth to Actual</t>
  </si>
  <si>
    <t>Original planning</t>
  </si>
  <si>
    <t>Adjusted planning</t>
  </si>
  <si>
    <t>Caption</t>
  </si>
  <si>
    <t>WB Planning Process and Adherence to Planning - 4. Are major adjustments to planning in the course of the year also considered in the following years – to the extent they are relevant?</t>
  </si>
  <si>
    <t>∆</t>
  </si>
  <si>
    <t>Plan/Actual comparison – Deviations from  previous year’s planning</t>
  </si>
  <si>
    <t>08_Adherence</t>
  </si>
  <si>
    <t>Plan-Actual comparison - Sales</t>
  </si>
  <si>
    <t>Plan/Actual comparison – Sales</t>
  </si>
  <si>
    <t xml:space="preserve">WB Planning Process and Adherence to Planning - 5. Did the company’s past planning tend to be more realistic, optimistic or pessimistic (adherence to plan)? </t>
  </si>
  <si>
    <t>Work module Sustainable Result (income) / Terminal Value</t>
  </si>
  <si>
    <t xml:space="preserve">2. On what is a suitable sustainable operative level of profit oriented? </t>
  </si>
  <si>
    <t>1. When is the planning horizon to be extended?</t>
  </si>
  <si>
    <t>3. What is a suitable reinvestment rate?</t>
  </si>
  <si>
    <t>4. What is a suitable level for a sustainable capital structure and a sustainable financial result?</t>
  </si>
  <si>
    <t>5. What is a suitable level for a sustainable tax burden?</t>
  </si>
  <si>
    <t xml:space="preserve">Cyclical company </t>
  </si>
  <si>
    <t xml:space="preserve">(Young) growth company </t>
  </si>
  <si>
    <t xml:space="preserve">Excess returns/Underperformance
</t>
  </si>
  <si>
    <t xml:space="preserve">Sustainable level of sales </t>
  </si>
  <si>
    <t>Cyclical company</t>
  </si>
  <si>
    <t xml:space="preserve">Sustainable EBIT margin  </t>
  </si>
  <si>
    <t xml:space="preserve">Sustainable EBITDA margin in comparison to peers  </t>
  </si>
  <si>
    <t>Sustainable investment level</t>
  </si>
  <si>
    <t>Investment rate in comparison to peer group</t>
  </si>
  <si>
    <t>Capital structure in comparison to peer group</t>
  </si>
  <si>
    <t>Sustainable tax rate</t>
  </si>
  <si>
    <t>…</t>
  </si>
  <si>
    <t>Sales growth</t>
  </si>
  <si>
    <t>EBIT Growth</t>
  </si>
  <si>
    <t>XXX AG EBIT margin</t>
  </si>
  <si>
    <t>Peer group Min-Max EBIT margin</t>
  </si>
  <si>
    <t>XXX AG Excess return</t>
  </si>
  <si>
    <t>XXX AG Returns below the margin</t>
  </si>
  <si>
    <t>PG Min-Max EBIT margin</t>
  </si>
  <si>
    <t>TV</t>
  </si>
  <si>
    <t>EBITDA margin 2015</t>
  </si>
  <si>
    <t>Effect 1</t>
  </si>
  <si>
    <t>Effect 2</t>
  </si>
  <si>
    <t>Effect 3</t>
  </si>
  <si>
    <t>EBITDA margin TV</t>
  </si>
  <si>
    <t>Ø 2010-2015</t>
  </si>
  <si>
    <t>France</t>
  </si>
  <si>
    <t>Germany</t>
  </si>
  <si>
    <t>Estonia</t>
  </si>
  <si>
    <t>EBT TV</t>
  </si>
  <si>
    <t>EBT TV share</t>
  </si>
  <si>
    <t>Tax rate TV</t>
  </si>
  <si>
    <t>Proportionate tax rate</t>
  </si>
  <si>
    <t>WB Sustainable Result - 1. When is the planning horizon to be extended?</t>
  </si>
  <si>
    <t xml:space="preserve">WB Sustainable Result - 2. On what is a suitable sustainable operative level of profit oriented? </t>
  </si>
  <si>
    <t>WB Sustainable Result - 3. What is a suitable reinvestment rate?</t>
  </si>
  <si>
    <t>WB Sustainable Result - 5. What is a suitable level for a sustainable tax burden?</t>
  </si>
  <si>
    <t>Ø TV</t>
  </si>
  <si>
    <t>Ø Market</t>
  </si>
  <si>
    <t>#14</t>
  </si>
  <si>
    <t>09_Sustainable year</t>
  </si>
  <si>
    <t>Work book Sales &amp; Gross Profit (Planning)</t>
  </si>
  <si>
    <t xml:space="preserve">1. Is the sales planning consistent with market expectations? </t>
  </si>
  <si>
    <t xml:space="preserve">2. Which products/product groups/regions/segments have the greatest importance for sales/gross profit over time? </t>
  </si>
  <si>
    <t xml:space="preserve">3. What issues have a material impact on the planned development of sales and gross profit? </t>
  </si>
  <si>
    <t>4. Does the current order backlog support the expected sales?</t>
  </si>
  <si>
    <t>5. Can the sales planning be achieved with the planned capacity?</t>
  </si>
  <si>
    <t xml:space="preserve">6. Is the gross profit margin comparable to that of the past and margins achieved by the peer group companies or other market data? </t>
  </si>
  <si>
    <t xml:space="preserve">7. Does the current trading/LTM or the current forecast support the sales and gross profit planning? </t>
  </si>
  <si>
    <t>8. Do material currency risks exist for the sales and gross profit planning?</t>
  </si>
  <si>
    <t>9. In case of a transaction: What impacts do change-of-control (CoC) clauses have on material (long-term) customer or supplier contracts?</t>
  </si>
  <si>
    <t>Market volumes and market growth</t>
  </si>
  <si>
    <t>Comparison XXX AG vs. entire market</t>
  </si>
  <si>
    <t>Sales growth in comparison to peer group</t>
  </si>
  <si>
    <t>Sales growth in comparison to analysts' expectations</t>
  </si>
  <si>
    <t>Sales development according to segments</t>
  </si>
  <si>
    <t>Sales growth according to segments</t>
  </si>
  <si>
    <t>Development of the gross profit according to segments</t>
  </si>
  <si>
    <t>Sales/Gross profit margin according to segments</t>
  </si>
  <si>
    <t xml:space="preserve">Gross profit and gross profit margin </t>
  </si>
  <si>
    <t>CAGR Sales/ø Gross profit margin (3 years)  according to segments</t>
  </si>
  <si>
    <t>Composition of gross profit margin according to segments</t>
  </si>
  <si>
    <t>Share of sales/Gross profit margin according to segments</t>
  </si>
  <si>
    <t>Distribution of sales 2012</t>
  </si>
  <si>
    <t xml:space="preserve">Distribution of sales 2015 </t>
  </si>
  <si>
    <t>Sales drivers in the planning period</t>
  </si>
  <si>
    <t>Drivers of gross profit in the planning period</t>
  </si>
  <si>
    <t>Gross profit by segments</t>
  </si>
  <si>
    <t>Development of order backlog and sales</t>
  </si>
  <si>
    <t>Production volume and degree of utilisation</t>
  </si>
  <si>
    <t>Gross profit margin in comparison to peer group</t>
  </si>
  <si>
    <t>CAGR Sales/ø Gross profit margin (3 years)  in comparison to peer group</t>
  </si>
  <si>
    <t>Gross profit margin in comparison to analysts' expectations</t>
  </si>
  <si>
    <t>Development of unit cost</t>
  </si>
  <si>
    <t>Sales and Expenses per Currency</t>
  </si>
  <si>
    <t>Plan vs. forward exchange rate USD/EUR</t>
  </si>
  <si>
    <t>Share of customer contracts with CoC clauses</t>
  </si>
  <si>
    <t>Sales and Gross Profit</t>
  </si>
  <si>
    <t xml:space="preserve">WB Sales &amp; Gross Profit - 1. Is the sales planning consistent with market expectations? </t>
  </si>
  <si>
    <t>Ø Market growth (weighted)</t>
  </si>
  <si>
    <t>Serbia</t>
  </si>
  <si>
    <t>Poland</t>
  </si>
  <si>
    <t>Netherlands</t>
  </si>
  <si>
    <t>Regions</t>
  </si>
  <si>
    <t>Market volume</t>
  </si>
  <si>
    <t>Chart: Market shares</t>
  </si>
  <si>
    <t>Input Raw data</t>
  </si>
  <si>
    <t>Input Chart</t>
  </si>
  <si>
    <t>Input raw data</t>
  </si>
  <si>
    <t>Total market</t>
  </si>
  <si>
    <t>Scaling factor</t>
  </si>
  <si>
    <t>scale for graphic display</t>
  </si>
  <si>
    <t>Quadrant 1 (upper right)</t>
  </si>
  <si>
    <t>Market share</t>
  </si>
  <si>
    <t>Step</t>
  </si>
  <si>
    <t>Active parameters</t>
  </si>
  <si>
    <t>Selection</t>
  </si>
  <si>
    <t>Share Germany</t>
  </si>
  <si>
    <t>Factor</t>
  </si>
  <si>
    <t>Share France</t>
  </si>
  <si>
    <t>Quadrant 2 (lower right)</t>
  </si>
  <si>
    <t>Share Netherlands</t>
  </si>
  <si>
    <t>Share Poland</t>
  </si>
  <si>
    <t>Quadrant 3 (lower left)</t>
  </si>
  <si>
    <t>Share Serbia</t>
  </si>
  <si>
    <t>Quadrant 4 (upper left)</t>
  </si>
  <si>
    <t>Grafic display</t>
  </si>
  <si>
    <t>99_Others</t>
  </si>
  <si>
    <t>#15</t>
  </si>
  <si>
    <t>#16</t>
  </si>
  <si>
    <t>Group</t>
  </si>
  <si>
    <t>Growth in %</t>
  </si>
  <si>
    <t>Sales by segments</t>
  </si>
  <si>
    <t>Gross proft by segments</t>
  </si>
  <si>
    <t>Weighted gross profit margin</t>
  </si>
  <si>
    <t>Gross profit margin in %</t>
  </si>
  <si>
    <t>Group 2015</t>
  </si>
  <si>
    <t>Segment D 2015</t>
  </si>
  <si>
    <t>Segment C 2015</t>
  </si>
  <si>
    <t>Segment B 2015</t>
  </si>
  <si>
    <t>Segment A 2015</t>
  </si>
  <si>
    <t>Share of the sales</t>
  </si>
  <si>
    <t>Share of sales</t>
  </si>
  <si>
    <t>Network</t>
  </si>
  <si>
    <t>Client</t>
  </si>
  <si>
    <t>Segment</t>
  </si>
  <si>
    <t>Product</t>
  </si>
  <si>
    <t>Region</t>
  </si>
  <si>
    <t>10_Sales &amp; GP</t>
  </si>
  <si>
    <t>Sales at the end of the year</t>
  </si>
  <si>
    <t>Sales at the beginning of the year</t>
  </si>
  <si>
    <t>Drivers of sales development</t>
  </si>
  <si>
    <t>Expansion in region Y</t>
  </si>
  <si>
    <t>Price increase in segment C</t>
  </si>
  <si>
    <t>Launch of 
product B</t>
  </si>
  <si>
    <t>Launch of product B</t>
  </si>
  <si>
    <t>Price increase in segment</t>
  </si>
  <si>
    <t>10_Sales &amp; GP tables</t>
  </si>
  <si>
    <t>Gross profit by segment</t>
  </si>
  <si>
    <t>Cost increase of the produkt C</t>
  </si>
  <si>
    <t>Launch of
produkt B</t>
  </si>
  <si>
    <t>Still to acquire</t>
  </si>
  <si>
    <t>Contracted</t>
  </si>
  <si>
    <t>Production volume</t>
  </si>
  <si>
    <t>#17</t>
  </si>
  <si>
    <t>Comparison -  Peer Groups Plan</t>
  </si>
  <si>
    <t>Comparison- Peer Groups Actual</t>
  </si>
  <si>
    <t>#18</t>
  </si>
  <si>
    <t>Gross Profit</t>
  </si>
  <si>
    <t>CAGR sales (3 years)</t>
  </si>
  <si>
    <t xml:space="preserve">Gross profit margin (Ø 3 years) </t>
  </si>
  <si>
    <t>#19</t>
  </si>
  <si>
    <t>Unit costs (€)</t>
  </si>
  <si>
    <t>Production volume (Piece)</t>
  </si>
  <si>
    <t>Production costs (€'000)</t>
  </si>
  <si>
    <t xml:space="preserve">WB Sales &amp; Gross Profit - 2. Which products/product groups/regions/segments have the greatest importance for sales/gross profit over time? </t>
  </si>
  <si>
    <t xml:space="preserve">WB Sales &amp; Gross Profit - 3. What issues have a material impact on the planned development of sales and gross profit? </t>
  </si>
  <si>
    <t>WB Sales &amp; Gross Profit - 4. Does the current order backlog support the expected sales?</t>
  </si>
  <si>
    <t>WB Sales &amp; Gross Profit - 5. Can the sales planning be achieved with the planned capacity?</t>
  </si>
  <si>
    <t xml:space="preserve">WB Sales &amp; Gross Profit - 6. Is the gross profit margin comparable to that of the past and margins achieved by the peer group companies or other market data? </t>
  </si>
  <si>
    <t>WB Sales &amp; Gross Profit - 8. Do material currency risks exist for the sales and gross profit planning?</t>
  </si>
  <si>
    <t>USD</t>
  </si>
  <si>
    <t>EUR</t>
  </si>
  <si>
    <t>11_Currency</t>
  </si>
  <si>
    <t>Forward exchange rate</t>
  </si>
  <si>
    <t>Plan exchange rate</t>
  </si>
  <si>
    <t>4Q</t>
  </si>
  <si>
    <t>3Q</t>
  </si>
  <si>
    <t>2Q</t>
  </si>
  <si>
    <t>1Q</t>
  </si>
  <si>
    <t>in</t>
  </si>
  <si>
    <t>Total Customer Constracts</t>
  </si>
  <si>
    <t>Contracts without CoC-Clauses</t>
  </si>
  <si>
    <t>Contracts with CoC-Clauses</t>
  </si>
  <si>
    <t>Composition of the Customer Contracts</t>
  </si>
  <si>
    <t>WB Sales &amp; Gross Profit - 9. In case of a transaction: What impacts do change-of-control (CoC) clauses have on material (long-term) customer or supplier contracts?</t>
  </si>
  <si>
    <t>Free cash flow in % of sales</t>
  </si>
  <si>
    <t>EBITDA to free cash flow conversion</t>
  </si>
  <si>
    <t>EBIT to free cash flow conversion</t>
  </si>
  <si>
    <t>Selling expenses</t>
  </si>
  <si>
    <t>Selling expenses ratio</t>
  </si>
  <si>
    <t>General &amp; administrative expenses</t>
  </si>
  <si>
    <t>Net income/loss</t>
  </si>
  <si>
    <t>Cost of goods sold</t>
  </si>
  <si>
    <t>COGS ratio</t>
  </si>
  <si>
    <t>G&amp;A ratio</t>
  </si>
  <si>
    <t>R&amp;D ratio</t>
  </si>
  <si>
    <t>G&amp;A expenses</t>
  </si>
  <si>
    <t>COGS</t>
  </si>
  <si>
    <t>Selling
expenses</t>
  </si>
  <si>
    <t>G&amp;A
expenses</t>
  </si>
  <si>
    <t>Advertising expenses as a % of sales</t>
  </si>
  <si>
    <t>Investment ratio</t>
  </si>
  <si>
    <t>Personnel expenses</t>
  </si>
  <si>
    <t>Personnel expenses ratio</t>
  </si>
  <si>
    <t>Personnel
expenses</t>
  </si>
  <si>
    <t>Sales per FTE</t>
  </si>
  <si>
    <t>Personnel expenses per FTE</t>
  </si>
  <si>
    <t>Contribution margin per FTE</t>
  </si>
  <si>
    <t>Net Debt to EBITDA ratio</t>
  </si>
  <si>
    <t>Lower limit of interest 
coverage ratio</t>
  </si>
  <si>
    <t>Upper limit of debt 
coverage ratio</t>
  </si>
  <si>
    <t>Ø Investment ratio Actual</t>
  </si>
  <si>
    <t>Ø Investment ratio Plan</t>
  </si>
  <si>
    <t>Ø Investment ratio</t>
  </si>
  <si>
    <t>Peer group Min-Max Sales growth</t>
  </si>
  <si>
    <t>XXX AG Sales growth</t>
  </si>
  <si>
    <t>€000</t>
  </si>
  <si>
    <t>IT expenses per FTE in €000</t>
  </si>
  <si>
    <t>Rent expenses per FTE in €000</t>
  </si>
  <si>
    <t>Cash conversion rate</t>
  </si>
  <si>
    <t>02_Comparsion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</si>
</sst>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164" formatCode="#,##0\ &quot;€&quot;;\-#,##0\ &quot;€&quot;"/>
    <numFmt numFmtId="165" formatCode="#,##0\ &quot;€&quot;;[Red]\-#,##0\ &quot;€&quot;"/>
    <numFmt numFmtId="166" formatCode="_-* #,##0\ &quot;€&quot;_-;\-* #,##0\ &quot;€&quot;_-;_-* &quot;-&quot;\ &quot;€&quot;_-;_-@_-"/>
    <numFmt numFmtId="167" formatCode="_-* #,##0\ _€_-;\-* #,##0\ _€_-;_-* &quot;-&quot;\ _€_-;_-@_-"/>
    <numFmt numFmtId="168" formatCode="_-* #,##0.00\ &quot;€&quot;_-;\-* #,##0.00\ &quot;€&quot;_-;_-* &quot;-&quot;??\ &quot;€&quot;_-;_-@_-"/>
    <numFmt numFmtId="169" formatCode="_-* #,##0.00\ _€_-;\-* #,##0.00\ _€_-;_-* &quot;-&quot;??\ _€_-;_-@_-"/>
    <numFmt numFmtId="170" formatCode="#,##0.0"/>
    <numFmt numFmtId="171" formatCode="0.0%"/>
    <numFmt numFmtId="172" formatCode="#,##0.0;\-#,##0.0;\-;@"/>
    <numFmt numFmtId="173" formatCode="0.0"/>
    <numFmt numFmtId="174" formatCode="0.000"/>
    <numFmt numFmtId="175" formatCode="0.000%"/>
    <numFmt numFmtId="176" formatCode="0.00000%"/>
    <numFmt numFmtId="177" formatCode="#,##0.0\ ;\(#,##0.0\);\-&quot; &quot;"/>
    <numFmt numFmtId="178" formatCode="#,##0.0%;\-#,##0.0%;\-;@"/>
    <numFmt numFmtId="179" formatCode="#,##0.0\ ;\(#,##0.0\);"/>
    <numFmt numFmtId="180" formatCode="#,##0.0%\ ;\(#,##0.0\)%;"/>
    <numFmt numFmtId="181" formatCode="0.0%;\(0.0\)%"/>
    <numFmt numFmtId="182" formatCode="#,##0.0;\(#,##0.0\)"/>
    <numFmt numFmtId="183" formatCode="#,##0.0;\(#,##0.0\);\-;@"/>
  </numFmts>
  <fonts count="77">
    <font>
      <sz val="8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Univers"/>
    </font>
    <font>
      <i/>
      <sz val="11"/>
      <color theme="1"/>
      <name val="Arial"/>
      <family val="2"/>
      <scheme val="minor"/>
    </font>
    <font>
      <b/>
      <sz val="8"/>
      <color rgb="FFFFFFFF"/>
      <name val="Arial"/>
      <family val="2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0" tint="-0.34998626667073579"/>
      <name val="Arial"/>
      <family val="2"/>
    </font>
    <font>
      <sz val="8"/>
      <color rgb="FF000000"/>
      <name val="Arial"/>
      <family val="2"/>
    </font>
    <font>
      <b/>
      <sz val="8"/>
      <color rgb="FFFF0000"/>
      <name val="Arial"/>
      <family val="2"/>
    </font>
    <font>
      <b/>
      <sz val="18"/>
      <color theme="3"/>
      <name val="KPMG Extra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4"/>
      <color rgb="FF00338D"/>
      <name val="Arial"/>
      <family val="2"/>
    </font>
    <font>
      <i/>
      <sz val="10"/>
      <color theme="3"/>
      <name val="Arial"/>
      <family val="2"/>
    </font>
    <font>
      <b/>
      <i/>
      <sz val="8"/>
      <color theme="1"/>
      <name val="Arial"/>
      <family val="2"/>
    </font>
    <font>
      <sz val="6"/>
      <color theme="1"/>
      <name val="Arial"/>
      <family val="2"/>
    </font>
    <font>
      <b/>
      <sz val="6"/>
      <color theme="1"/>
      <name val="Arial"/>
      <family val="2"/>
    </font>
    <font>
      <b/>
      <i/>
      <sz val="9"/>
      <color theme="0"/>
      <name val="Arial"/>
      <family val="2"/>
    </font>
    <font>
      <i/>
      <sz val="8"/>
      <color rgb="FFFF0000"/>
      <name val="Arial"/>
      <family val="2"/>
    </font>
    <font>
      <i/>
      <sz val="6"/>
      <color rgb="FFFF0000"/>
      <name val="Arial"/>
      <family val="2"/>
    </font>
    <font>
      <sz val="7"/>
      <color theme="0" tint="-0.34998626667073579"/>
      <name val="Arial"/>
      <family val="2"/>
    </font>
    <font>
      <b/>
      <sz val="9"/>
      <color indexed="81"/>
      <name val="Tahoma"/>
      <family val="2"/>
    </font>
    <font>
      <i/>
      <sz val="8"/>
      <color theme="1"/>
      <name val="Arial"/>
      <family val="2"/>
    </font>
    <font>
      <b/>
      <sz val="8"/>
      <color theme="3"/>
      <name val="Arial"/>
      <family val="2"/>
    </font>
    <font>
      <b/>
      <vertAlign val="superscript"/>
      <sz val="8"/>
      <color rgb="FF00338D"/>
      <name val="Arial"/>
      <family val="2"/>
    </font>
    <font>
      <b/>
      <sz val="9"/>
      <color theme="1"/>
      <name val="Arial"/>
      <family val="2"/>
    </font>
    <font>
      <vertAlign val="superscript"/>
      <sz val="8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rgb="FF00338D"/>
      <name val="Arial"/>
      <family val="2"/>
    </font>
    <font>
      <sz val="8"/>
      <color rgb="FFFF0000"/>
      <name val="Arial"/>
      <family val="2"/>
    </font>
    <font>
      <sz val="6"/>
      <color rgb="FFFF0000"/>
      <name val="Arial"/>
      <family val="2"/>
    </font>
    <font>
      <sz val="11"/>
      <color theme="1"/>
      <name val="Arial"/>
      <family val="2"/>
    </font>
    <font>
      <b/>
      <u/>
      <sz val="8"/>
      <name val="Arial"/>
      <family val="2"/>
    </font>
    <font>
      <sz val="8"/>
      <color theme="0" tint="-0.34998626667073579"/>
      <name val="Arial"/>
      <family val="2"/>
      <scheme val="minor"/>
    </font>
    <font>
      <sz val="8"/>
      <color theme="1"/>
      <name val="Arial"/>
      <family val="2"/>
      <scheme val="minor"/>
    </font>
    <font>
      <sz val="8"/>
      <name val="Univers 47 CondensedLight"/>
      <family val="2"/>
    </font>
    <font>
      <sz val="9"/>
      <name val="Univers 47 CondensedLight"/>
      <family val="2"/>
    </font>
    <font>
      <u/>
      <sz val="10"/>
      <color indexed="36"/>
      <name val="Arial"/>
      <family val="2"/>
    </font>
    <font>
      <i/>
      <sz val="8"/>
      <name val="Arial"/>
      <family val="2"/>
    </font>
    <font>
      <sz val="7"/>
      <color theme="1"/>
      <name val="Arial"/>
      <family val="2"/>
    </font>
    <font>
      <sz val="8"/>
      <color theme="4"/>
      <name val="Arial"/>
      <family val="2"/>
    </font>
    <font>
      <sz val="10"/>
      <color rgb="FFFFFFFF"/>
      <name val="Arial"/>
      <family val="2"/>
    </font>
    <font>
      <sz val="8"/>
      <color rgb="FF0070C0"/>
      <name val="Arial"/>
      <family val="2"/>
    </font>
    <font>
      <b/>
      <i/>
      <sz val="8"/>
      <name val="Arial"/>
      <family val="2"/>
    </font>
    <font>
      <b/>
      <i/>
      <sz val="8"/>
      <color rgb="FF00338D"/>
      <name val="Arial"/>
      <family val="2"/>
    </font>
    <font>
      <b/>
      <sz val="8"/>
      <color rgb="FF00338D"/>
      <name val="Arial"/>
      <family val="2"/>
    </font>
    <font>
      <b/>
      <i/>
      <sz val="8"/>
      <color rgb="FF000000"/>
      <name val="Arial"/>
      <family val="2"/>
    </font>
    <font>
      <sz val="11"/>
      <color rgb="FFFF0000"/>
      <name val="Arial"/>
      <family val="2"/>
      <scheme val="minor"/>
    </font>
    <font>
      <sz val="8"/>
      <color rgb="FF000000"/>
      <name val="Tahoma"/>
      <family val="2"/>
    </font>
    <font>
      <b/>
      <sz val="9"/>
      <color rgb="FF0091DA"/>
      <name val="Arial"/>
      <family val="2"/>
    </font>
    <font>
      <sz val="8"/>
      <color rgb="FF0091DA"/>
      <name val="Arial"/>
      <family val="2"/>
    </font>
    <font>
      <b/>
      <sz val="8"/>
      <color theme="0"/>
      <name val="Arial"/>
      <family val="2"/>
    </font>
    <font>
      <b/>
      <i/>
      <sz val="8"/>
      <color theme="0"/>
      <name val="Arial"/>
      <family val="2"/>
    </font>
  </fonts>
  <fills count="4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rgb="FFD3CFB8"/>
        <bgColor indexed="64"/>
      </patternFill>
    </fill>
    <fill>
      <patternFill patternType="solid">
        <fgColor rgb="FFE5F2F4"/>
        <bgColor indexed="64"/>
      </patternFill>
    </fill>
    <fill>
      <patternFill patternType="solid">
        <fgColor rgb="FFBDDC8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9A4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AAA00"/>
        <bgColor indexed="64"/>
      </patternFill>
    </fill>
    <fill>
      <patternFill patternType="solid">
        <fgColor theme="8"/>
        <bgColor indexed="64"/>
      </patternFill>
    </fill>
  </fills>
  <borders count="138">
    <border>
      <left/>
      <right/>
      <top/>
      <bottom/>
      <diagonal/>
    </border>
    <border>
      <left/>
      <right/>
      <top/>
      <bottom style="hair">
        <color indexed="22"/>
      </bottom>
      <diagonal/>
    </border>
    <border>
      <left/>
      <right/>
      <top style="thin">
        <color indexed="24"/>
      </top>
      <bottom/>
      <diagonal/>
    </border>
    <border>
      <left/>
      <right/>
      <top/>
      <bottom style="medium">
        <color indexed="24"/>
      </bottom>
      <diagonal/>
    </border>
    <border>
      <left/>
      <right/>
      <top style="thin">
        <color rgb="FF409DAD"/>
      </top>
      <bottom/>
      <diagonal/>
    </border>
    <border>
      <left/>
      <right style="thin">
        <color indexed="24"/>
      </right>
      <top style="thin">
        <color rgb="FF409DAD"/>
      </top>
      <bottom/>
      <diagonal/>
    </border>
    <border>
      <left style="thin">
        <color indexed="24"/>
      </left>
      <right/>
      <top/>
      <bottom style="thin">
        <color indexed="24"/>
      </bottom>
      <diagonal/>
    </border>
    <border>
      <left/>
      <right/>
      <top/>
      <bottom style="thin">
        <color indexed="24"/>
      </bottom>
      <diagonal/>
    </border>
    <border>
      <left/>
      <right style="thin">
        <color indexed="24"/>
      </right>
      <top/>
      <bottom style="thin">
        <color indexed="24"/>
      </bottom>
      <diagonal/>
    </border>
    <border>
      <left style="thin">
        <color indexed="24"/>
      </left>
      <right/>
      <top/>
      <bottom/>
      <diagonal/>
    </border>
    <border>
      <left/>
      <right style="thin">
        <color indexed="24"/>
      </right>
      <top/>
      <bottom/>
      <diagonal/>
    </border>
    <border>
      <left style="thin">
        <color indexed="24"/>
      </left>
      <right/>
      <top/>
      <bottom style="medium">
        <color indexed="24"/>
      </bottom>
      <diagonal/>
    </border>
    <border>
      <left/>
      <right style="thin">
        <color indexed="24"/>
      </right>
      <top/>
      <bottom style="medium">
        <color indexed="24"/>
      </bottom>
      <diagonal/>
    </border>
    <border>
      <left/>
      <right/>
      <top/>
      <bottom style="thin">
        <color rgb="FF409DAD"/>
      </bottom>
      <diagonal/>
    </border>
    <border>
      <left style="thin">
        <color indexed="24"/>
      </left>
      <right/>
      <top style="thin">
        <color rgb="FF409DAD"/>
      </top>
      <bottom/>
      <diagonal/>
    </border>
    <border>
      <left style="thin">
        <color indexed="24"/>
      </left>
      <right/>
      <top style="thin">
        <color indexed="24"/>
      </top>
      <bottom/>
      <diagonal/>
    </border>
    <border>
      <left/>
      <right style="thin">
        <color indexed="24"/>
      </right>
      <top style="thin">
        <color indexed="24"/>
      </top>
      <bottom/>
      <diagonal/>
    </border>
    <border>
      <left/>
      <right/>
      <top style="thin">
        <color indexed="24"/>
      </top>
      <bottom style="thin">
        <color rgb="FF409DAD"/>
      </bottom>
      <diagonal/>
    </border>
    <border>
      <left/>
      <right style="thin">
        <color rgb="FF409DAD"/>
      </right>
      <top style="thin">
        <color indexed="24"/>
      </top>
      <bottom style="thin">
        <color rgb="FF409DAD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 style="thin">
        <color indexed="24"/>
      </top>
      <bottom style="double">
        <color indexed="24"/>
      </bottom>
      <diagonal/>
    </border>
    <border>
      <left style="thin">
        <color indexed="24"/>
      </left>
      <right/>
      <top style="thin">
        <color indexed="24"/>
      </top>
      <bottom style="medium">
        <color indexed="24"/>
      </bottom>
      <diagonal/>
    </border>
    <border>
      <left/>
      <right/>
      <top style="thin">
        <color indexed="24"/>
      </top>
      <bottom style="medium">
        <color indexed="24"/>
      </bottom>
      <diagonal/>
    </border>
    <border>
      <left/>
      <right style="thin">
        <color indexed="24"/>
      </right>
      <top style="thin">
        <color indexed="24"/>
      </top>
      <bottom style="medium">
        <color indexed="24"/>
      </bottom>
      <diagonal/>
    </border>
    <border>
      <left/>
      <right/>
      <top style="thin">
        <color indexed="24"/>
      </top>
      <bottom style="thin">
        <color indexed="24"/>
      </bottom>
      <diagonal/>
    </border>
    <border>
      <left/>
      <right/>
      <top/>
      <bottom style="medium">
        <color auto="1"/>
      </bottom>
      <diagonal/>
    </border>
    <border>
      <left style="hair">
        <color indexed="64"/>
      </left>
      <right/>
      <top/>
      <bottom/>
      <diagonal/>
    </border>
    <border>
      <left/>
      <right/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 style="dotted">
        <color auto="1"/>
      </right>
      <top/>
      <bottom/>
      <diagonal/>
    </border>
    <border>
      <left style="dotted">
        <color rgb="FF002060"/>
      </left>
      <right/>
      <top style="dotted">
        <color rgb="FF002060"/>
      </top>
      <bottom style="dotted">
        <color rgb="FF002060"/>
      </bottom>
      <diagonal/>
    </border>
    <border>
      <left style="dotted">
        <color rgb="FF002060"/>
      </left>
      <right style="dotted">
        <color rgb="FF002060"/>
      </right>
      <top style="dotted">
        <color rgb="FF002060"/>
      </top>
      <bottom style="dotted">
        <color rgb="FF002060"/>
      </bottom>
      <diagonal/>
    </border>
    <border>
      <left style="dotted">
        <color indexed="64"/>
      </left>
      <right style="dotted">
        <color rgb="FF002060"/>
      </right>
      <top style="dotted">
        <color rgb="FF002060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thin">
        <color rgb="FF00338D"/>
      </left>
      <right style="thin">
        <color rgb="FF00338D"/>
      </right>
      <top style="thin">
        <color rgb="FF00338D"/>
      </top>
      <bottom style="thin">
        <color rgb="FF00338D"/>
      </bottom>
      <diagonal/>
    </border>
    <border>
      <left style="thin">
        <color rgb="FF00338D"/>
      </left>
      <right/>
      <top/>
      <bottom/>
      <diagonal/>
    </border>
    <border>
      <left/>
      <right style="thin">
        <color rgb="FF00338D"/>
      </right>
      <top/>
      <bottom/>
      <diagonal/>
    </border>
    <border>
      <left style="thin">
        <color rgb="FF00338D"/>
      </left>
      <right/>
      <top/>
      <bottom style="medium">
        <color rgb="FF00338D"/>
      </bottom>
      <diagonal/>
    </border>
    <border>
      <left/>
      <right/>
      <top/>
      <bottom style="medium">
        <color rgb="FF00338D"/>
      </bottom>
      <diagonal/>
    </border>
    <border>
      <left/>
      <right style="thin">
        <color rgb="FF00338D"/>
      </right>
      <top/>
      <bottom style="medium">
        <color rgb="FF00338D"/>
      </bottom>
      <diagonal/>
    </border>
    <border>
      <left style="thin">
        <color rgb="FF00338D"/>
      </left>
      <right/>
      <top style="thin">
        <color rgb="FF00338D"/>
      </top>
      <bottom style="thin">
        <color rgb="FF00338D"/>
      </bottom>
      <diagonal/>
    </border>
    <border>
      <left/>
      <right/>
      <top style="thin">
        <color rgb="FF00338D"/>
      </top>
      <bottom style="thin">
        <color rgb="FF00338D"/>
      </bottom>
      <diagonal/>
    </border>
    <border>
      <left/>
      <right style="thin">
        <color rgb="FF00338D"/>
      </right>
      <top style="thin">
        <color rgb="FF00338D"/>
      </top>
      <bottom style="thin">
        <color rgb="FF00338D"/>
      </bottom>
      <diagonal/>
    </border>
    <border>
      <left/>
      <right/>
      <top/>
      <bottom style="medium">
        <color theme="3"/>
      </bottom>
      <diagonal/>
    </border>
    <border>
      <left/>
      <right style="thin">
        <color rgb="FF00338D"/>
      </right>
      <top/>
      <bottom style="medium">
        <color theme="3"/>
      </bottom>
      <diagonal/>
    </border>
    <border>
      <left style="thin">
        <color rgb="FF00338D"/>
      </left>
      <right/>
      <top/>
      <bottom style="medium">
        <color theme="3"/>
      </bottom>
      <diagonal/>
    </border>
    <border>
      <left/>
      <right style="thin">
        <color rgb="FF00338D"/>
      </right>
      <top style="thin">
        <color rgb="FF00338D"/>
      </top>
      <bottom style="medium">
        <color rgb="FF00338D"/>
      </bottom>
      <diagonal/>
    </border>
    <border>
      <left style="thin">
        <color rgb="FF00338D"/>
      </left>
      <right/>
      <top style="thin">
        <color rgb="FF409DAD"/>
      </top>
      <bottom/>
      <diagonal/>
    </border>
    <border>
      <left style="thin">
        <color rgb="FF00338D"/>
      </left>
      <right/>
      <top/>
      <bottom style="thin">
        <color rgb="FF00338D"/>
      </bottom>
      <diagonal/>
    </border>
    <border>
      <left/>
      <right/>
      <top/>
      <bottom style="thin">
        <color rgb="FF00338D"/>
      </bottom>
      <diagonal/>
    </border>
    <border>
      <left/>
      <right style="thin">
        <color rgb="FF00338D"/>
      </right>
      <top/>
      <bottom style="thin">
        <color rgb="FF00338D"/>
      </bottom>
      <diagonal/>
    </border>
    <border>
      <left style="thin">
        <color rgb="FF009A44"/>
      </left>
      <right/>
      <top style="thin">
        <color rgb="FF00338D"/>
      </top>
      <bottom/>
      <diagonal/>
    </border>
    <border>
      <left/>
      <right/>
      <top style="thin">
        <color rgb="FF00338D"/>
      </top>
      <bottom/>
      <diagonal/>
    </border>
    <border>
      <left/>
      <right style="thin">
        <color rgb="FF00338D"/>
      </right>
      <top style="thin">
        <color rgb="FF00338D"/>
      </top>
      <bottom/>
      <diagonal/>
    </border>
    <border>
      <left style="thin">
        <color rgb="FF009A44"/>
      </left>
      <right/>
      <top/>
      <bottom style="thin">
        <color rgb="FF00338D"/>
      </bottom>
      <diagonal/>
    </border>
    <border>
      <left style="thin">
        <color rgb="FF009A44"/>
      </left>
      <right/>
      <top/>
      <bottom/>
      <diagonal/>
    </border>
    <border>
      <left style="thin">
        <color rgb="FF009A44"/>
      </left>
      <right/>
      <top/>
      <bottom style="medium">
        <color rgb="FF00338D"/>
      </bottom>
      <diagonal/>
    </border>
    <border>
      <left style="thin">
        <color rgb="FF00338D"/>
      </left>
      <right/>
      <top style="thin">
        <color rgb="FF00338D"/>
      </top>
      <bottom style="medium">
        <color rgb="FF00338D"/>
      </bottom>
      <diagonal/>
    </border>
    <border>
      <left/>
      <right/>
      <top style="thin">
        <color rgb="FF00338D"/>
      </top>
      <bottom style="medium">
        <color rgb="FF00338D"/>
      </bottom>
      <diagonal/>
    </border>
    <border>
      <left style="thin">
        <color rgb="FF009A44"/>
      </left>
      <right/>
      <top style="thin">
        <color rgb="FF00338D"/>
      </top>
      <bottom style="medium">
        <color rgb="FF00338D"/>
      </bottom>
      <diagonal/>
    </border>
    <border>
      <left style="thin">
        <color rgb="FF00338D"/>
      </left>
      <right/>
      <top style="thin">
        <color indexed="24"/>
      </top>
      <bottom style="medium">
        <color indexed="24"/>
      </bottom>
      <diagonal/>
    </border>
    <border>
      <left style="thin">
        <color rgb="FF00338D"/>
      </left>
      <right/>
      <top/>
      <bottom style="medium">
        <color indexed="24"/>
      </bottom>
      <diagonal/>
    </border>
    <border>
      <left/>
      <right style="thin">
        <color indexed="24"/>
      </right>
      <top/>
      <bottom style="thin">
        <color rgb="FF00338D"/>
      </bottom>
      <diagonal/>
    </border>
    <border>
      <left style="thin">
        <color rgb="FF009A44"/>
      </left>
      <right/>
      <top/>
      <bottom style="medium">
        <color indexed="24"/>
      </bottom>
      <diagonal/>
    </border>
    <border>
      <left/>
      <right style="thin">
        <color indexed="24"/>
      </right>
      <top style="thin">
        <color rgb="FF00338D"/>
      </top>
      <bottom/>
      <diagonal/>
    </border>
    <border>
      <left style="thin">
        <color rgb="FF009A44"/>
      </left>
      <right/>
      <top style="thin">
        <color indexed="24"/>
      </top>
      <bottom style="medium">
        <color indexed="24"/>
      </bottom>
      <diagonal/>
    </border>
    <border>
      <left style="thin">
        <color rgb="FF00338D"/>
      </left>
      <right/>
      <top/>
      <bottom style="thin">
        <color rgb="FF409DAD"/>
      </bottom>
      <diagonal/>
    </border>
    <border>
      <left style="thin">
        <color rgb="FF00338D"/>
      </left>
      <right/>
      <top style="thin">
        <color indexed="24"/>
      </top>
      <bottom/>
      <diagonal/>
    </border>
    <border>
      <left style="thin">
        <color rgb="FF00338D"/>
      </left>
      <right/>
      <top style="thin">
        <color indexed="24"/>
      </top>
      <bottom style="double">
        <color indexed="24"/>
      </bottom>
      <diagonal/>
    </border>
    <border>
      <left/>
      <right style="thin">
        <color rgb="FF00338D"/>
      </right>
      <top style="thin">
        <color rgb="FF409DAD"/>
      </top>
      <bottom/>
      <diagonal/>
    </border>
    <border>
      <left/>
      <right style="thin">
        <color rgb="FF00338D"/>
      </right>
      <top style="thin">
        <color indexed="24"/>
      </top>
      <bottom/>
      <diagonal/>
    </border>
    <border>
      <left/>
      <right style="thin">
        <color rgb="FF00338D"/>
      </right>
      <top style="thin">
        <color indexed="24"/>
      </top>
      <bottom style="double">
        <color indexed="24"/>
      </bottom>
      <diagonal/>
    </border>
    <border>
      <left/>
      <right style="thin">
        <color rgb="FF00338D"/>
      </right>
      <top/>
      <bottom style="medium">
        <color indexed="24"/>
      </bottom>
      <diagonal/>
    </border>
    <border>
      <left style="thin">
        <color rgb="FF009A44"/>
      </left>
      <right/>
      <top style="thin">
        <color indexed="24"/>
      </top>
      <bottom/>
      <diagonal/>
    </border>
    <border>
      <left style="thin">
        <color rgb="FF009A44"/>
      </left>
      <right/>
      <top style="thin">
        <color indexed="24"/>
      </top>
      <bottom style="double">
        <color indexed="24"/>
      </bottom>
      <diagonal/>
    </border>
    <border>
      <left/>
      <right style="thin">
        <color rgb="FF00338D"/>
      </right>
      <top style="thin">
        <color indexed="24"/>
      </top>
      <bottom style="medium">
        <color indexed="24"/>
      </bottom>
      <diagonal/>
    </border>
    <border>
      <left style="thin">
        <color rgb="FF00338D"/>
      </left>
      <right/>
      <top style="thin">
        <color rgb="FF00338D"/>
      </top>
      <bottom/>
      <diagonal/>
    </border>
    <border>
      <left/>
      <right style="thin">
        <color indexed="24"/>
      </right>
      <top/>
      <bottom style="medium">
        <color rgb="FF00338D"/>
      </bottom>
      <diagonal/>
    </border>
    <border>
      <left style="thin">
        <color theme="5"/>
      </left>
      <right style="thin">
        <color theme="5"/>
      </right>
      <top style="thin">
        <color rgb="FF00338D"/>
      </top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rgb="FF00338D"/>
      </bottom>
      <diagonal/>
    </border>
    <border>
      <left style="thin">
        <color theme="5"/>
      </left>
      <right style="thin">
        <color theme="5"/>
      </right>
      <top/>
      <bottom style="medium">
        <color rgb="FF00338D"/>
      </bottom>
      <diagonal/>
    </border>
    <border>
      <left style="thin">
        <color theme="8"/>
      </left>
      <right style="thin">
        <color theme="5"/>
      </right>
      <top style="thin">
        <color rgb="FF00338D"/>
      </top>
      <bottom/>
      <diagonal/>
    </border>
    <border>
      <left style="thin">
        <color theme="8"/>
      </left>
      <right style="thin">
        <color theme="5"/>
      </right>
      <top/>
      <bottom/>
      <diagonal/>
    </border>
    <border>
      <left style="thin">
        <color theme="8"/>
      </left>
      <right style="thin">
        <color theme="5"/>
      </right>
      <top/>
      <bottom style="thin">
        <color rgb="FF00338D"/>
      </bottom>
      <diagonal/>
    </border>
    <border>
      <left style="thin">
        <color theme="8"/>
      </left>
      <right style="thin">
        <color theme="5"/>
      </right>
      <top/>
      <bottom style="medium">
        <color rgb="FF00338D"/>
      </bottom>
      <diagonal/>
    </border>
    <border>
      <left style="thin">
        <color theme="8"/>
      </left>
      <right style="thin">
        <color theme="8"/>
      </right>
      <top style="thin">
        <color rgb="FF00338D"/>
      </top>
      <bottom/>
      <diagonal/>
    </border>
    <border>
      <left style="thin">
        <color theme="8"/>
      </left>
      <right style="thin">
        <color theme="8"/>
      </right>
      <top/>
      <bottom style="thin">
        <color rgb="FF409DAD"/>
      </bottom>
      <diagonal/>
    </border>
    <border>
      <left style="thin">
        <color theme="8"/>
      </left>
      <right style="thin">
        <color theme="8"/>
      </right>
      <top style="thin">
        <color indexed="24"/>
      </top>
      <bottom/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thin">
        <color theme="8"/>
      </right>
      <top/>
      <bottom style="medium">
        <color rgb="FF00338D"/>
      </bottom>
      <diagonal/>
    </border>
    <border>
      <left style="thin">
        <color rgb="FF009A44"/>
      </left>
      <right style="thin">
        <color indexed="24"/>
      </right>
      <top style="thin">
        <color rgb="FF00338D"/>
      </top>
      <bottom/>
      <diagonal/>
    </border>
    <border>
      <left style="thin">
        <color rgb="FF009A44"/>
      </left>
      <right style="thin">
        <color indexed="24"/>
      </right>
      <top/>
      <bottom style="thin">
        <color rgb="FF409DAD"/>
      </bottom>
      <diagonal/>
    </border>
    <border>
      <left style="thin">
        <color rgb="FF009A44"/>
      </left>
      <right style="thin">
        <color indexed="24"/>
      </right>
      <top style="thin">
        <color indexed="24"/>
      </top>
      <bottom/>
      <diagonal/>
    </border>
    <border>
      <left style="thin">
        <color rgb="FF009A44"/>
      </left>
      <right style="thin">
        <color indexed="24"/>
      </right>
      <top/>
      <bottom/>
      <diagonal/>
    </border>
    <border>
      <left style="thin">
        <color rgb="FF009A44"/>
      </left>
      <right style="thin">
        <color indexed="24"/>
      </right>
      <top/>
      <bottom style="medium">
        <color rgb="FF00338D"/>
      </bottom>
      <diagonal/>
    </border>
    <border>
      <left style="thin">
        <color theme="8"/>
      </left>
      <right style="thin">
        <color theme="8"/>
      </right>
      <top/>
      <bottom style="medium">
        <color indexed="24"/>
      </bottom>
      <diagonal/>
    </border>
    <border>
      <left style="thin">
        <color rgb="FF009A44"/>
      </left>
      <right style="thin">
        <color indexed="24"/>
      </right>
      <top/>
      <bottom style="medium">
        <color indexed="24"/>
      </bottom>
      <diagonal/>
    </border>
    <border>
      <left/>
      <right style="thin">
        <color rgb="FF00338D"/>
      </right>
      <top/>
      <bottom style="thin">
        <color indexed="24"/>
      </bottom>
      <diagonal/>
    </border>
    <border>
      <left style="thin">
        <color rgb="FF00338D"/>
      </left>
      <right/>
      <top/>
      <bottom style="thin">
        <color indexed="24"/>
      </bottom>
      <diagonal/>
    </border>
    <border>
      <left style="thin">
        <color rgb="FF009A44"/>
      </left>
      <right/>
      <top/>
      <bottom style="thin">
        <color indexed="24"/>
      </bottom>
      <diagonal/>
    </border>
    <border>
      <left style="thin">
        <color rgb="FF009A44"/>
      </left>
      <right/>
      <top style="thin">
        <color indexed="24"/>
      </top>
      <bottom style="thin">
        <color indexed="24"/>
      </bottom>
      <diagonal/>
    </border>
    <border>
      <left/>
      <right style="thin">
        <color rgb="FF00338D"/>
      </right>
      <top style="thin">
        <color indexed="24"/>
      </top>
      <bottom style="thin">
        <color indexed="24"/>
      </bottom>
      <diagonal/>
    </border>
    <border>
      <left style="thin">
        <color rgb="FF00338D"/>
      </left>
      <right/>
      <top style="thin">
        <color indexed="24"/>
      </top>
      <bottom style="thin">
        <color indexed="24"/>
      </bottom>
      <diagonal/>
    </border>
    <border>
      <left style="thin">
        <color rgb="FF00338D"/>
      </left>
      <right/>
      <top/>
      <bottom style="medium">
        <color rgb="FF409DAD"/>
      </bottom>
      <diagonal/>
    </border>
    <border>
      <left style="thin">
        <color rgb="FF009A44"/>
      </left>
      <right/>
      <top style="thin">
        <color rgb="FF00338D"/>
      </top>
      <bottom style="thin">
        <color rgb="FF00338D"/>
      </bottom>
      <diagonal/>
    </border>
    <border>
      <left/>
      <right/>
      <top style="thin">
        <color rgb="FF00338D"/>
      </top>
      <bottom style="thin">
        <color indexed="24"/>
      </bottom>
      <diagonal/>
    </border>
    <border>
      <left/>
      <right style="thin">
        <color rgb="FF00338D"/>
      </right>
      <top style="thin">
        <color rgb="FF00338D"/>
      </top>
      <bottom style="thin">
        <color indexed="24"/>
      </bottom>
      <diagonal/>
    </border>
    <border>
      <left style="thin">
        <color rgb="FF00338D"/>
      </left>
      <right/>
      <top style="thin">
        <color rgb="FF00338D"/>
      </top>
      <bottom style="thin">
        <color indexed="24"/>
      </bottom>
      <diagonal/>
    </border>
    <border>
      <left style="thin">
        <color rgb="FF00338D"/>
      </left>
      <right/>
      <top style="thin">
        <color rgb="FF00338D"/>
      </top>
      <bottom style="thin">
        <color rgb="FF409DAD"/>
      </bottom>
      <diagonal/>
    </border>
    <border>
      <left/>
      <right style="thin">
        <color indexed="24"/>
      </right>
      <top style="thin">
        <color rgb="FF00338D"/>
      </top>
      <bottom style="thin">
        <color rgb="FF00338D"/>
      </bottom>
      <diagonal/>
    </border>
    <border>
      <left style="thin">
        <color rgb="FF009A44"/>
      </left>
      <right/>
      <top style="thin">
        <color rgb="FF409DAD"/>
      </top>
      <bottom/>
      <diagonal/>
    </border>
    <border>
      <left style="thin">
        <color indexed="24"/>
      </left>
      <right style="thin">
        <color indexed="24"/>
      </right>
      <top/>
      <bottom style="thin">
        <color rgb="FF00338D"/>
      </bottom>
      <diagonal/>
    </border>
    <border>
      <left style="thin">
        <color rgb="FF00338D"/>
      </left>
      <right/>
      <top style="thin">
        <color rgb="FF409DAD"/>
      </top>
      <bottom style="thin">
        <color rgb="FF00338D"/>
      </bottom>
      <diagonal/>
    </border>
    <border>
      <left/>
      <right/>
      <top style="thin">
        <color rgb="FF409DAD"/>
      </top>
      <bottom style="thin">
        <color rgb="FF00338D"/>
      </bottom>
      <diagonal/>
    </border>
    <border>
      <left/>
      <right style="thin">
        <color rgb="FF00338D"/>
      </right>
      <top style="thin">
        <color rgb="FF409DAD"/>
      </top>
      <bottom style="thin">
        <color rgb="FF00338D"/>
      </bottom>
      <diagonal/>
    </border>
    <border>
      <left/>
      <right style="thin">
        <color rgb="FF009A44"/>
      </right>
      <top/>
      <bottom style="thin">
        <color indexed="24"/>
      </bottom>
      <diagonal/>
    </border>
  </borders>
  <cellStyleXfs count="75">
    <xf numFmtId="0" fontId="0" fillId="0" borderId="0">
      <alignment vertical="center"/>
    </xf>
    <xf numFmtId="9" fontId="3" fillId="0" borderId="0" applyFont="0" applyFill="0" applyBorder="0" applyAlignment="0" applyProtection="0"/>
    <xf numFmtId="0" fontId="4" fillId="0" borderId="0"/>
    <xf numFmtId="164" fontId="4" fillId="2" borderId="1"/>
    <xf numFmtId="0" fontId="4" fillId="2" borderId="1"/>
    <xf numFmtId="0" fontId="4" fillId="2" borderId="1"/>
    <xf numFmtId="165" fontId="4" fillId="2" borderId="1"/>
    <xf numFmtId="164" fontId="4" fillId="2" borderId="1"/>
    <xf numFmtId="0" fontId="4" fillId="2" borderId="1"/>
    <xf numFmtId="0" fontId="4" fillId="2" borderId="1"/>
    <xf numFmtId="165" fontId="4" fillId="2" borderId="1"/>
    <xf numFmtId="164" fontId="4" fillId="2" borderId="1"/>
    <xf numFmtId="0" fontId="4" fillId="2" borderId="1"/>
    <xf numFmtId="0" fontId="4" fillId="2" borderId="1"/>
    <xf numFmtId="165" fontId="4" fillId="2" borderId="1"/>
    <xf numFmtId="164" fontId="4" fillId="2" borderId="1"/>
    <xf numFmtId="0" fontId="4" fillId="2" borderId="1"/>
    <xf numFmtId="0" fontId="4" fillId="2" borderId="1"/>
    <xf numFmtId="165" fontId="4" fillId="2" borderId="1"/>
    <xf numFmtId="164" fontId="4" fillId="2" borderId="1"/>
    <xf numFmtId="0" fontId="4" fillId="2" borderId="1"/>
    <xf numFmtId="0" fontId="4" fillId="2" borderId="1"/>
    <xf numFmtId="0" fontId="7" fillId="0" borderId="0"/>
    <xf numFmtId="169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9" applyNumberFormat="0" applyFill="0" applyAlignment="0" applyProtection="0"/>
    <xf numFmtId="0" fontId="21" fillId="0" borderId="20" applyNumberFormat="0" applyFill="0" applyAlignment="0" applyProtection="0"/>
    <xf numFmtId="0" fontId="22" fillId="0" borderId="21" applyNumberFormat="0" applyFill="0" applyAlignment="0" applyProtection="0"/>
    <xf numFmtId="0" fontId="22" fillId="0" borderId="0" applyNumberFormat="0" applyFill="0" applyBorder="0" applyAlignment="0" applyProtection="0"/>
    <xf numFmtId="0" fontId="23" fillId="4" borderId="0" applyNumberFormat="0" applyBorder="0" applyAlignment="0" applyProtection="0"/>
    <xf numFmtId="0" fontId="24" fillId="5" borderId="0" applyNumberFormat="0" applyBorder="0" applyAlignment="0" applyProtection="0"/>
    <xf numFmtId="0" fontId="25" fillId="6" borderId="0" applyNumberFormat="0" applyBorder="0" applyAlignment="0" applyProtection="0"/>
    <xf numFmtId="0" fontId="26" fillId="7" borderId="22" applyNumberFormat="0" applyAlignment="0" applyProtection="0"/>
    <xf numFmtId="0" fontId="27" fillId="8" borderId="23" applyNumberFormat="0" applyAlignment="0" applyProtection="0"/>
    <xf numFmtId="0" fontId="28" fillId="8" borderId="22" applyNumberFormat="0" applyAlignment="0" applyProtection="0"/>
    <xf numFmtId="0" fontId="29" fillId="0" borderId="24" applyNumberFormat="0" applyFill="0" applyAlignment="0" applyProtection="0"/>
    <xf numFmtId="0" fontId="30" fillId="9" borderId="25" applyNumberFormat="0" applyAlignment="0" applyProtection="0"/>
    <xf numFmtId="0" fontId="31" fillId="0" borderId="0" applyNumberFormat="0" applyFill="0" applyBorder="0" applyAlignment="0" applyProtection="0"/>
    <xf numFmtId="0" fontId="3" fillId="10" borderId="26" applyNumberFormat="0" applyFont="0" applyAlignment="0" applyProtection="0"/>
    <xf numFmtId="0" fontId="32" fillId="0" borderId="0" applyNumberFormat="0" applyFill="0" applyBorder="0" applyAlignment="0" applyProtection="0"/>
    <xf numFmtId="0" fontId="33" fillId="0" borderId="27" applyNumberFormat="0" applyFill="0" applyAlignment="0" applyProtection="0"/>
    <xf numFmtId="0" fontId="34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4" fillId="14" borderId="0" applyNumberFormat="0" applyBorder="0" applyAlignment="0" applyProtection="0"/>
    <xf numFmtId="0" fontId="34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34" fillId="22" borderId="0" applyNumberFormat="0" applyBorder="0" applyAlignment="0" applyProtection="0"/>
    <xf numFmtId="0" fontId="34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34" fillId="34" borderId="0" applyNumberFormat="0" applyBorder="0" applyAlignment="0" applyProtection="0"/>
    <xf numFmtId="0" fontId="12" fillId="0" borderId="0">
      <alignment horizontal="left" vertical="center" indent="11"/>
    </xf>
    <xf numFmtId="170" fontId="14" fillId="35" borderId="29" applyNumberFormat="0" applyFont="0" applyAlignment="0" applyProtection="0">
      <alignment vertical="center"/>
    </xf>
    <xf numFmtId="0" fontId="36" fillId="0" borderId="0">
      <alignment horizontal="left" vertical="center" indent="11"/>
    </xf>
    <xf numFmtId="0" fontId="3" fillId="0" borderId="0"/>
    <xf numFmtId="0" fontId="59" fillId="0" borderId="41" applyFont="0" applyFill="0" applyBorder="0" applyAlignment="0" applyProtection="0">
      <alignment horizontal="right"/>
    </xf>
    <xf numFmtId="0" fontId="60" fillId="0" borderId="0" applyNumberFormat="0" applyBorder="0">
      <alignment horizontal="right"/>
    </xf>
    <xf numFmtId="0" fontId="61" fillId="0" borderId="0" applyNumberFormat="0" applyFill="0" applyBorder="0" applyAlignment="0" applyProtection="0">
      <alignment vertical="top"/>
      <protection locked="0"/>
    </xf>
  </cellStyleXfs>
  <cellXfs count="826">
    <xf numFmtId="0" fontId="0" fillId="0" borderId="0" xfId="0">
      <alignment vertical="center"/>
    </xf>
    <xf numFmtId="0" fontId="8" fillId="0" borderId="0" xfId="0" applyFont="1">
      <alignment vertical="center"/>
    </xf>
    <xf numFmtId="0" fontId="0" fillId="0" borderId="0" xfId="0" applyFont="1">
      <alignment vertical="center"/>
    </xf>
    <xf numFmtId="0" fontId="10" fillId="3" borderId="4" xfId="0" applyNumberFormat="1" applyFont="1" applyFill="1" applyBorder="1" applyAlignment="1">
      <alignment horizontal="right"/>
    </xf>
    <xf numFmtId="0" fontId="10" fillId="3" borderId="6" xfId="0" applyNumberFormat="1" applyFont="1" applyFill="1" applyBorder="1" applyAlignment="1">
      <alignment horizontal="left"/>
    </xf>
    <xf numFmtId="0" fontId="6" fillId="0" borderId="0" xfId="0" applyFont="1">
      <alignment vertical="center"/>
    </xf>
    <xf numFmtId="1" fontId="0" fillId="0" borderId="0" xfId="0" applyNumberFormat="1">
      <alignment vertical="center"/>
    </xf>
    <xf numFmtId="3" fontId="5" fillId="3" borderId="0" xfId="0" applyNumberFormat="1" applyFont="1" applyFill="1" applyBorder="1" applyAlignment="1">
      <alignment horizontal="right" vertical="center"/>
    </xf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14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 applyAlignment="1"/>
    <xf numFmtId="0" fontId="14" fillId="0" borderId="0" xfId="0" applyFont="1">
      <alignment vertical="center"/>
    </xf>
    <xf numFmtId="0" fontId="14" fillId="0" borderId="0" xfId="0" applyFont="1">
      <alignment vertical="center"/>
    </xf>
    <xf numFmtId="0" fontId="14" fillId="0" borderId="0" xfId="0" applyFont="1">
      <alignment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left" indent="1"/>
    </xf>
    <xf numFmtId="0" fontId="10" fillId="3" borderId="14" xfId="0" applyNumberFormat="1" applyFont="1" applyFill="1" applyBorder="1" applyAlignment="1">
      <alignment horizontal="left"/>
    </xf>
    <xf numFmtId="0" fontId="10" fillId="3" borderId="13" xfId="0" applyNumberFormat="1" applyFont="1" applyFill="1" applyBorder="1" applyAlignment="1">
      <alignment horizontal="right"/>
    </xf>
    <xf numFmtId="0" fontId="18" fillId="0" borderId="0" xfId="0" applyFont="1">
      <alignment vertical="center"/>
    </xf>
    <xf numFmtId="0" fontId="5" fillId="3" borderId="0" xfId="0" applyFont="1" applyFill="1" applyBorder="1" applyAlignment="1">
      <alignment horizontal="right" vertical="center"/>
    </xf>
    <xf numFmtId="0" fontId="6" fillId="3" borderId="0" xfId="0" applyFont="1" applyFill="1" applyBorder="1" applyAlignment="1">
      <alignment horizontal="right" vertical="center"/>
    </xf>
    <xf numFmtId="0" fontId="10" fillId="3" borderId="0" xfId="0" applyNumberFormat="1" applyFont="1" applyFill="1" applyBorder="1" applyAlignment="1">
      <alignment horizontal="right"/>
    </xf>
    <xf numFmtId="0" fontId="10" fillId="3" borderId="10" xfId="0" applyNumberFormat="1" applyFont="1" applyFill="1" applyBorder="1" applyAlignment="1">
      <alignment horizontal="right"/>
    </xf>
    <xf numFmtId="0" fontId="14" fillId="0" borderId="0" xfId="0" applyFont="1" applyAlignment="1">
      <alignment vertical="center"/>
    </xf>
    <xf numFmtId="0" fontId="12" fillId="0" borderId="0" xfId="0" applyFont="1" applyAlignment="1">
      <alignment horizontal="left" vertical="center" indent="11"/>
    </xf>
    <xf numFmtId="0" fontId="0" fillId="0" borderId="0" xfId="0">
      <alignment vertical="center"/>
    </xf>
    <xf numFmtId="0" fontId="14" fillId="0" borderId="0" xfId="0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4" fillId="0" borderId="28" xfId="0" applyFont="1" applyBorder="1" applyAlignment="1">
      <alignment vertical="center"/>
    </xf>
    <xf numFmtId="171" fontId="14" fillId="0" borderId="0" xfId="0" applyNumberFormat="1" applyFont="1" applyAlignment="1">
      <alignment vertical="center"/>
    </xf>
    <xf numFmtId="170" fontId="14" fillId="35" borderId="29" xfId="69" applyNumberFormat="1" applyFont="1" applyAlignment="1">
      <alignment vertical="center"/>
    </xf>
    <xf numFmtId="170" fontId="0" fillId="0" borderId="0" xfId="0" applyNumberFormat="1">
      <alignment vertical="center"/>
    </xf>
    <xf numFmtId="0" fontId="15" fillId="0" borderId="0" xfId="0" applyFont="1" applyAlignment="1">
      <alignment vertical="center"/>
    </xf>
    <xf numFmtId="0" fontId="15" fillId="0" borderId="30" xfId="0" applyFont="1" applyBorder="1" applyAlignment="1">
      <alignment vertical="center"/>
    </xf>
    <xf numFmtId="170" fontId="15" fillId="0" borderId="30" xfId="0" applyNumberFormat="1" applyFont="1" applyBorder="1">
      <alignment vertical="center"/>
    </xf>
    <xf numFmtId="0" fontId="14" fillId="0" borderId="0" xfId="0" applyFont="1" applyAlignment="1">
      <alignment horizontal="left" vertical="center" indent="1"/>
    </xf>
    <xf numFmtId="0" fontId="14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5" fillId="0" borderId="0" xfId="0" applyFont="1" applyBorder="1" applyAlignment="1">
      <alignment vertical="center"/>
    </xf>
    <xf numFmtId="170" fontId="15" fillId="0" borderId="0" xfId="0" applyNumberFormat="1" applyFont="1" applyBorder="1">
      <alignment vertical="center"/>
    </xf>
    <xf numFmtId="0" fontId="14" fillId="0" borderId="0" xfId="0" applyFont="1" applyBorder="1" applyAlignment="1">
      <alignment vertical="center"/>
    </xf>
    <xf numFmtId="171" fontId="14" fillId="0" borderId="0" xfId="0" applyNumberFormat="1" applyFont="1" applyBorder="1" applyAlignment="1">
      <alignment vertical="center"/>
    </xf>
    <xf numFmtId="0" fontId="14" fillId="0" borderId="0" xfId="0" applyFont="1" applyBorder="1" applyAlignment="1">
      <alignment horizontal="left" vertical="center" indent="1"/>
    </xf>
    <xf numFmtId="170" fontId="15" fillId="0" borderId="30" xfId="0" applyNumberFormat="1" applyFont="1" applyBorder="1" applyAlignment="1">
      <alignment vertical="center"/>
    </xf>
    <xf numFmtId="0" fontId="12" fillId="0" borderId="0" xfId="68">
      <alignment horizontal="left" vertical="center" indent="11"/>
    </xf>
    <xf numFmtId="0" fontId="35" fillId="0" borderId="0" xfId="0" applyFont="1">
      <alignment vertical="center"/>
    </xf>
    <xf numFmtId="0" fontId="36" fillId="0" borderId="0" xfId="68" applyFont="1">
      <alignment horizontal="left" vertical="center" indent="11"/>
    </xf>
    <xf numFmtId="0" fontId="14" fillId="35" borderId="29" xfId="69" applyNumberFormat="1" applyFont="1" applyAlignment="1">
      <alignment vertical="center"/>
    </xf>
    <xf numFmtId="0" fontId="14" fillId="35" borderId="32" xfId="69" applyNumberFormat="1" applyFont="1" applyBorder="1" applyAlignment="1">
      <alignment vertical="center"/>
    </xf>
    <xf numFmtId="0" fontId="14" fillId="35" borderId="33" xfId="69" applyNumberFormat="1" applyFont="1" applyBorder="1" applyAlignment="1">
      <alignment vertical="center"/>
    </xf>
    <xf numFmtId="0" fontId="14" fillId="35" borderId="34" xfId="69" applyNumberFormat="1" applyFont="1" applyBorder="1" applyAlignment="1">
      <alignment vertical="center"/>
    </xf>
    <xf numFmtId="0" fontId="37" fillId="0" borderId="0" xfId="0" applyFont="1">
      <alignment vertical="center"/>
    </xf>
    <xf numFmtId="0" fontId="0" fillId="0" borderId="0" xfId="0" applyAlignment="1">
      <alignment horizontal="right" vertical="center"/>
    </xf>
    <xf numFmtId="0" fontId="10" fillId="3" borderId="9" xfId="0" applyNumberFormat="1" applyFont="1" applyFill="1" applyBorder="1" applyAlignment="1">
      <alignment horizontal="left"/>
    </xf>
    <xf numFmtId="172" fontId="17" fillId="3" borderId="0" xfId="0" applyNumberFormat="1" applyFont="1" applyFill="1" applyBorder="1" applyAlignment="1">
      <alignment horizontal="right" vertical="center"/>
    </xf>
    <xf numFmtId="172" fontId="17" fillId="3" borderId="10" xfId="0" applyNumberFormat="1" applyFont="1" applyFill="1" applyBorder="1" applyAlignment="1">
      <alignment horizontal="right" vertical="center"/>
    </xf>
    <xf numFmtId="172" fontId="11" fillId="3" borderId="0" xfId="0" applyNumberFormat="1" applyFont="1" applyFill="1" applyBorder="1" applyAlignment="1">
      <alignment horizontal="right" vertical="center"/>
    </xf>
    <xf numFmtId="172" fontId="10" fillId="3" borderId="0" xfId="0" applyNumberFormat="1" applyFont="1" applyFill="1" applyBorder="1" applyAlignment="1">
      <alignment horizontal="right" vertical="center"/>
    </xf>
    <xf numFmtId="172" fontId="10" fillId="3" borderId="10" xfId="0" applyNumberFormat="1" applyFont="1" applyFill="1" applyBorder="1" applyAlignment="1">
      <alignment horizontal="right" vertical="center"/>
    </xf>
    <xf numFmtId="171" fontId="11" fillId="3" borderId="0" xfId="0" applyNumberFormat="1" applyFont="1" applyFill="1" applyBorder="1" applyAlignment="1">
      <alignment horizontal="right" vertical="center"/>
    </xf>
    <xf numFmtId="171" fontId="11" fillId="3" borderId="10" xfId="0" applyNumberFormat="1" applyFont="1" applyFill="1" applyBorder="1" applyAlignment="1">
      <alignment horizontal="right" vertical="center"/>
    </xf>
    <xf numFmtId="171" fontId="11" fillId="3" borderId="3" xfId="0" applyNumberFormat="1" applyFont="1" applyFill="1" applyBorder="1" applyAlignment="1">
      <alignment horizontal="right" vertical="center"/>
    </xf>
    <xf numFmtId="171" fontId="11" fillId="3" borderId="12" xfId="0" applyNumberFormat="1" applyFont="1" applyFill="1" applyBorder="1" applyAlignment="1">
      <alignment horizontal="right" vertical="center"/>
    </xf>
    <xf numFmtId="171" fontId="0" fillId="0" borderId="0" xfId="0" applyNumberFormat="1">
      <alignment vertical="center"/>
    </xf>
    <xf numFmtId="0" fontId="38" fillId="0" borderId="0" xfId="0" applyFont="1" applyAlignment="1">
      <alignment horizontal="center" vertical="center"/>
    </xf>
    <xf numFmtId="171" fontId="38" fillId="0" borderId="0" xfId="0" applyNumberFormat="1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14" fillId="0" borderId="31" xfId="0" applyFont="1" applyBorder="1" applyAlignment="1">
      <alignment vertical="center"/>
    </xf>
    <xf numFmtId="171" fontId="14" fillId="0" borderId="31" xfId="0" applyNumberFormat="1" applyFont="1" applyBorder="1" applyAlignment="1">
      <alignment vertical="center"/>
    </xf>
    <xf numFmtId="172" fontId="10" fillId="3" borderId="15" xfId="0" applyNumberFormat="1" applyFont="1" applyFill="1" applyBorder="1" applyAlignment="1">
      <alignment horizontal="left" vertical="center"/>
    </xf>
    <xf numFmtId="172" fontId="10" fillId="3" borderId="2" xfId="0" applyNumberFormat="1" applyFont="1" applyFill="1" applyBorder="1" applyAlignment="1">
      <alignment horizontal="right" vertical="center"/>
    </xf>
    <xf numFmtId="172" fontId="10" fillId="3" borderId="16" xfId="0" applyNumberFormat="1" applyFont="1" applyFill="1" applyBorder="1" applyAlignment="1">
      <alignment horizontal="right" vertical="center"/>
    </xf>
    <xf numFmtId="0" fontId="15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0" fillId="0" borderId="0" xfId="0" applyFill="1">
      <alignment vertical="center"/>
    </xf>
    <xf numFmtId="0" fontId="14" fillId="0" borderId="0" xfId="0" applyFont="1" applyFill="1" applyAlignment="1">
      <alignment horizontal="right" vertical="center"/>
    </xf>
    <xf numFmtId="170" fontId="0" fillId="0" borderId="0" xfId="0" applyNumberFormat="1" applyFill="1">
      <alignment vertical="center"/>
    </xf>
    <xf numFmtId="171" fontId="0" fillId="0" borderId="0" xfId="0" applyNumberFormat="1" applyFill="1">
      <alignment vertical="center"/>
    </xf>
    <xf numFmtId="0" fontId="15" fillId="0" borderId="0" xfId="0" applyFont="1" applyFill="1" applyAlignment="1">
      <alignment horizontal="right" vertical="center"/>
    </xf>
    <xf numFmtId="170" fontId="5" fillId="0" borderId="0" xfId="0" applyNumberFormat="1" applyFont="1" applyBorder="1">
      <alignment vertical="center"/>
    </xf>
    <xf numFmtId="170" fontId="5" fillId="0" borderId="0" xfId="0" applyNumberFormat="1" applyFont="1" applyFill="1" applyBorder="1">
      <alignment vertical="center"/>
    </xf>
    <xf numFmtId="170" fontId="5" fillId="35" borderId="29" xfId="69" applyNumberFormat="1" applyFont="1">
      <alignment vertical="center"/>
    </xf>
    <xf numFmtId="0" fontId="41" fillId="0" borderId="0" xfId="0" applyFont="1">
      <alignment vertical="center"/>
    </xf>
    <xf numFmtId="0" fontId="42" fillId="0" borderId="0" xfId="0" applyFont="1">
      <alignment vertical="center"/>
    </xf>
    <xf numFmtId="170" fontId="42" fillId="0" borderId="0" xfId="0" applyNumberFormat="1" applyFont="1">
      <alignment vertical="center"/>
    </xf>
    <xf numFmtId="172" fontId="10" fillId="3" borderId="37" xfId="0" applyNumberFormat="1" applyFont="1" applyFill="1" applyBorder="1" applyAlignment="1">
      <alignment horizontal="right" vertical="center"/>
    </xf>
    <xf numFmtId="0" fontId="5" fillId="35" borderId="29" xfId="69" applyNumberFormat="1" applyFont="1">
      <alignment vertical="center"/>
    </xf>
    <xf numFmtId="0" fontId="5" fillId="35" borderId="29" xfId="69" applyNumberFormat="1" applyFont="1" applyAlignment="1">
      <alignment horizontal="left" wrapText="1"/>
    </xf>
    <xf numFmtId="0" fontId="0" fillId="0" borderId="0" xfId="0" applyAlignment="1">
      <alignment horizontal="left" vertical="center"/>
    </xf>
    <xf numFmtId="0" fontId="14" fillId="35" borderId="29" xfId="69" applyNumberFormat="1" applyFont="1">
      <alignment vertical="center"/>
    </xf>
    <xf numFmtId="0" fontId="0" fillId="35" borderId="29" xfId="69" applyNumberFormat="1" applyFont="1">
      <alignment vertical="center"/>
    </xf>
    <xf numFmtId="171" fontId="0" fillId="35" borderId="29" xfId="69" applyNumberFormat="1" applyFont="1">
      <alignment vertical="center"/>
    </xf>
    <xf numFmtId="171" fontId="5" fillId="3" borderId="0" xfId="0" applyNumberFormat="1" applyFont="1" applyFill="1" applyBorder="1" applyAlignment="1">
      <alignment horizontal="right" vertical="center"/>
    </xf>
    <xf numFmtId="171" fontId="5" fillId="3" borderId="10" xfId="0" applyNumberFormat="1" applyFont="1" applyFill="1" applyBorder="1" applyAlignment="1">
      <alignment horizontal="right" vertical="center"/>
    </xf>
    <xf numFmtId="0" fontId="43" fillId="0" borderId="0" xfId="0" applyFont="1">
      <alignment vertical="center"/>
    </xf>
    <xf numFmtId="170" fontId="0" fillId="35" borderId="29" xfId="69" applyNumberFormat="1" applyFont="1">
      <alignment vertical="center"/>
    </xf>
    <xf numFmtId="1" fontId="0" fillId="0" borderId="0" xfId="0" applyNumberFormat="1" applyAlignment="1">
      <alignment horizontal="right" vertical="center"/>
    </xf>
    <xf numFmtId="172" fontId="17" fillId="3" borderId="3" xfId="0" applyNumberFormat="1" applyFont="1" applyFill="1" applyBorder="1" applyAlignment="1">
      <alignment horizontal="right" vertical="center"/>
    </xf>
    <xf numFmtId="170" fontId="14" fillId="0" borderId="0" xfId="0" applyNumberFormat="1" applyFont="1">
      <alignment vertical="center"/>
    </xf>
    <xf numFmtId="3" fontId="14" fillId="0" borderId="0" xfId="0" applyNumberFormat="1" applyFont="1">
      <alignment vertical="center"/>
    </xf>
    <xf numFmtId="0" fontId="14" fillId="0" borderId="0" xfId="0" applyFont="1" applyAlignment="1">
      <alignment horizontal="right" wrapText="1"/>
    </xf>
    <xf numFmtId="3" fontId="0" fillId="0" borderId="0" xfId="0" applyNumberFormat="1">
      <alignment vertical="center"/>
    </xf>
    <xf numFmtId="0" fontId="14" fillId="35" borderId="29" xfId="69" applyNumberFormat="1" applyFont="1" applyAlignment="1">
      <alignment horizontal="right" wrapText="1"/>
    </xf>
    <xf numFmtId="170" fontId="14" fillId="0" borderId="0" xfId="0" applyNumberFormat="1" applyFont="1" applyAlignment="1">
      <alignment horizontal="right" vertical="center" wrapText="1"/>
    </xf>
    <xf numFmtId="9" fontId="38" fillId="0" borderId="0" xfId="0" applyNumberFormat="1" applyFont="1">
      <alignment vertical="center"/>
    </xf>
    <xf numFmtId="170" fontId="38" fillId="0" borderId="0" xfId="0" applyNumberFormat="1" applyFont="1">
      <alignment vertical="center"/>
    </xf>
    <xf numFmtId="0" fontId="0" fillId="0" borderId="0" xfId="0" applyAlignment="1">
      <alignment horizontal="left" vertical="center" indent="1"/>
    </xf>
    <xf numFmtId="0" fontId="42" fillId="0" borderId="0" xfId="0" applyFont="1" applyAlignment="1">
      <alignment horizontal="left" vertical="center" indent="1"/>
    </xf>
    <xf numFmtId="0" fontId="42" fillId="0" borderId="0" xfId="0" applyFont="1" applyAlignment="1">
      <alignment horizontal="right" vertical="center" indent="1"/>
    </xf>
    <xf numFmtId="170" fontId="42" fillId="0" borderId="0" xfId="0" applyNumberFormat="1" applyFont="1" applyAlignment="1">
      <alignment horizontal="right" vertical="center" indent="1"/>
    </xf>
    <xf numFmtId="171" fontId="14" fillId="0" borderId="0" xfId="0" applyNumberFormat="1" applyFont="1">
      <alignment vertical="center"/>
    </xf>
    <xf numFmtId="0" fontId="0" fillId="35" borderId="29" xfId="69" applyNumberFormat="1" applyFont="1" applyAlignment="1">
      <alignment horizontal="left" vertical="center" indent="1"/>
    </xf>
    <xf numFmtId="172" fontId="17" fillId="3" borderId="9" xfId="0" applyNumberFormat="1" applyFont="1" applyFill="1" applyBorder="1" applyAlignment="1">
      <alignment horizontal="left" vertical="center" wrapText="1"/>
    </xf>
    <xf numFmtId="172" fontId="10" fillId="3" borderId="36" xfId="0" applyNumberFormat="1" applyFont="1" applyFill="1" applyBorder="1" applyAlignment="1">
      <alignment horizontal="left" vertical="center"/>
    </xf>
    <xf numFmtId="172" fontId="10" fillId="3" borderId="38" xfId="0" applyNumberFormat="1" applyFont="1" applyFill="1" applyBorder="1" applyAlignment="1">
      <alignment horizontal="right" vertical="center"/>
    </xf>
    <xf numFmtId="172" fontId="17" fillId="3" borderId="9" xfId="0" applyNumberFormat="1" applyFont="1" applyFill="1" applyBorder="1" applyAlignment="1">
      <alignment horizontal="left" vertical="center" wrapText="1" indent="1"/>
    </xf>
    <xf numFmtId="172" fontId="10" fillId="3" borderId="9" xfId="0" applyNumberFormat="1" applyFont="1" applyFill="1" applyBorder="1" applyAlignment="1">
      <alignment horizontal="left" vertical="center" wrapText="1"/>
    </xf>
    <xf numFmtId="174" fontId="42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2" fontId="42" fillId="0" borderId="0" xfId="0" applyNumberFormat="1" applyFont="1">
      <alignment vertical="center"/>
    </xf>
    <xf numFmtId="0" fontId="45" fillId="0" borderId="0" xfId="0" applyFont="1">
      <alignment vertical="center"/>
    </xf>
    <xf numFmtId="0" fontId="46" fillId="0" borderId="0" xfId="0" applyFont="1">
      <alignment vertical="center"/>
    </xf>
    <xf numFmtId="0" fontId="0" fillId="0" borderId="0" xfId="0" applyFont="1" applyAlignment="1">
      <alignment horizontal="left" vertical="center" readingOrder="1"/>
    </xf>
    <xf numFmtId="0" fontId="50" fillId="0" borderId="0" xfId="0" applyFont="1">
      <alignment vertical="center"/>
    </xf>
    <xf numFmtId="0" fontId="17" fillId="0" borderId="0" xfId="0" applyFont="1" applyFill="1">
      <alignment vertical="center"/>
    </xf>
    <xf numFmtId="0" fontId="51" fillId="0" borderId="0" xfId="0" applyFont="1" applyFill="1">
      <alignment vertical="center"/>
    </xf>
    <xf numFmtId="0" fontId="48" fillId="0" borderId="0" xfId="0" applyFont="1" applyAlignment="1">
      <alignment vertical="center"/>
    </xf>
    <xf numFmtId="0" fontId="15" fillId="35" borderId="29" xfId="69" applyNumberFormat="1" applyFont="1" applyAlignment="1">
      <alignment horizontal="right" vertical="center"/>
    </xf>
    <xf numFmtId="170" fontId="15" fillId="0" borderId="0" xfId="0" applyNumberFormat="1" applyFont="1" applyBorder="1" applyAlignment="1">
      <alignment vertical="center"/>
    </xf>
    <xf numFmtId="0" fontId="14" fillId="0" borderId="0" xfId="0" applyFont="1" applyBorder="1" applyAlignment="1">
      <alignment horizontal="left" vertical="center"/>
    </xf>
    <xf numFmtId="173" fontId="0" fillId="0" borderId="0" xfId="0" applyNumberFormat="1" applyBorder="1">
      <alignment vertical="center"/>
    </xf>
    <xf numFmtId="0" fontId="15" fillId="0" borderId="0" xfId="0" applyFont="1" applyBorder="1" applyAlignment="1">
      <alignment horizontal="right" vertical="center"/>
    </xf>
    <xf numFmtId="0" fontId="14" fillId="0" borderId="40" xfId="0" applyFont="1" applyBorder="1" applyAlignment="1">
      <alignment vertical="center"/>
    </xf>
    <xf numFmtId="0" fontId="15" fillId="0" borderId="40" xfId="0" applyFont="1" applyBorder="1" applyAlignment="1">
      <alignment horizontal="right" vertical="center"/>
    </xf>
    <xf numFmtId="3" fontId="6" fillId="37" borderId="3" xfId="0" applyNumberFormat="1" applyFont="1" applyFill="1" applyBorder="1" applyAlignment="1">
      <alignment horizontal="right" vertical="center"/>
    </xf>
    <xf numFmtId="3" fontId="5" fillId="37" borderId="0" xfId="0" applyNumberFormat="1" applyFont="1" applyFill="1" applyBorder="1" applyAlignment="1">
      <alignment horizontal="right" vertical="center"/>
    </xf>
    <xf numFmtId="3" fontId="6" fillId="37" borderId="2" xfId="0" applyNumberFormat="1" applyFont="1" applyFill="1" applyBorder="1" applyAlignment="1">
      <alignment horizontal="right" vertical="center"/>
    </xf>
    <xf numFmtId="3" fontId="6" fillId="3" borderId="0" xfId="0" applyNumberFormat="1" applyFont="1" applyFill="1" applyBorder="1" applyAlignment="1">
      <alignment horizontal="right" vertical="center"/>
    </xf>
    <xf numFmtId="3" fontId="6" fillId="3" borderId="2" xfId="0" applyNumberFormat="1" applyFont="1" applyFill="1" applyBorder="1" applyAlignment="1">
      <alignment horizontal="right" vertical="center"/>
    </xf>
    <xf numFmtId="3" fontId="0" fillId="35" borderId="29" xfId="69" applyNumberFormat="1" applyFont="1">
      <alignment vertical="center"/>
    </xf>
    <xf numFmtId="0" fontId="0" fillId="0" borderId="0" xfId="0" quotePrefix="1" applyFont="1">
      <alignment vertical="center"/>
    </xf>
    <xf numFmtId="3" fontId="5" fillId="3" borderId="10" xfId="0" applyNumberFormat="1" applyFont="1" applyFill="1" applyBorder="1" applyAlignment="1">
      <alignment horizontal="right" vertical="center"/>
    </xf>
    <xf numFmtId="3" fontId="6" fillId="3" borderId="10" xfId="0" applyNumberFormat="1" applyFont="1" applyFill="1" applyBorder="1" applyAlignment="1">
      <alignment horizontal="right" vertical="center"/>
    </xf>
    <xf numFmtId="3" fontId="6" fillId="3" borderId="16" xfId="0" applyNumberFormat="1" applyFont="1" applyFill="1" applyBorder="1" applyAlignment="1">
      <alignment horizontal="right" vertical="center"/>
    </xf>
    <xf numFmtId="0" fontId="14" fillId="35" borderId="29" xfId="69" applyNumberFormat="1" applyFont="1" applyAlignment="1">
      <alignment horizontal="right" vertical="center"/>
    </xf>
    <xf numFmtId="3" fontId="14" fillId="0" borderId="0" xfId="0" applyNumberFormat="1" applyFont="1" applyAlignment="1">
      <alignment horizontal="right" vertical="center"/>
    </xf>
    <xf numFmtId="3" fontId="6" fillId="3" borderId="3" xfId="0" applyNumberFormat="1" applyFont="1" applyFill="1" applyBorder="1" applyAlignment="1">
      <alignment horizontal="right" vertical="center"/>
    </xf>
    <xf numFmtId="3" fontId="6" fillId="3" borderId="12" xfId="0" applyNumberFormat="1" applyFont="1" applyFill="1" applyBorder="1" applyAlignment="1">
      <alignment horizontal="right" vertical="center"/>
    </xf>
    <xf numFmtId="0" fontId="14" fillId="0" borderId="0" xfId="0" applyFont="1" applyAlignment="1"/>
    <xf numFmtId="3" fontId="14" fillId="0" borderId="0" xfId="0" applyNumberFormat="1" applyFont="1" applyAlignment="1"/>
    <xf numFmtId="0" fontId="52" fillId="0" borderId="0" xfId="0" applyFont="1" applyAlignment="1">
      <alignment horizontal="left" vertical="center" readingOrder="1"/>
    </xf>
    <xf numFmtId="3" fontId="14" fillId="35" borderId="29" xfId="69" applyNumberFormat="1" applyFont="1" applyAlignment="1">
      <alignment vertical="center"/>
    </xf>
    <xf numFmtId="0" fontId="54" fillId="0" borderId="0" xfId="0" applyFont="1">
      <alignment vertical="center"/>
    </xf>
    <xf numFmtId="3" fontId="54" fillId="0" borderId="0" xfId="0" applyNumberFormat="1" applyFont="1">
      <alignment vertical="center"/>
    </xf>
    <xf numFmtId="173" fontId="0" fillId="0" borderId="0" xfId="0" applyNumberFormat="1" applyAlignment="1">
      <alignment horizontal="right" vertical="center"/>
    </xf>
    <xf numFmtId="0" fontId="3" fillId="0" borderId="0" xfId="71"/>
    <xf numFmtId="0" fontId="17" fillId="3" borderId="0" xfId="71" applyFont="1" applyFill="1" applyBorder="1" applyAlignment="1">
      <alignment horizontal="right" vertical="center"/>
    </xf>
    <xf numFmtId="0" fontId="57" fillId="0" borderId="0" xfId="71" applyFont="1"/>
    <xf numFmtId="0" fontId="15" fillId="0" borderId="0" xfId="71" applyFont="1"/>
    <xf numFmtId="0" fontId="5" fillId="3" borderId="0" xfId="71" applyFont="1" applyFill="1" applyBorder="1" applyAlignment="1">
      <alignment horizontal="right" vertical="center"/>
    </xf>
    <xf numFmtId="0" fontId="6" fillId="3" borderId="0" xfId="71" applyFont="1" applyFill="1" applyBorder="1" applyAlignment="1">
      <alignment horizontal="right" vertical="center"/>
    </xf>
    <xf numFmtId="0" fontId="14" fillId="0" borderId="0" xfId="71" applyFont="1"/>
    <xf numFmtId="0" fontId="16" fillId="0" borderId="0" xfId="71" applyFont="1"/>
    <xf numFmtId="0" fontId="58" fillId="0" borderId="0" xfId="71" applyFont="1"/>
    <xf numFmtId="0" fontId="0" fillId="0" borderId="0" xfId="0" quotePrefix="1">
      <alignment vertical="center"/>
    </xf>
    <xf numFmtId="0" fontId="0" fillId="35" borderId="29" xfId="69" quotePrefix="1" applyNumberFormat="1" applyFont="1">
      <alignment vertical="center"/>
    </xf>
    <xf numFmtId="1" fontId="6" fillId="39" borderId="4" xfId="71" applyNumberFormat="1" applyFont="1" applyFill="1" applyBorder="1" applyAlignment="1" applyProtection="1">
      <alignment horizontal="center" vertical="center" wrapText="1"/>
      <protection hidden="1"/>
    </xf>
    <xf numFmtId="0" fontId="5" fillId="39" borderId="0" xfId="71" applyFont="1" applyFill="1" applyBorder="1" applyAlignment="1">
      <alignment horizontal="right" vertical="center"/>
    </xf>
    <xf numFmtId="0" fontId="5" fillId="39" borderId="0" xfId="71" applyFont="1" applyFill="1" applyBorder="1" applyAlignment="1">
      <alignment horizontal="left" vertical="center"/>
    </xf>
    <xf numFmtId="3" fontId="5" fillId="39" borderId="0" xfId="71" applyNumberFormat="1" applyFont="1" applyFill="1" applyBorder="1" applyAlignment="1">
      <alignment vertical="center"/>
    </xf>
    <xf numFmtId="3" fontId="5" fillId="39" borderId="0" xfId="71" applyNumberFormat="1" applyFont="1" applyFill="1" applyBorder="1" applyAlignment="1">
      <alignment vertical="center" wrapText="1"/>
    </xf>
    <xf numFmtId="3" fontId="5" fillId="39" borderId="0" xfId="71" applyNumberFormat="1" applyFont="1" applyFill="1" applyBorder="1" applyAlignment="1">
      <alignment horizontal="left" vertical="top" wrapText="1"/>
    </xf>
    <xf numFmtId="0" fontId="6" fillId="39" borderId="0" xfId="71" applyFont="1" applyFill="1" applyBorder="1" applyAlignment="1"/>
    <xf numFmtId="0" fontId="0" fillId="0" borderId="0" xfId="0" applyBorder="1">
      <alignment vertical="center"/>
    </xf>
    <xf numFmtId="0" fontId="6" fillId="39" borderId="4" xfId="71" applyFont="1" applyFill="1" applyBorder="1" applyAlignment="1"/>
    <xf numFmtId="0" fontId="5" fillId="39" borderId="4" xfId="71" applyFont="1" applyFill="1" applyBorder="1" applyAlignment="1">
      <alignment horizontal="center" vertical="center"/>
    </xf>
    <xf numFmtId="3" fontId="5" fillId="39" borderId="0" xfId="71" applyNumberFormat="1" applyFont="1" applyFill="1" applyBorder="1" applyAlignment="1">
      <alignment horizontal="left" vertical="center"/>
    </xf>
    <xf numFmtId="0" fontId="0" fillId="0" borderId="33" xfId="69" applyNumberFormat="1" applyFont="1" applyFill="1" applyBorder="1">
      <alignment vertical="center"/>
    </xf>
    <xf numFmtId="0" fontId="0" fillId="0" borderId="42" xfId="69" applyNumberFormat="1" applyFont="1" applyFill="1" applyBorder="1">
      <alignment vertical="center"/>
    </xf>
    <xf numFmtId="0" fontId="0" fillId="0" borderId="0" xfId="69" applyNumberFormat="1" applyFont="1" applyFill="1" applyBorder="1">
      <alignment vertical="center"/>
    </xf>
    <xf numFmtId="0" fontId="17" fillId="3" borderId="2" xfId="71" applyFont="1" applyFill="1" applyBorder="1" applyAlignment="1">
      <alignment horizontal="right" vertical="center"/>
    </xf>
    <xf numFmtId="0" fontId="17" fillId="3" borderId="6" xfId="71" applyFont="1" applyFill="1" applyBorder="1" applyAlignment="1">
      <alignment horizontal="left" vertical="center" wrapText="1"/>
    </xf>
    <xf numFmtId="0" fontId="10" fillId="3" borderId="0" xfId="71" applyNumberFormat="1" applyFont="1" applyFill="1" applyBorder="1" applyAlignment="1">
      <alignment horizontal="right"/>
    </xf>
    <xf numFmtId="172" fontId="17" fillId="3" borderId="0" xfId="71" applyNumberFormat="1" applyFont="1" applyFill="1" applyBorder="1" applyAlignment="1">
      <alignment horizontal="right" vertical="center"/>
    </xf>
    <xf numFmtId="0" fontId="14" fillId="0" borderId="0" xfId="71" applyFont="1" applyAlignment="1">
      <alignment horizontal="right"/>
    </xf>
    <xf numFmtId="0" fontId="0" fillId="0" borderId="43" xfId="69" applyNumberFormat="1" applyFont="1" applyFill="1" applyBorder="1">
      <alignment vertical="center"/>
    </xf>
    <xf numFmtId="0" fontId="14" fillId="35" borderId="29" xfId="69" applyNumberFormat="1" applyFont="1" applyAlignment="1"/>
    <xf numFmtId="170" fontId="14" fillId="0" borderId="0" xfId="71" applyNumberFormat="1" applyFont="1"/>
    <xf numFmtId="170" fontId="3" fillId="0" borderId="0" xfId="71" applyNumberFormat="1"/>
    <xf numFmtId="170" fontId="14" fillId="35" borderId="29" xfId="69" applyNumberFormat="1" applyFont="1" applyAlignment="1"/>
    <xf numFmtId="0" fontId="15" fillId="0" borderId="0" xfId="71" applyFont="1" applyAlignment="1">
      <alignment horizontal="right"/>
    </xf>
    <xf numFmtId="173" fontId="14" fillId="0" borderId="0" xfId="71" applyNumberFormat="1" applyFont="1"/>
    <xf numFmtId="0" fontId="6" fillId="0" borderId="0" xfId="71" applyFont="1"/>
    <xf numFmtId="0" fontId="53" fillId="0" borderId="0" xfId="71" applyFont="1"/>
    <xf numFmtId="0" fontId="14" fillId="0" borderId="0" xfId="71" applyFont="1" applyFill="1"/>
    <xf numFmtId="171" fontId="14" fillId="0" borderId="0" xfId="71" applyNumberFormat="1" applyFont="1" applyFill="1"/>
    <xf numFmtId="171" fontId="14" fillId="0" borderId="0" xfId="71" applyNumberFormat="1" applyFont="1"/>
    <xf numFmtId="173" fontId="5" fillId="3" borderId="0" xfId="71" applyNumberFormat="1" applyFont="1" applyFill="1" applyBorder="1" applyAlignment="1">
      <alignment horizontal="right" vertical="center"/>
    </xf>
    <xf numFmtId="9" fontId="14" fillId="0" borderId="0" xfId="71" applyNumberFormat="1" applyFont="1"/>
    <xf numFmtId="9" fontId="5" fillId="3" borderId="0" xfId="71" applyNumberFormat="1" applyFont="1" applyFill="1" applyBorder="1" applyAlignment="1">
      <alignment horizontal="right" vertical="center"/>
    </xf>
    <xf numFmtId="9" fontId="6" fillId="3" borderId="2" xfId="71" applyNumberFormat="1" applyFont="1" applyFill="1" applyBorder="1" applyAlignment="1">
      <alignment horizontal="right" vertical="center"/>
    </xf>
    <xf numFmtId="173" fontId="6" fillId="3" borderId="2" xfId="71" applyNumberFormat="1" applyFont="1" applyFill="1" applyBorder="1" applyAlignment="1">
      <alignment horizontal="right" vertical="center"/>
    </xf>
    <xf numFmtId="9" fontId="62" fillId="3" borderId="0" xfId="71" applyNumberFormat="1" applyFont="1" applyFill="1" applyBorder="1" applyAlignment="1">
      <alignment horizontal="right" vertical="center"/>
    </xf>
    <xf numFmtId="171" fontId="62" fillId="3" borderId="0" xfId="71" applyNumberFormat="1" applyFont="1" applyFill="1" applyBorder="1" applyAlignment="1">
      <alignment horizontal="right" vertical="center"/>
    </xf>
    <xf numFmtId="9" fontId="5" fillId="3" borderId="0" xfId="71" applyNumberFormat="1" applyFont="1" applyFill="1" applyBorder="1" applyAlignment="1">
      <alignment horizontal="right"/>
    </xf>
    <xf numFmtId="173" fontId="5" fillId="3" borderId="0" xfId="71" applyNumberFormat="1" applyFont="1" applyFill="1" applyBorder="1" applyAlignment="1">
      <alignment horizontal="right"/>
    </xf>
    <xf numFmtId="9" fontId="0" fillId="0" borderId="0" xfId="0" applyNumberFormat="1">
      <alignment vertical="center"/>
    </xf>
    <xf numFmtId="9" fontId="0" fillId="35" borderId="29" xfId="69" applyNumberFormat="1" applyFont="1">
      <alignment vertical="center"/>
    </xf>
    <xf numFmtId="170" fontId="15" fillId="0" borderId="0" xfId="0" applyNumberFormat="1" applyFont="1">
      <alignment vertical="center"/>
    </xf>
    <xf numFmtId="3" fontId="14" fillId="0" borderId="0" xfId="71" applyNumberFormat="1" applyFont="1"/>
    <xf numFmtId="3" fontId="5" fillId="3" borderId="0" xfId="71" applyNumberFormat="1" applyFont="1" applyFill="1" applyBorder="1" applyAlignment="1">
      <alignment horizontal="right" vertical="center"/>
    </xf>
    <xf numFmtId="3" fontId="10" fillId="3" borderId="39" xfId="71" applyNumberFormat="1" applyFont="1" applyFill="1" applyBorder="1" applyAlignment="1">
      <alignment horizontal="right"/>
    </xf>
    <xf numFmtId="0" fontId="62" fillId="3" borderId="3" xfId="71" applyFont="1" applyFill="1" applyBorder="1" applyAlignment="1">
      <alignment horizontal="right" vertical="center"/>
    </xf>
    <xf numFmtId="171" fontId="63" fillId="0" borderId="0" xfId="71" applyNumberFormat="1" applyFont="1"/>
    <xf numFmtId="0" fontId="63" fillId="0" borderId="0" xfId="71" applyFont="1"/>
    <xf numFmtId="3" fontId="14" fillId="35" borderId="29" xfId="69" applyNumberFormat="1" applyFont="1" applyAlignment="1"/>
    <xf numFmtId="171" fontId="58" fillId="0" borderId="0" xfId="71" applyNumberFormat="1" applyFont="1"/>
    <xf numFmtId="0" fontId="5" fillId="0" borderId="0" xfId="71" applyFont="1"/>
    <xf numFmtId="0" fontId="64" fillId="0" borderId="0" xfId="71" applyFont="1"/>
    <xf numFmtId="175" fontId="53" fillId="0" borderId="0" xfId="71" applyNumberFormat="1" applyFont="1"/>
    <xf numFmtId="2" fontId="14" fillId="0" borderId="0" xfId="71" applyNumberFormat="1" applyFont="1"/>
    <xf numFmtId="0" fontId="0" fillId="0" borderId="44" xfId="69" applyNumberFormat="1" applyFont="1" applyFill="1" applyBorder="1">
      <alignment vertical="center"/>
    </xf>
    <xf numFmtId="171" fontId="14" fillId="35" borderId="29" xfId="69" applyNumberFormat="1" applyFont="1" applyAlignment="1"/>
    <xf numFmtId="1" fontId="14" fillId="0" borderId="0" xfId="71" applyNumberFormat="1" applyFont="1"/>
    <xf numFmtId="171" fontId="5" fillId="0" borderId="0" xfId="0" applyNumberFormat="1" applyFont="1" applyFill="1" applyBorder="1" applyAlignment="1"/>
    <xf numFmtId="171" fontId="14" fillId="0" borderId="0" xfId="0" applyNumberFormat="1" applyFont="1" applyAlignment="1"/>
    <xf numFmtId="171" fontId="5" fillId="0" borderId="0" xfId="0" applyNumberFormat="1" applyFont="1" applyBorder="1" applyAlignment="1"/>
    <xf numFmtId="0" fontId="6" fillId="0" borderId="0" xfId="0" applyFont="1" applyAlignment="1"/>
    <xf numFmtId="171" fontId="5" fillId="35" borderId="29" xfId="69" applyNumberFormat="1" applyFont="1">
      <alignment vertical="center"/>
    </xf>
    <xf numFmtId="171" fontId="14" fillId="0" borderId="0" xfId="71" applyNumberFormat="1" applyFont="1" applyAlignment="1">
      <alignment horizontal="right"/>
    </xf>
    <xf numFmtId="170" fontId="5" fillId="35" borderId="29" xfId="69" applyNumberFormat="1" applyFont="1" applyAlignment="1"/>
    <xf numFmtId="0" fontId="0" fillId="0" borderId="0" xfId="0" applyAlignment="1"/>
    <xf numFmtId="0" fontId="14" fillId="0" borderId="0" xfId="0" applyFont="1" applyFill="1" applyAlignment="1">
      <alignment horizontal="right"/>
    </xf>
    <xf numFmtId="171" fontId="15" fillId="0" borderId="0" xfId="0" applyNumberFormat="1" applyFont="1" applyFill="1" applyAlignment="1">
      <alignment horizontal="right"/>
    </xf>
    <xf numFmtId="9" fontId="15" fillId="0" borderId="0" xfId="0" applyNumberFormat="1" applyFont="1" applyFill="1" applyAlignment="1">
      <alignment horizontal="left" wrapText="1"/>
    </xf>
    <xf numFmtId="171" fontId="14" fillId="0" borderId="0" xfId="0" applyNumberFormat="1" applyFont="1" applyFill="1" applyAlignment="1">
      <alignment horizontal="right"/>
    </xf>
    <xf numFmtId="0" fontId="14" fillId="0" borderId="0" xfId="0" applyFont="1" applyAlignment="1">
      <alignment horizontal="left" wrapText="1"/>
    </xf>
    <xf numFmtId="10" fontId="14" fillId="0" borderId="0" xfId="0" applyNumberFormat="1" applyFont="1" applyAlignment="1"/>
    <xf numFmtId="0" fontId="14" fillId="0" borderId="0" xfId="0" applyFont="1" applyFill="1" applyAlignment="1"/>
    <xf numFmtId="173" fontId="15" fillId="0" borderId="0" xfId="0" applyNumberFormat="1" applyFont="1" applyAlignment="1"/>
    <xf numFmtId="0" fontId="15" fillId="0" borderId="0" xfId="0" applyFont="1" applyFill="1" applyAlignment="1"/>
    <xf numFmtId="173" fontId="14" fillId="0" borderId="0" xfId="0" applyNumberFormat="1" applyFont="1" applyAlignment="1"/>
    <xf numFmtId="0" fontId="0" fillId="0" borderId="0" xfId="0" applyFont="1" applyAlignment="1"/>
    <xf numFmtId="9" fontId="14" fillId="0" borderId="0" xfId="0" applyNumberFormat="1" applyFont="1" applyAlignment="1"/>
    <xf numFmtId="0" fontId="14" fillId="0" borderId="0" xfId="0" applyFont="1" applyAlignment="1">
      <alignment wrapText="1"/>
    </xf>
    <xf numFmtId="9" fontId="14" fillId="35" borderId="29" xfId="69" applyNumberFormat="1" applyFont="1" applyAlignment="1"/>
    <xf numFmtId="0" fontId="5" fillId="0" borderId="0" xfId="0" applyFont="1" applyAlignment="1"/>
    <xf numFmtId="0" fontId="12" fillId="0" borderId="0" xfId="71" applyFont="1" applyAlignment="1">
      <alignment horizontal="left" indent="9"/>
    </xf>
    <xf numFmtId="0" fontId="12" fillId="0" borderId="0" xfId="71" applyFont="1" applyAlignment="1">
      <alignment vertical="center"/>
    </xf>
    <xf numFmtId="0" fontId="14" fillId="0" borderId="0" xfId="71" applyFont="1" applyAlignment="1">
      <alignment vertical="center"/>
    </xf>
    <xf numFmtId="0" fontId="14" fillId="0" borderId="0" xfId="71" applyFont="1" applyAlignment="1">
      <alignment horizontal="right" vertical="center"/>
    </xf>
    <xf numFmtId="0" fontId="55" fillId="0" borderId="0" xfId="71" applyFont="1"/>
    <xf numFmtId="0" fontId="14" fillId="0" borderId="0" xfId="71" applyFont="1" applyAlignment="1">
      <alignment horizontal="left" vertical="center"/>
    </xf>
    <xf numFmtId="0" fontId="6" fillId="39" borderId="0" xfId="71" applyFont="1" applyFill="1" applyBorder="1" applyAlignment="1" applyProtection="1">
      <alignment vertical="center"/>
    </xf>
    <xf numFmtId="0" fontId="55" fillId="40" borderId="0" xfId="71" applyFont="1" applyFill="1" applyProtection="1"/>
    <xf numFmtId="0" fontId="1" fillId="40" borderId="0" xfId="71" applyFont="1" applyFill="1" applyProtection="1"/>
    <xf numFmtId="0" fontId="6" fillId="41" borderId="0" xfId="71" applyFont="1" applyFill="1" applyAlignment="1">
      <alignment vertical="center"/>
    </xf>
    <xf numFmtId="0" fontId="66" fillId="0" borderId="45" xfId="71" applyFont="1" applyFill="1" applyBorder="1" applyAlignment="1" applyProtection="1">
      <alignment horizontal="left"/>
      <protection locked="0"/>
    </xf>
    <xf numFmtId="0" fontId="66" fillId="0" borderId="46" xfId="71" applyFont="1" applyFill="1" applyBorder="1" applyAlignment="1" applyProtection="1">
      <alignment horizontal="left"/>
      <protection locked="0"/>
    </xf>
    <xf numFmtId="0" fontId="55" fillId="40" borderId="0" xfId="71" applyFont="1" applyFill="1" applyAlignment="1" applyProtection="1">
      <alignment horizontal="left"/>
    </xf>
    <xf numFmtId="0" fontId="15" fillId="40" borderId="0" xfId="71" applyFont="1" applyFill="1" applyAlignment="1" applyProtection="1">
      <alignment horizontal="left"/>
    </xf>
    <xf numFmtId="0" fontId="15" fillId="41" borderId="0" xfId="71" applyFont="1" applyFill="1" applyBorder="1" applyAlignment="1">
      <alignment horizontal="left" vertical="center"/>
    </xf>
    <xf numFmtId="0" fontId="15" fillId="0" borderId="0" xfId="71" applyFont="1" applyAlignment="1">
      <alignment horizontal="left" vertical="center"/>
    </xf>
    <xf numFmtId="0" fontId="14" fillId="40" borderId="0" xfId="71" applyFont="1" applyFill="1" applyAlignment="1" applyProtection="1">
      <alignment horizontal="left"/>
    </xf>
    <xf numFmtId="0" fontId="45" fillId="41" borderId="0" xfId="71" applyFont="1" applyFill="1" applyBorder="1" applyAlignment="1">
      <alignment horizontal="left" vertical="center"/>
    </xf>
    <xf numFmtId="0" fontId="14" fillId="41" borderId="0" xfId="71" applyFont="1" applyFill="1" applyBorder="1" applyAlignment="1">
      <alignment horizontal="left" vertical="center"/>
    </xf>
    <xf numFmtId="0" fontId="67" fillId="41" borderId="0" xfId="71" applyFont="1" applyFill="1" applyAlignment="1">
      <alignment vertical="center"/>
    </xf>
    <xf numFmtId="0" fontId="66" fillId="0" borderId="47" xfId="71" applyNumberFormat="1" applyFont="1" applyFill="1" applyBorder="1" applyAlignment="1" applyProtection="1">
      <alignment horizontal="left"/>
      <protection locked="0"/>
    </xf>
    <xf numFmtId="0" fontId="45" fillId="0" borderId="0" xfId="71" applyFont="1" applyAlignment="1">
      <alignment horizontal="left" vertical="center"/>
    </xf>
    <xf numFmtId="0" fontId="14" fillId="41" borderId="48" xfId="71" applyFont="1" applyFill="1" applyBorder="1" applyAlignment="1">
      <alignment horizontal="right" vertical="center"/>
    </xf>
    <xf numFmtId="0" fontId="68" fillId="41" borderId="0" xfId="71" applyFont="1" applyFill="1" applyBorder="1" applyAlignment="1">
      <alignment horizontal="left" vertical="center"/>
    </xf>
    <xf numFmtId="171" fontId="66" fillId="0" borderId="45" xfId="71" applyNumberFormat="1" applyFont="1" applyFill="1" applyBorder="1" applyAlignment="1" applyProtection="1">
      <alignment horizontal="left"/>
      <protection locked="0"/>
    </xf>
    <xf numFmtId="171" fontId="66" fillId="0" borderId="46" xfId="71" applyNumberFormat="1" applyFont="1" applyFill="1" applyBorder="1" applyAlignment="1" applyProtection="1">
      <alignment horizontal="left"/>
      <protection locked="0"/>
    </xf>
    <xf numFmtId="0" fontId="5" fillId="41" borderId="0" xfId="71" applyNumberFormat="1" applyFont="1" applyFill="1" applyBorder="1" applyAlignment="1" applyProtection="1">
      <alignment horizontal="left"/>
      <protection locked="0"/>
    </xf>
    <xf numFmtId="171" fontId="14" fillId="41" borderId="0" xfId="71" applyNumberFormat="1" applyFont="1" applyFill="1" applyBorder="1" applyAlignment="1">
      <alignment horizontal="left" vertical="center"/>
    </xf>
    <xf numFmtId="0" fontId="14" fillId="39" borderId="49" xfId="71" applyFont="1" applyFill="1" applyBorder="1" applyAlignment="1" applyProtection="1">
      <alignment horizontal="left"/>
    </xf>
    <xf numFmtId="0" fontId="14" fillId="0" borderId="50" xfId="71" applyFont="1" applyBorder="1" applyAlignment="1">
      <alignment horizontal="left" vertical="center"/>
    </xf>
    <xf numFmtId="0" fontId="14" fillId="0" borderId="0" xfId="71" applyFont="1" applyBorder="1" applyAlignment="1">
      <alignment horizontal="left" vertical="center"/>
    </xf>
    <xf numFmtId="0" fontId="5" fillId="0" borderId="0" xfId="71" applyFont="1" applyAlignment="1">
      <alignment horizontal="left" vertical="center"/>
    </xf>
    <xf numFmtId="171" fontId="14" fillId="0" borderId="0" xfId="71" applyNumberFormat="1" applyFont="1" applyAlignment="1">
      <alignment horizontal="left" vertical="center"/>
    </xf>
    <xf numFmtId="171" fontId="14" fillId="0" borderId="0" xfId="71" applyNumberFormat="1" applyFont="1" applyAlignment="1">
      <alignment vertical="center"/>
    </xf>
    <xf numFmtId="10" fontId="14" fillId="0" borderId="0" xfId="71" applyNumberFormat="1" applyFont="1" applyAlignment="1">
      <alignment vertical="center"/>
    </xf>
    <xf numFmtId="0" fontId="55" fillId="40" borderId="0" xfId="71" applyFont="1" applyFill="1" applyBorder="1" applyAlignment="1" applyProtection="1">
      <alignment horizontal="left"/>
    </xf>
    <xf numFmtId="0" fontId="14" fillId="39" borderId="51" xfId="71" applyFont="1" applyFill="1" applyBorder="1" applyAlignment="1" applyProtection="1">
      <alignment horizontal="left"/>
    </xf>
    <xf numFmtId="0" fontId="14" fillId="0" borderId="44" xfId="71" applyFont="1" applyBorder="1" applyAlignment="1">
      <alignment horizontal="left" vertical="center"/>
    </xf>
    <xf numFmtId="0" fontId="14" fillId="40" borderId="0" xfId="71" applyFont="1" applyFill="1" applyBorder="1" applyAlignment="1" applyProtection="1">
      <alignment horizontal="left"/>
    </xf>
    <xf numFmtId="0" fontId="14" fillId="39" borderId="43" xfId="71" applyFont="1" applyFill="1" applyBorder="1" applyAlignment="1" applyProtection="1">
      <alignment horizontal="left"/>
    </xf>
    <xf numFmtId="0" fontId="14" fillId="0" borderId="52" xfId="71" applyFont="1" applyBorder="1" applyAlignment="1">
      <alignment horizontal="left" vertical="center"/>
    </xf>
    <xf numFmtId="0" fontId="14" fillId="39" borderId="0" xfId="71" applyFont="1" applyFill="1" applyAlignment="1" applyProtection="1">
      <alignment horizontal="left"/>
    </xf>
    <xf numFmtId="0" fontId="14" fillId="41" borderId="42" xfId="71" applyFont="1" applyFill="1" applyBorder="1" applyAlignment="1">
      <alignment horizontal="right" vertical="center"/>
    </xf>
    <xf numFmtId="0" fontId="14" fillId="39" borderId="53" xfId="71" applyFont="1" applyFill="1" applyBorder="1" applyAlignment="1" applyProtection="1">
      <alignment horizontal="left"/>
    </xf>
    <xf numFmtId="0" fontId="14" fillId="0" borderId="54" xfId="71" applyFont="1" applyBorder="1" applyAlignment="1">
      <alignment horizontal="left" vertical="center"/>
    </xf>
    <xf numFmtId="173" fontId="66" fillId="0" borderId="45" xfId="71" applyNumberFormat="1" applyFont="1" applyFill="1" applyBorder="1" applyAlignment="1" applyProtection="1">
      <alignment horizontal="left"/>
      <protection locked="0"/>
    </xf>
    <xf numFmtId="173" fontId="66" fillId="0" borderId="46" xfId="71" applyNumberFormat="1" applyFont="1" applyFill="1" applyBorder="1" applyAlignment="1" applyProtection="1">
      <alignment horizontal="left"/>
      <protection locked="0"/>
    </xf>
    <xf numFmtId="0" fontId="14" fillId="0" borderId="0" xfId="71" applyFont="1" applyBorder="1" applyAlignment="1">
      <alignment vertical="center"/>
    </xf>
    <xf numFmtId="0" fontId="14" fillId="0" borderId="0" xfId="71" applyFont="1" applyBorder="1"/>
    <xf numFmtId="0" fontId="15" fillId="0" borderId="0" xfId="71" applyFont="1" applyAlignment="1">
      <alignment horizontal="right" vertical="center"/>
    </xf>
    <xf numFmtId="171" fontId="14" fillId="0" borderId="0" xfId="71" applyNumberFormat="1" applyFont="1" applyAlignment="1">
      <alignment horizontal="right" vertical="center"/>
    </xf>
    <xf numFmtId="0" fontId="3" fillId="42" borderId="0" xfId="71" applyFill="1"/>
    <xf numFmtId="171" fontId="3" fillId="0" borderId="0" xfId="71" applyNumberFormat="1"/>
    <xf numFmtId="173" fontId="14" fillId="0" borderId="0" xfId="71" applyNumberFormat="1" applyFont="1" applyAlignment="1">
      <alignment horizontal="right" vertical="center"/>
    </xf>
    <xf numFmtId="9" fontId="14" fillId="0" borderId="0" xfId="71" applyNumberFormat="1" applyFont="1" applyAlignment="1">
      <alignment horizontal="left" vertical="center"/>
    </xf>
    <xf numFmtId="0" fontId="45" fillId="0" borderId="0" xfId="71" applyFont="1" applyAlignment="1">
      <alignment vertical="center"/>
    </xf>
    <xf numFmtId="171" fontId="14" fillId="0" borderId="0" xfId="0" applyNumberFormat="1" applyFont="1" applyAlignment="1">
      <alignment horizontal="right" vertical="center"/>
    </xf>
    <xf numFmtId="176" fontId="0" fillId="0" borderId="0" xfId="0" applyNumberFormat="1" applyFont="1" applyAlignment="1"/>
    <xf numFmtId="171" fontId="62" fillId="3" borderId="0" xfId="0" applyNumberFormat="1" applyFont="1" applyFill="1" applyBorder="1" applyAlignment="1">
      <alignment horizontal="right" vertical="center"/>
    </xf>
    <xf numFmtId="173" fontId="5" fillId="3" borderId="0" xfId="0" applyNumberFormat="1" applyFont="1" applyFill="1" applyBorder="1" applyAlignment="1">
      <alignment horizontal="right" vertical="center"/>
    </xf>
    <xf numFmtId="170" fontId="0" fillId="0" borderId="0" xfId="0" applyNumberFormat="1" applyAlignment="1"/>
    <xf numFmtId="0" fontId="42" fillId="0" borderId="0" xfId="0" applyFont="1" applyAlignment="1"/>
    <xf numFmtId="170" fontId="42" fillId="0" borderId="0" xfId="0" applyNumberFormat="1" applyFont="1" applyAlignment="1"/>
    <xf numFmtId="10" fontId="0" fillId="0" borderId="0" xfId="0" applyNumberFormat="1">
      <alignment vertical="center"/>
    </xf>
    <xf numFmtId="3" fontId="15" fillId="0" borderId="0" xfId="69" applyNumberFormat="1" applyFont="1" applyFill="1" applyBorder="1">
      <alignment vertical="center"/>
    </xf>
    <xf numFmtId="0" fontId="39" fillId="0" borderId="0" xfId="0" applyFont="1" applyAlignment="1"/>
    <xf numFmtId="171" fontId="39" fillId="0" borderId="0" xfId="0" applyNumberFormat="1" applyFont="1" applyAlignment="1"/>
    <xf numFmtId="173" fontId="10" fillId="3" borderId="0" xfId="0" applyNumberFormat="1" applyFont="1" applyFill="1" applyBorder="1" applyAlignment="1">
      <alignment horizontal="right" vertical="center"/>
    </xf>
    <xf numFmtId="0" fontId="5" fillId="0" borderId="0" xfId="0" applyFont="1" applyAlignment="1">
      <alignment wrapText="1"/>
    </xf>
    <xf numFmtId="171" fontId="63" fillId="0" borderId="0" xfId="0" applyNumberFormat="1" applyFont="1">
      <alignment vertical="center"/>
    </xf>
    <xf numFmtId="0" fontId="55" fillId="0" borderId="0" xfId="0" applyFont="1" applyAlignment="1"/>
    <xf numFmtId="177" fontId="5" fillId="3" borderId="0" xfId="0" applyNumberFormat="1" applyFont="1" applyFill="1" applyBorder="1" applyAlignment="1">
      <alignment horizontal="right" vertical="center" wrapText="1"/>
    </xf>
    <xf numFmtId="171" fontId="5" fillId="3" borderId="0" xfId="0" applyNumberFormat="1" applyFont="1" applyFill="1" applyBorder="1" applyAlignment="1">
      <alignment horizontal="right" vertical="center" wrapText="1"/>
    </xf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170" fontId="14" fillId="0" borderId="0" xfId="0" applyNumberFormat="1" applyFont="1" applyAlignment="1"/>
    <xf numFmtId="171" fontId="0" fillId="0" borderId="0" xfId="0" applyNumberFormat="1" applyFont="1" applyAlignment="1"/>
    <xf numFmtId="171" fontId="62" fillId="3" borderId="12" xfId="0" applyNumberFormat="1" applyFont="1" applyFill="1" applyBorder="1" applyAlignment="1">
      <alignment horizontal="right" vertical="center"/>
    </xf>
    <xf numFmtId="171" fontId="62" fillId="3" borderId="3" xfId="0" applyNumberFormat="1" applyFont="1" applyFill="1" applyBorder="1" applyAlignment="1">
      <alignment horizontal="right" vertical="center"/>
    </xf>
    <xf numFmtId="2" fontId="5" fillId="3" borderId="10" xfId="0" applyNumberFormat="1" applyFont="1" applyFill="1" applyBorder="1" applyAlignment="1">
      <alignment horizontal="right" vertical="center"/>
    </xf>
    <xf numFmtId="2" fontId="5" fillId="3" borderId="0" xfId="0" applyNumberFormat="1" applyFont="1" applyFill="1" applyBorder="1" applyAlignment="1">
      <alignment horizontal="right" vertical="center"/>
    </xf>
    <xf numFmtId="173" fontId="5" fillId="3" borderId="10" xfId="0" applyNumberFormat="1" applyFont="1" applyFill="1" applyBorder="1" applyAlignment="1">
      <alignment horizontal="right" vertical="center"/>
    </xf>
    <xf numFmtId="9" fontId="71" fillId="0" borderId="0" xfId="0" applyNumberFormat="1" applyFont="1" applyAlignment="1"/>
    <xf numFmtId="0" fontId="71" fillId="0" borderId="0" xfId="0" applyFont="1" applyAlignment="1"/>
    <xf numFmtId="171" fontId="71" fillId="0" borderId="0" xfId="0" applyNumberFormat="1" applyFont="1" applyAlignment="1"/>
    <xf numFmtId="179" fontId="5" fillId="0" borderId="0" xfId="0" applyNumberFormat="1" applyFont="1" applyFill="1" applyBorder="1" applyAlignment="1"/>
    <xf numFmtId="177" fontId="5" fillId="0" borderId="0" xfId="0" applyNumberFormat="1" applyFont="1" applyFill="1" applyBorder="1" applyAlignment="1"/>
    <xf numFmtId="177" fontId="5" fillId="0" borderId="0" xfId="0" applyNumberFormat="1" applyFont="1" applyBorder="1" applyAlignment="1"/>
    <xf numFmtId="177" fontId="5" fillId="35" borderId="29" xfId="69" applyNumberFormat="1" applyFont="1" applyAlignment="1"/>
    <xf numFmtId="177" fontId="5" fillId="3" borderId="0" xfId="0" applyNumberFormat="1" applyFont="1" applyFill="1" applyBorder="1" applyAlignment="1">
      <alignment horizontal="right" vertical="center"/>
    </xf>
    <xf numFmtId="178" fontId="14" fillId="0" borderId="0" xfId="0" applyNumberFormat="1" applyFont="1" applyAlignment="1"/>
    <xf numFmtId="0" fontId="0" fillId="0" borderId="0" xfId="0" applyAlignment="1">
      <alignment horizontal="left"/>
    </xf>
    <xf numFmtId="178" fontId="0" fillId="0" borderId="0" xfId="0" applyNumberFormat="1" applyAlignment="1">
      <alignment horizontal="left"/>
    </xf>
    <xf numFmtId="0" fontId="17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5" fillId="35" borderId="29" xfId="69" applyNumberFormat="1" applyFont="1" applyAlignment="1"/>
    <xf numFmtId="3" fontId="38" fillId="0" borderId="0" xfId="0" applyNumberFormat="1" applyFont="1">
      <alignment vertical="center"/>
    </xf>
    <xf numFmtId="3" fontId="0" fillId="0" borderId="0" xfId="0" applyNumberFormat="1" applyAlignment="1">
      <alignment horizontal="right" vertical="center"/>
    </xf>
    <xf numFmtId="0" fontId="14" fillId="0" borderId="0" xfId="71" applyFont="1" applyAlignment="1">
      <alignment wrapText="1"/>
    </xf>
    <xf numFmtId="0" fontId="9" fillId="43" borderId="0" xfId="71" applyFont="1" applyFill="1" applyBorder="1" applyAlignment="1" applyProtection="1">
      <alignment vertical="center"/>
    </xf>
    <xf numFmtId="0" fontId="65" fillId="43" borderId="0" xfId="71" applyFont="1" applyFill="1" applyBorder="1" applyAlignment="1" applyProtection="1">
      <alignment vertical="center"/>
    </xf>
    <xf numFmtId="0" fontId="9" fillId="43" borderId="55" xfId="71" applyFont="1" applyFill="1" applyBorder="1" applyAlignment="1">
      <alignment horizontal="left" vertical="center"/>
    </xf>
    <xf numFmtId="0" fontId="9" fillId="43" borderId="55" xfId="71" applyFont="1" applyFill="1" applyBorder="1" applyAlignment="1">
      <alignment horizontal="right" vertical="center"/>
    </xf>
    <xf numFmtId="0" fontId="69" fillId="0" borderId="0" xfId="0" applyFont="1">
      <alignment vertical="center"/>
    </xf>
    <xf numFmtId="0" fontId="73" fillId="0" borderId="0" xfId="0" applyFont="1" applyFill="1">
      <alignment vertical="center"/>
    </xf>
    <xf numFmtId="0" fontId="74" fillId="0" borderId="0" xfId="0" applyFont="1" applyFill="1">
      <alignment vertical="center"/>
    </xf>
    <xf numFmtId="0" fontId="40" fillId="43" borderId="0" xfId="0" applyFont="1" applyFill="1" applyAlignment="1">
      <alignment horizontal="left" vertical="center" indent="1"/>
    </xf>
    <xf numFmtId="0" fontId="0" fillId="43" borderId="0" xfId="0" applyFill="1">
      <alignment vertical="center"/>
    </xf>
    <xf numFmtId="0" fontId="0" fillId="44" borderId="0" xfId="0" applyFill="1">
      <alignment vertical="center"/>
    </xf>
    <xf numFmtId="0" fontId="40" fillId="44" borderId="0" xfId="0" applyFont="1" applyFill="1" applyAlignment="1">
      <alignment horizontal="left" vertical="center" indent="1"/>
    </xf>
    <xf numFmtId="180" fontId="0" fillId="0" borderId="0" xfId="0" applyNumberFormat="1">
      <alignment vertical="center"/>
    </xf>
    <xf numFmtId="180" fontId="0" fillId="0" borderId="0" xfId="0" applyNumberFormat="1" applyAlignment="1"/>
    <xf numFmtId="180" fontId="38" fillId="0" borderId="0" xfId="0" applyNumberFormat="1" applyFont="1" applyAlignment="1"/>
    <xf numFmtId="180" fontId="39" fillId="0" borderId="0" xfId="0" applyNumberFormat="1" applyFont="1" applyAlignment="1"/>
    <xf numFmtId="37" fontId="9" fillId="43" borderId="55" xfId="0" applyNumberFormat="1" applyFont="1" applyFill="1" applyBorder="1" applyAlignment="1">
      <alignment horizontal="left" vertical="center"/>
    </xf>
    <xf numFmtId="37" fontId="9" fillId="43" borderId="55" xfId="0" applyNumberFormat="1" applyFont="1" applyFill="1" applyBorder="1" applyAlignment="1">
      <alignment horizontal="left" vertical="center" wrapText="1"/>
    </xf>
    <xf numFmtId="0" fontId="5" fillId="3" borderId="56" xfId="0" applyFont="1" applyFill="1" applyBorder="1" applyAlignment="1">
      <alignment horizontal="left" vertical="center"/>
    </xf>
    <xf numFmtId="171" fontId="6" fillId="3" borderId="57" xfId="0" applyNumberFormat="1" applyFont="1" applyFill="1" applyBorder="1" applyAlignment="1">
      <alignment horizontal="right" vertical="center" wrapText="1"/>
    </xf>
    <xf numFmtId="177" fontId="6" fillId="3" borderId="57" xfId="0" applyNumberFormat="1" applyFont="1" applyFill="1" applyBorder="1" applyAlignment="1">
      <alignment horizontal="right" vertical="center" wrapText="1"/>
    </xf>
    <xf numFmtId="178" fontId="11" fillId="3" borderId="58" xfId="0" applyNumberFormat="1" applyFont="1" applyFill="1" applyBorder="1" applyAlignment="1">
      <alignment horizontal="left" vertical="center"/>
    </xf>
    <xf numFmtId="178" fontId="11" fillId="3" borderId="59" xfId="0" applyNumberFormat="1" applyFont="1" applyFill="1" applyBorder="1" applyAlignment="1">
      <alignment horizontal="right" vertical="center" wrapText="1"/>
    </xf>
    <xf numFmtId="178" fontId="70" fillId="3" borderId="60" xfId="0" applyNumberFormat="1" applyFont="1" applyFill="1" applyBorder="1" applyAlignment="1">
      <alignment horizontal="right" vertical="center" wrapText="1"/>
    </xf>
    <xf numFmtId="0" fontId="10" fillId="3" borderId="61" xfId="0" quotePrefix="1" applyNumberFormat="1" applyFont="1" applyFill="1" applyBorder="1" applyAlignment="1">
      <alignment horizontal="left"/>
    </xf>
    <xf numFmtId="0" fontId="10" fillId="3" borderId="62" xfId="0" applyNumberFormat="1" applyFont="1" applyFill="1" applyBorder="1" applyAlignment="1">
      <alignment horizontal="right" wrapText="1"/>
    </xf>
    <xf numFmtId="0" fontId="10" fillId="3" borderId="63" xfId="0" applyNumberFormat="1" applyFont="1" applyFill="1" applyBorder="1" applyAlignment="1">
      <alignment horizontal="right" wrapText="1"/>
    </xf>
    <xf numFmtId="181" fontId="5" fillId="3" borderId="0" xfId="0" applyNumberFormat="1" applyFont="1" applyFill="1" applyBorder="1" applyAlignment="1">
      <alignment horizontal="right" vertical="center" wrapText="1"/>
    </xf>
    <xf numFmtId="181" fontId="6" fillId="3" borderId="57" xfId="0" applyNumberFormat="1" applyFont="1" applyFill="1" applyBorder="1" applyAlignment="1">
      <alignment horizontal="right" vertical="center" wrapText="1"/>
    </xf>
    <xf numFmtId="0" fontId="10" fillId="3" borderId="61" xfId="0" applyNumberFormat="1" applyFont="1" applyFill="1" applyBorder="1" applyAlignment="1">
      <alignment horizontal="left"/>
    </xf>
    <xf numFmtId="0" fontId="9" fillId="43" borderId="55" xfId="0" applyFont="1" applyFill="1" applyBorder="1" applyAlignment="1">
      <alignment horizontal="left" vertical="center"/>
    </xf>
    <xf numFmtId="9" fontId="9" fillId="43" borderId="55" xfId="0" applyNumberFormat="1" applyFont="1" applyFill="1" applyBorder="1" applyAlignment="1">
      <alignment horizontal="left" vertical="center"/>
    </xf>
    <xf numFmtId="178" fontId="11" fillId="3" borderId="64" xfId="0" applyNumberFormat="1" applyFont="1" applyFill="1" applyBorder="1" applyAlignment="1">
      <alignment horizontal="right" vertical="center" wrapText="1"/>
    </xf>
    <xf numFmtId="178" fontId="70" fillId="3" borderId="65" xfId="0" applyNumberFormat="1" applyFont="1" applyFill="1" applyBorder="1" applyAlignment="1">
      <alignment horizontal="right" vertical="center" wrapText="1"/>
    </xf>
    <xf numFmtId="178" fontId="11" fillId="3" borderId="66" xfId="0" applyNumberFormat="1" applyFont="1" applyFill="1" applyBorder="1" applyAlignment="1">
      <alignment horizontal="left" vertical="center"/>
    </xf>
    <xf numFmtId="0" fontId="62" fillId="3" borderId="66" xfId="0" applyFont="1" applyFill="1" applyBorder="1" applyAlignment="1">
      <alignment horizontal="left" vertical="center"/>
    </xf>
    <xf numFmtId="0" fontId="9" fillId="43" borderId="55" xfId="0" applyNumberFormat="1" applyFont="1" applyFill="1" applyBorder="1" applyAlignment="1">
      <alignment horizontal="left" vertical="center"/>
    </xf>
    <xf numFmtId="0" fontId="0" fillId="0" borderId="56" xfId="0" applyBorder="1" applyAlignment="1"/>
    <xf numFmtId="0" fontId="5" fillId="3" borderId="56" xfId="0" applyFont="1" applyFill="1" applyBorder="1" applyAlignment="1">
      <alignment horizontal="left" vertical="center" wrapText="1"/>
    </xf>
    <xf numFmtId="0" fontId="5" fillId="3" borderId="56" xfId="0" quotePrefix="1" applyFont="1" applyFill="1" applyBorder="1" applyAlignment="1">
      <alignment horizontal="left" vertical="center" wrapText="1" indent="1"/>
    </xf>
    <xf numFmtId="0" fontId="10" fillId="3" borderId="56" xfId="0" applyNumberFormat="1" applyFont="1" applyFill="1" applyBorder="1" applyAlignment="1">
      <alignment horizontal="left"/>
    </xf>
    <xf numFmtId="0" fontId="62" fillId="3" borderId="56" xfId="0" applyFont="1" applyFill="1" applyBorder="1" applyAlignment="1">
      <alignment horizontal="left" vertical="center"/>
    </xf>
    <xf numFmtId="0" fontId="5" fillId="3" borderId="56" xfId="0" applyFont="1" applyFill="1" applyBorder="1" applyAlignment="1">
      <alignment vertical="center"/>
    </xf>
    <xf numFmtId="0" fontId="10" fillId="3" borderId="56" xfId="0" applyFont="1" applyFill="1" applyBorder="1" applyAlignment="1">
      <alignment vertical="top"/>
    </xf>
    <xf numFmtId="0" fontId="70" fillId="3" borderId="58" xfId="0" applyFont="1" applyFill="1" applyBorder="1" applyAlignment="1">
      <alignment horizontal="left" vertical="center"/>
    </xf>
    <xf numFmtId="171" fontId="70" fillId="3" borderId="59" xfId="0" applyNumberFormat="1" applyFont="1" applyFill="1" applyBorder="1" applyAlignment="1">
      <alignment horizontal="right" vertical="center"/>
    </xf>
    <xf numFmtId="173" fontId="5" fillId="3" borderId="57" xfId="0" applyNumberFormat="1" applyFont="1" applyFill="1" applyBorder="1" applyAlignment="1">
      <alignment horizontal="right" vertical="center"/>
    </xf>
    <xf numFmtId="171" fontId="62" fillId="3" borderId="57" xfId="0" applyNumberFormat="1" applyFont="1" applyFill="1" applyBorder="1" applyAlignment="1">
      <alignment horizontal="right" vertical="center"/>
    </xf>
    <xf numFmtId="173" fontId="6" fillId="3" borderId="57" xfId="0" applyNumberFormat="1" applyFont="1" applyFill="1" applyBorder="1" applyAlignment="1">
      <alignment horizontal="right" vertical="center"/>
    </xf>
    <xf numFmtId="171" fontId="70" fillId="3" borderId="60" xfId="0" applyNumberFormat="1" applyFont="1" applyFill="1" applyBorder="1" applyAlignment="1">
      <alignment horizontal="right" vertical="center"/>
    </xf>
    <xf numFmtId="0" fontId="10" fillId="3" borderId="69" xfId="0" applyNumberFormat="1" applyFont="1" applyFill="1" applyBorder="1" applyAlignment="1">
      <alignment horizontal="left"/>
    </xf>
    <xf numFmtId="0" fontId="62" fillId="3" borderId="69" xfId="0" applyFont="1" applyFill="1" applyBorder="1" applyAlignment="1">
      <alignment horizontal="left" vertical="center"/>
    </xf>
    <xf numFmtId="0" fontId="62" fillId="3" borderId="70" xfId="0" applyFont="1" applyFill="1" applyBorder="1" applyAlignment="1">
      <alignment horizontal="right" vertical="center"/>
    </xf>
    <xf numFmtId="0" fontId="62" fillId="3" borderId="71" xfId="0" applyFont="1" applyFill="1" applyBorder="1" applyAlignment="1">
      <alignment horizontal="right" vertical="center"/>
    </xf>
    <xf numFmtId="173" fontId="5" fillId="3" borderId="76" xfId="0" applyNumberFormat="1" applyFont="1" applyFill="1" applyBorder="1" applyAlignment="1">
      <alignment horizontal="right" vertical="center"/>
    </xf>
    <xf numFmtId="171" fontId="62" fillId="3" borderId="76" xfId="0" applyNumberFormat="1" applyFont="1" applyFill="1" applyBorder="1" applyAlignment="1">
      <alignment horizontal="right" vertical="center"/>
    </xf>
    <xf numFmtId="0" fontId="62" fillId="3" borderId="75" xfId="0" applyFont="1" applyFill="1" applyBorder="1" applyAlignment="1">
      <alignment horizontal="right" vertical="center"/>
    </xf>
    <xf numFmtId="173" fontId="10" fillId="3" borderId="76" xfId="0" applyNumberFormat="1" applyFont="1" applyFill="1" applyBorder="1" applyAlignment="1">
      <alignment horizontal="right" vertical="center"/>
    </xf>
    <xf numFmtId="171" fontId="70" fillId="3" borderId="77" xfId="0" applyNumberFormat="1" applyFont="1" applyFill="1" applyBorder="1" applyAlignment="1">
      <alignment horizontal="right" vertical="center"/>
    </xf>
    <xf numFmtId="0" fontId="75" fillId="45" borderId="72" xfId="0" applyNumberFormat="1" applyFont="1" applyFill="1" applyBorder="1" applyAlignment="1">
      <alignment horizontal="right"/>
    </xf>
    <xf numFmtId="0" fontId="75" fillId="45" borderId="73" xfId="0" applyNumberFormat="1" applyFont="1" applyFill="1" applyBorder="1" applyAlignment="1">
      <alignment horizontal="right"/>
    </xf>
    <xf numFmtId="0" fontId="75" fillId="45" borderId="74" xfId="0" applyNumberFormat="1" applyFont="1" applyFill="1" applyBorder="1" applyAlignment="1">
      <alignment horizontal="right"/>
    </xf>
    <xf numFmtId="0" fontId="5" fillId="3" borderId="69" xfId="0" quotePrefix="1" applyFont="1" applyFill="1" applyBorder="1" applyAlignment="1">
      <alignment horizontal="left" vertical="center" wrapText="1" indent="1"/>
    </xf>
    <xf numFmtId="173" fontId="5" fillId="3" borderId="70" xfId="0" applyNumberFormat="1" applyFont="1" applyFill="1" applyBorder="1" applyAlignment="1">
      <alignment horizontal="right" vertical="center"/>
    </xf>
    <xf numFmtId="173" fontId="5" fillId="3" borderId="75" xfId="0" applyNumberFormat="1" applyFont="1" applyFill="1" applyBorder="1" applyAlignment="1">
      <alignment horizontal="right" vertical="center"/>
    </xf>
    <xf numFmtId="173" fontId="5" fillId="3" borderId="71" xfId="0" applyNumberFormat="1" applyFont="1" applyFill="1" applyBorder="1" applyAlignment="1">
      <alignment horizontal="right" vertical="center"/>
    </xf>
    <xf numFmtId="0" fontId="10" fillId="3" borderId="78" xfId="0" applyFont="1" applyFill="1" applyBorder="1" applyAlignment="1">
      <alignment horizontal="left" vertical="center" wrapText="1"/>
    </xf>
    <xf numFmtId="173" fontId="10" fillId="3" borderId="79" xfId="0" applyNumberFormat="1" applyFont="1" applyFill="1" applyBorder="1" applyAlignment="1">
      <alignment horizontal="right" vertical="center"/>
    </xf>
    <xf numFmtId="173" fontId="10" fillId="3" borderId="80" xfId="0" applyNumberFormat="1" applyFont="1" applyFill="1" applyBorder="1" applyAlignment="1">
      <alignment horizontal="right" vertical="center"/>
    </xf>
    <xf numFmtId="173" fontId="10" fillId="3" borderId="67" xfId="0" applyNumberFormat="1" applyFont="1" applyFill="1" applyBorder="1" applyAlignment="1">
      <alignment horizontal="right" vertical="center"/>
    </xf>
    <xf numFmtId="0" fontId="10" fillId="3" borderId="68" xfId="0" applyNumberFormat="1" applyFont="1" applyFill="1" applyBorder="1" applyAlignment="1">
      <alignment horizontal="left"/>
    </xf>
    <xf numFmtId="172" fontId="10" fillId="3" borderId="56" xfId="0" applyNumberFormat="1" applyFont="1" applyFill="1" applyBorder="1" applyAlignment="1">
      <alignment horizontal="left" vertical="center"/>
    </xf>
    <xf numFmtId="172" fontId="17" fillId="3" borderId="56" xfId="0" applyNumberFormat="1" applyFont="1" applyFill="1" applyBorder="1" applyAlignment="1">
      <alignment horizontal="left" indent="1"/>
    </xf>
    <xf numFmtId="172" fontId="10" fillId="3" borderId="81" xfId="0" applyNumberFormat="1" applyFont="1" applyFill="1" applyBorder="1" applyAlignment="1">
      <alignment horizontal="left" indent="1"/>
    </xf>
    <xf numFmtId="172" fontId="17" fillId="3" borderId="56" xfId="0" applyNumberFormat="1" applyFont="1" applyFill="1" applyBorder="1" applyAlignment="1">
      <alignment horizontal="left" vertical="center"/>
    </xf>
    <xf numFmtId="172" fontId="11" fillId="3" borderId="56" xfId="0" applyNumberFormat="1" applyFont="1" applyFill="1" applyBorder="1" applyAlignment="1">
      <alignment horizontal="left" vertical="center"/>
    </xf>
    <xf numFmtId="172" fontId="11" fillId="3" borderId="82" xfId="0" applyNumberFormat="1" applyFont="1" applyFill="1" applyBorder="1" applyAlignment="1">
      <alignment horizontal="left" vertical="center"/>
    </xf>
    <xf numFmtId="0" fontId="10" fillId="3" borderId="70" xfId="0" applyNumberFormat="1" applyFont="1" applyFill="1" applyBorder="1" applyAlignment="1">
      <alignment horizontal="right"/>
    </xf>
    <xf numFmtId="181" fontId="17" fillId="3" borderId="0" xfId="0" applyNumberFormat="1" applyFont="1" applyFill="1" applyBorder="1" applyAlignment="1">
      <alignment horizontal="right" vertical="center"/>
    </xf>
    <xf numFmtId="181" fontId="17" fillId="3" borderId="10" xfId="0" applyNumberFormat="1" applyFont="1" applyFill="1" applyBorder="1" applyAlignment="1">
      <alignment horizontal="right" vertical="center"/>
    </xf>
    <xf numFmtId="181" fontId="10" fillId="3" borderId="37" xfId="0" applyNumberFormat="1" applyFont="1" applyFill="1" applyBorder="1" applyAlignment="1">
      <alignment horizontal="right" vertical="center"/>
    </xf>
    <xf numFmtId="181" fontId="10" fillId="3" borderId="38" xfId="0" applyNumberFormat="1" applyFont="1" applyFill="1" applyBorder="1" applyAlignment="1">
      <alignment horizontal="right" vertical="center"/>
    </xf>
    <xf numFmtId="181" fontId="0" fillId="0" borderId="0" xfId="0" applyNumberFormat="1">
      <alignment vertical="center"/>
    </xf>
    <xf numFmtId="181" fontId="0" fillId="0" borderId="0" xfId="0" applyNumberFormat="1" applyFill="1">
      <alignment vertical="center"/>
    </xf>
    <xf numFmtId="172" fontId="17" fillId="3" borderId="76" xfId="0" applyNumberFormat="1" applyFont="1" applyFill="1" applyBorder="1" applyAlignment="1">
      <alignment horizontal="right" vertical="center"/>
    </xf>
    <xf numFmtId="171" fontId="11" fillId="3" borderId="76" xfId="0" applyNumberFormat="1" applyFont="1" applyFill="1" applyBorder="1" applyAlignment="1">
      <alignment horizontal="right" vertical="center"/>
    </xf>
    <xf numFmtId="172" fontId="10" fillId="3" borderId="76" xfId="0" applyNumberFormat="1" applyFont="1" applyFill="1" applyBorder="1" applyAlignment="1">
      <alignment horizontal="right" vertical="center"/>
    </xf>
    <xf numFmtId="171" fontId="11" fillId="3" borderId="84" xfId="0" applyNumberFormat="1" applyFont="1" applyFill="1" applyBorder="1" applyAlignment="1">
      <alignment horizontal="right" vertical="center"/>
    </xf>
    <xf numFmtId="0" fontId="75" fillId="45" borderId="4" xfId="0" applyNumberFormat="1" applyFont="1" applyFill="1" applyBorder="1" applyAlignment="1">
      <alignment horizontal="right"/>
    </xf>
    <xf numFmtId="0" fontId="75" fillId="45" borderId="5" xfId="0" applyNumberFormat="1" applyFont="1" applyFill="1" applyBorder="1" applyAlignment="1">
      <alignment horizontal="right"/>
    </xf>
    <xf numFmtId="0" fontId="75" fillId="45" borderId="75" xfId="0" applyNumberFormat="1" applyFont="1" applyFill="1" applyBorder="1" applyAlignment="1">
      <alignment horizontal="right"/>
    </xf>
    <xf numFmtId="0" fontId="75" fillId="45" borderId="70" xfId="0" applyNumberFormat="1" applyFont="1" applyFill="1" applyBorder="1" applyAlignment="1">
      <alignment horizontal="right"/>
    </xf>
    <xf numFmtId="0" fontId="75" fillId="45" borderId="83" xfId="0" applyNumberFormat="1" applyFont="1" applyFill="1" applyBorder="1" applyAlignment="1">
      <alignment horizontal="right"/>
    </xf>
    <xf numFmtId="0" fontId="75" fillId="45" borderId="85" xfId="0" applyNumberFormat="1" applyFont="1" applyFill="1" applyBorder="1" applyAlignment="1">
      <alignment horizontal="right"/>
    </xf>
    <xf numFmtId="181" fontId="17" fillId="3" borderId="76" xfId="0" applyNumberFormat="1" applyFont="1" applyFill="1" applyBorder="1" applyAlignment="1">
      <alignment horizontal="right" vertical="center"/>
    </xf>
    <xf numFmtId="181" fontId="10" fillId="3" borderId="86" xfId="0" applyNumberFormat="1" applyFont="1" applyFill="1" applyBorder="1" applyAlignment="1">
      <alignment horizontal="right" vertical="center"/>
    </xf>
    <xf numFmtId="182" fontId="0" fillId="0" borderId="0" xfId="0" applyNumberFormat="1" applyFill="1">
      <alignment vertical="center"/>
    </xf>
    <xf numFmtId="183" fontId="17" fillId="3" borderId="0" xfId="0" applyNumberFormat="1" applyFont="1" applyFill="1" applyBorder="1" applyAlignment="1">
      <alignment horizontal="right" vertical="center"/>
    </xf>
    <xf numFmtId="183" fontId="10" fillId="3" borderId="2" xfId="0" applyNumberFormat="1" applyFont="1" applyFill="1" applyBorder="1" applyAlignment="1">
      <alignment horizontal="right" vertical="center"/>
    </xf>
    <xf numFmtId="183" fontId="10" fillId="3" borderId="35" xfId="0" applyNumberFormat="1" applyFont="1" applyFill="1" applyBorder="1" applyAlignment="1">
      <alignment horizontal="right" vertical="center"/>
    </xf>
    <xf numFmtId="0" fontId="10" fillId="3" borderId="87" xfId="0" applyNumberFormat="1" applyFont="1" applyFill="1" applyBorder="1" applyAlignment="1">
      <alignment horizontal="left"/>
    </xf>
    <xf numFmtId="172" fontId="10" fillId="3" borderId="88" xfId="0" applyNumberFormat="1" applyFont="1" applyFill="1" applyBorder="1" applyAlignment="1">
      <alignment horizontal="left" vertical="center"/>
    </xf>
    <xf numFmtId="172" fontId="10" fillId="3" borderId="89" xfId="0" applyNumberFormat="1" applyFont="1" applyFill="1" applyBorder="1" applyAlignment="1">
      <alignment horizontal="left" vertical="center"/>
    </xf>
    <xf numFmtId="172" fontId="17" fillId="3" borderId="82" xfId="0" applyNumberFormat="1" applyFont="1" applyFill="1" applyBorder="1" applyAlignment="1">
      <alignment horizontal="left" vertical="center"/>
    </xf>
    <xf numFmtId="172" fontId="10" fillId="3" borderId="57" xfId="0" applyNumberFormat="1" applyFont="1" applyFill="1" applyBorder="1" applyAlignment="1">
      <alignment horizontal="right" vertical="center"/>
    </xf>
    <xf numFmtId="171" fontId="11" fillId="3" borderId="57" xfId="0" applyNumberFormat="1" applyFont="1" applyFill="1" applyBorder="1" applyAlignment="1">
      <alignment horizontal="right" vertical="center"/>
    </xf>
    <xf numFmtId="172" fontId="17" fillId="3" borderId="57" xfId="0" applyNumberFormat="1" applyFont="1" applyFill="1" applyBorder="1" applyAlignment="1">
      <alignment horizontal="right" vertical="center"/>
    </xf>
    <xf numFmtId="172" fontId="10" fillId="3" borderId="91" xfId="0" applyNumberFormat="1" applyFont="1" applyFill="1" applyBorder="1" applyAlignment="1">
      <alignment horizontal="right" vertical="center"/>
    </xf>
    <xf numFmtId="183" fontId="17" fillId="3" borderId="57" xfId="0" applyNumberFormat="1" applyFont="1" applyFill="1" applyBorder="1" applyAlignment="1">
      <alignment horizontal="right" vertical="center"/>
    </xf>
    <xf numFmtId="183" fontId="10" fillId="3" borderId="91" xfId="0" applyNumberFormat="1" applyFont="1" applyFill="1" applyBorder="1" applyAlignment="1">
      <alignment horizontal="right" vertical="center"/>
    </xf>
    <xf numFmtId="183" fontId="10" fillId="3" borderId="92" xfId="0" applyNumberFormat="1" applyFont="1" applyFill="1" applyBorder="1" applyAlignment="1">
      <alignment horizontal="right" vertical="center"/>
    </xf>
    <xf numFmtId="171" fontId="11" fillId="3" borderId="93" xfId="0" applyNumberFormat="1" applyFont="1" applyFill="1" applyBorder="1" applyAlignment="1">
      <alignment horizontal="right" vertical="center"/>
    </xf>
    <xf numFmtId="172" fontId="10" fillId="3" borderId="94" xfId="0" applyNumberFormat="1" applyFont="1" applyFill="1" applyBorder="1" applyAlignment="1">
      <alignment horizontal="right" vertical="center"/>
    </xf>
    <xf numFmtId="183" fontId="17" fillId="3" borderId="76" xfId="0" applyNumberFormat="1" applyFont="1" applyFill="1" applyBorder="1" applyAlignment="1">
      <alignment horizontal="right" vertical="center"/>
    </xf>
    <xf numFmtId="183" fontId="10" fillId="3" borderId="94" xfId="0" applyNumberFormat="1" applyFont="1" applyFill="1" applyBorder="1" applyAlignment="1">
      <alignment horizontal="right" vertical="center"/>
    </xf>
    <xf numFmtId="183" fontId="10" fillId="3" borderId="95" xfId="0" applyNumberFormat="1" applyFont="1" applyFill="1" applyBorder="1" applyAlignment="1">
      <alignment horizontal="right" vertical="center"/>
    </xf>
    <xf numFmtId="0" fontId="75" fillId="45" borderId="90" xfId="0" applyNumberFormat="1" applyFont="1" applyFill="1" applyBorder="1" applyAlignment="1">
      <alignment horizontal="right"/>
    </xf>
    <xf numFmtId="0" fontId="75" fillId="45" borderId="71" xfId="0" applyNumberFormat="1" applyFont="1" applyFill="1" applyBorder="1" applyAlignment="1">
      <alignment horizontal="right"/>
    </xf>
    <xf numFmtId="172" fontId="10" fillId="3" borderId="81" xfId="0" applyNumberFormat="1" applyFont="1" applyFill="1" applyBorder="1" applyAlignment="1">
      <alignment horizontal="left" vertical="center"/>
    </xf>
    <xf numFmtId="172" fontId="10" fillId="3" borderId="96" xfId="0" applyNumberFormat="1" applyFont="1" applyFill="1" applyBorder="1" applyAlignment="1">
      <alignment horizontal="right" vertical="center"/>
    </xf>
    <xf numFmtId="180" fontId="11" fillId="3" borderId="0" xfId="0" applyNumberFormat="1" applyFont="1" applyFill="1" applyBorder="1" applyAlignment="1">
      <alignment horizontal="right" vertical="center"/>
    </xf>
    <xf numFmtId="180" fontId="11" fillId="3" borderId="76" xfId="0" applyNumberFormat="1" applyFont="1" applyFill="1" applyBorder="1" applyAlignment="1">
      <alignment horizontal="right" vertical="center"/>
    </xf>
    <xf numFmtId="180" fontId="11" fillId="3" borderId="57" xfId="0" applyNumberFormat="1" applyFont="1" applyFill="1" applyBorder="1" applyAlignment="1">
      <alignment horizontal="right" vertical="center"/>
    </xf>
    <xf numFmtId="172" fontId="10" fillId="3" borderId="86" xfId="0" applyNumberFormat="1" applyFont="1" applyFill="1" applyBorder="1" applyAlignment="1">
      <alignment horizontal="right" vertical="center"/>
    </xf>
    <xf numFmtId="172" fontId="11" fillId="3" borderId="58" xfId="0" applyNumberFormat="1" applyFont="1" applyFill="1" applyBorder="1" applyAlignment="1">
      <alignment horizontal="left" vertical="center"/>
    </xf>
    <xf numFmtId="171" fontId="11" fillId="3" borderId="59" xfId="0" applyNumberFormat="1" applyFont="1" applyFill="1" applyBorder="1" applyAlignment="1">
      <alignment horizontal="right" vertical="center"/>
    </xf>
    <xf numFmtId="172" fontId="17" fillId="3" borderId="58" xfId="0" applyNumberFormat="1" applyFont="1" applyFill="1" applyBorder="1" applyAlignment="1">
      <alignment horizontal="left" vertical="center"/>
    </xf>
    <xf numFmtId="172" fontId="17" fillId="3" borderId="59" xfId="0" applyNumberFormat="1" applyFont="1" applyFill="1" applyBorder="1" applyAlignment="1">
      <alignment horizontal="right" vertical="center"/>
    </xf>
    <xf numFmtId="172" fontId="10" fillId="39" borderId="88" xfId="0" applyNumberFormat="1" applyFont="1" applyFill="1" applyBorder="1" applyAlignment="1">
      <alignment horizontal="left" vertical="center"/>
    </xf>
    <xf numFmtId="172" fontId="10" fillId="39" borderId="2" xfId="0" applyNumberFormat="1" applyFont="1" applyFill="1" applyBorder="1" applyAlignment="1">
      <alignment horizontal="right" vertical="center"/>
    </xf>
    <xf numFmtId="172" fontId="10" fillId="3" borderId="97" xfId="0" applyNumberFormat="1" applyFont="1" applyFill="1" applyBorder="1" applyAlignment="1">
      <alignment horizontal="left" vertical="center"/>
    </xf>
    <xf numFmtId="172" fontId="10" fillId="3" borderId="73" xfId="0" applyNumberFormat="1" applyFont="1" applyFill="1" applyBorder="1" applyAlignment="1">
      <alignment horizontal="right" vertical="center"/>
    </xf>
    <xf numFmtId="172" fontId="10" fillId="39" borderId="97" xfId="0" applyNumberFormat="1" applyFont="1" applyFill="1" applyBorder="1" applyAlignment="1">
      <alignment horizontal="left" vertical="center"/>
    </xf>
    <xf numFmtId="172" fontId="10" fillId="39" borderId="73" xfId="0" applyNumberFormat="1" applyFont="1" applyFill="1" applyBorder="1" applyAlignment="1">
      <alignment horizontal="right" vertical="center"/>
    </xf>
    <xf numFmtId="171" fontId="70" fillId="39" borderId="99" xfId="0" applyNumberFormat="1" applyFont="1" applyFill="1" applyBorder="1" applyAlignment="1">
      <alignment horizontal="right" vertical="center"/>
    </xf>
    <xf numFmtId="0" fontId="76" fillId="46" borderId="99" xfId="0" applyNumberFormat="1" applyFont="1" applyFill="1" applyBorder="1" applyAlignment="1">
      <alignment horizontal="right"/>
    </xf>
    <xf numFmtId="0" fontId="76" fillId="46" borderId="100" xfId="0" applyNumberFormat="1" applyFont="1" applyFill="1" applyBorder="1" applyAlignment="1">
      <alignment horizontal="right"/>
    </xf>
    <xf numFmtId="0" fontId="76" fillId="46" borderId="101" xfId="0" applyNumberFormat="1" applyFont="1" applyFill="1" applyBorder="1" applyAlignment="1">
      <alignment horizontal="right"/>
    </xf>
    <xf numFmtId="171" fontId="70" fillId="39" borderId="100" xfId="0" applyNumberFormat="1" applyFont="1" applyFill="1" applyBorder="1" applyAlignment="1">
      <alignment horizontal="right" vertical="center"/>
    </xf>
    <xf numFmtId="171" fontId="11" fillId="39" borderId="100" xfId="0" applyNumberFormat="1" applyFont="1" applyFill="1" applyBorder="1" applyAlignment="1">
      <alignment horizontal="right" vertical="center"/>
    </xf>
    <xf numFmtId="171" fontId="11" fillId="39" borderId="102" xfId="0" applyNumberFormat="1" applyFont="1" applyFill="1" applyBorder="1" applyAlignment="1">
      <alignment horizontal="right" vertical="center"/>
    </xf>
    <xf numFmtId="171" fontId="70" fillId="3" borderId="10" xfId="0" applyNumberFormat="1" applyFont="1" applyFill="1" applyBorder="1" applyAlignment="1">
      <alignment horizontal="right" vertical="center"/>
    </xf>
    <xf numFmtId="171" fontId="70" fillId="3" borderId="85" xfId="0" applyNumberFormat="1" applyFont="1" applyFill="1" applyBorder="1" applyAlignment="1">
      <alignment horizontal="right" vertical="center"/>
    </xf>
    <xf numFmtId="171" fontId="11" fillId="3" borderId="98" xfId="0" applyNumberFormat="1" applyFont="1" applyFill="1" applyBorder="1" applyAlignment="1">
      <alignment horizontal="right" vertical="center"/>
    </xf>
    <xf numFmtId="0" fontId="75" fillId="47" borderId="103" xfId="0" applyNumberFormat="1" applyFont="1" applyFill="1" applyBorder="1" applyAlignment="1">
      <alignment horizontal="right"/>
    </xf>
    <xf numFmtId="0" fontId="75" fillId="47" borderId="104" xfId="0" applyNumberFormat="1" applyFont="1" applyFill="1" applyBorder="1" applyAlignment="1">
      <alignment horizontal="right"/>
    </xf>
    <xf numFmtId="0" fontId="75" fillId="47" borderId="105" xfId="0" applyNumberFormat="1" applyFont="1" applyFill="1" applyBorder="1" applyAlignment="1">
      <alignment horizontal="right"/>
    </xf>
    <xf numFmtId="172" fontId="10" fillId="3" borderId="104" xfId="0" applyNumberFormat="1" applyFont="1" applyFill="1" applyBorder="1" applyAlignment="1">
      <alignment horizontal="right" vertical="center"/>
    </xf>
    <xf numFmtId="172" fontId="10" fillId="3" borderId="103" xfId="0" applyNumberFormat="1" applyFont="1" applyFill="1" applyBorder="1" applyAlignment="1">
      <alignment horizontal="right" vertical="center"/>
    </xf>
    <xf numFmtId="171" fontId="11" fillId="3" borderId="104" xfId="0" applyNumberFormat="1" applyFont="1" applyFill="1" applyBorder="1" applyAlignment="1">
      <alignment horizontal="right" vertical="center"/>
    </xf>
    <xf numFmtId="172" fontId="10" fillId="39" borderId="103" xfId="0" applyNumberFormat="1" applyFont="1" applyFill="1" applyBorder="1" applyAlignment="1">
      <alignment horizontal="right" vertical="center"/>
    </xf>
    <xf numFmtId="171" fontId="11" fillId="3" borderId="106" xfId="0" applyNumberFormat="1" applyFont="1" applyFill="1" applyBorder="1" applyAlignment="1">
      <alignment horizontal="right" vertical="center"/>
    </xf>
    <xf numFmtId="0" fontId="76" fillId="46" borderId="5" xfId="0" applyNumberFormat="1" applyFont="1" applyFill="1" applyBorder="1" applyAlignment="1">
      <alignment horizontal="right"/>
    </xf>
    <xf numFmtId="0" fontId="76" fillId="46" borderId="10" xfId="0" applyNumberFormat="1" applyFont="1" applyFill="1" applyBorder="1" applyAlignment="1">
      <alignment horizontal="right"/>
    </xf>
    <xf numFmtId="0" fontId="76" fillId="46" borderId="83" xfId="0" applyNumberFormat="1" applyFont="1" applyFill="1" applyBorder="1" applyAlignment="1">
      <alignment horizontal="right"/>
    </xf>
    <xf numFmtId="0" fontId="9" fillId="47" borderId="107" xfId="0" applyNumberFormat="1" applyFont="1" applyFill="1" applyBorder="1" applyAlignment="1">
      <alignment horizontal="right"/>
    </xf>
    <xf numFmtId="0" fontId="9" fillId="47" borderId="108" xfId="0" applyNumberFormat="1" applyFont="1" applyFill="1" applyBorder="1" applyAlignment="1">
      <alignment horizontal="right"/>
    </xf>
    <xf numFmtId="172" fontId="10" fillId="39" borderId="109" xfId="0" applyNumberFormat="1" applyFont="1" applyFill="1" applyBorder="1" applyAlignment="1">
      <alignment horizontal="right" vertical="center"/>
    </xf>
    <xf numFmtId="172" fontId="17" fillId="3" borderId="110" xfId="0" applyNumberFormat="1" applyFont="1" applyFill="1" applyBorder="1" applyAlignment="1">
      <alignment horizontal="right" vertical="center"/>
    </xf>
    <xf numFmtId="172" fontId="17" fillId="3" borderId="111" xfId="0" applyNumberFormat="1" applyFont="1" applyFill="1" applyBorder="1" applyAlignment="1">
      <alignment horizontal="right" vertical="center"/>
    </xf>
    <xf numFmtId="172" fontId="10" fillId="39" borderId="114" xfId="0" applyNumberFormat="1" applyFont="1" applyFill="1" applyBorder="1" applyAlignment="1">
      <alignment horizontal="right" vertical="center"/>
    </xf>
    <xf numFmtId="172" fontId="17" fillId="3" borderId="115" xfId="0" applyNumberFormat="1" applyFont="1" applyFill="1" applyBorder="1" applyAlignment="1">
      <alignment horizontal="right" vertical="center"/>
    </xf>
    <xf numFmtId="172" fontId="17" fillId="3" borderId="116" xfId="0" applyNumberFormat="1" applyFont="1" applyFill="1" applyBorder="1" applyAlignment="1">
      <alignment horizontal="right" vertical="center"/>
    </xf>
    <xf numFmtId="0" fontId="75" fillId="45" borderId="112" xfId="0" applyNumberFormat="1" applyFont="1" applyFill="1" applyBorder="1" applyAlignment="1">
      <alignment horizontal="right"/>
    </xf>
    <xf numFmtId="0" fontId="75" fillId="45" borderId="113" xfId="0" applyNumberFormat="1" applyFont="1" applyFill="1" applyBorder="1" applyAlignment="1">
      <alignment horizontal="right"/>
    </xf>
    <xf numFmtId="0" fontId="75" fillId="48" borderId="107" xfId="0" applyNumberFormat="1" applyFont="1" applyFill="1" applyBorder="1" applyAlignment="1">
      <alignment horizontal="right"/>
    </xf>
    <xf numFmtId="0" fontId="75" fillId="48" borderId="108" xfId="0" applyNumberFormat="1" applyFont="1" applyFill="1" applyBorder="1" applyAlignment="1">
      <alignment horizontal="right"/>
    </xf>
    <xf numFmtId="172" fontId="17" fillId="3" borderId="117" xfId="0" applyNumberFormat="1" applyFont="1" applyFill="1" applyBorder="1" applyAlignment="1">
      <alignment horizontal="right" vertical="center"/>
    </xf>
    <xf numFmtId="172" fontId="17" fillId="3" borderId="118" xfId="0" applyNumberFormat="1" applyFont="1" applyFill="1" applyBorder="1" applyAlignment="1">
      <alignment horizontal="right" vertical="center"/>
    </xf>
    <xf numFmtId="0" fontId="6" fillId="3" borderId="57" xfId="0" applyFont="1" applyFill="1" applyBorder="1" applyAlignment="1">
      <alignment horizontal="right" vertical="center"/>
    </xf>
    <xf numFmtId="3" fontId="5" fillId="3" borderId="57" xfId="0" applyNumberFormat="1" applyFont="1" applyFill="1" applyBorder="1" applyAlignment="1">
      <alignment horizontal="right" vertical="center"/>
    </xf>
    <xf numFmtId="3" fontId="6" fillId="3" borderId="57" xfId="0" applyNumberFormat="1" applyFont="1" applyFill="1" applyBorder="1" applyAlignment="1">
      <alignment horizontal="right" vertical="center"/>
    </xf>
    <xf numFmtId="3" fontId="6" fillId="3" borderId="91" xfId="0" applyNumberFormat="1" applyFont="1" applyFill="1" applyBorder="1" applyAlignment="1">
      <alignment horizontal="right" vertical="center"/>
    </xf>
    <xf numFmtId="3" fontId="6" fillId="37" borderId="91" xfId="0" applyNumberFormat="1" applyFont="1" applyFill="1" applyBorder="1" applyAlignment="1">
      <alignment horizontal="right" vertical="center"/>
    </xf>
    <xf numFmtId="3" fontId="5" fillId="37" borderId="57" xfId="0" applyNumberFormat="1" applyFont="1" applyFill="1" applyBorder="1" applyAlignment="1">
      <alignment horizontal="right" vertical="center"/>
    </xf>
    <xf numFmtId="3" fontId="6" fillId="37" borderId="93" xfId="0" applyNumberFormat="1" applyFont="1" applyFill="1" applyBorder="1" applyAlignment="1">
      <alignment horizontal="right" vertical="center"/>
    </xf>
    <xf numFmtId="0" fontId="10" fillId="3" borderId="120" xfId="0" applyNumberFormat="1" applyFont="1" applyFill="1" applyBorder="1" applyAlignment="1">
      <alignment horizontal="left"/>
    </xf>
    <xf numFmtId="0" fontId="6" fillId="3" borderId="56" xfId="0" applyFont="1" applyFill="1" applyBorder="1" applyAlignment="1">
      <alignment horizontal="left" vertical="center" wrapText="1"/>
    </xf>
    <xf numFmtId="0" fontId="6" fillId="3" borderId="88" xfId="0" applyFont="1" applyFill="1" applyBorder="1" applyAlignment="1">
      <alignment horizontal="left" vertical="center" wrapText="1"/>
    </xf>
    <xf numFmtId="0" fontId="6" fillId="37" borderId="88" xfId="0" applyFont="1" applyFill="1" applyBorder="1" applyAlignment="1">
      <alignment horizontal="left" vertical="center" wrapText="1"/>
    </xf>
    <xf numFmtId="0" fontId="5" fillId="37" borderId="56" xfId="0" applyFont="1" applyFill="1" applyBorder="1" applyAlignment="1">
      <alignment horizontal="left" vertical="center" wrapText="1"/>
    </xf>
    <xf numFmtId="0" fontId="6" fillId="37" borderId="82" xfId="0" applyFont="1" applyFill="1" applyBorder="1" applyAlignment="1">
      <alignment horizontal="left" vertical="center" wrapText="1"/>
    </xf>
    <xf numFmtId="0" fontId="6" fillId="3" borderId="76" xfId="0" applyFont="1" applyFill="1" applyBorder="1" applyAlignment="1">
      <alignment horizontal="right" vertical="center"/>
    </xf>
    <xf numFmtId="3" fontId="5" fillId="3" borderId="76" xfId="0" applyNumberFormat="1" applyFont="1" applyFill="1" applyBorder="1" applyAlignment="1">
      <alignment horizontal="right" vertical="center"/>
    </xf>
    <xf numFmtId="3" fontId="6" fillId="3" borderId="76" xfId="0" applyNumberFormat="1" applyFont="1" applyFill="1" applyBorder="1" applyAlignment="1">
      <alignment horizontal="right" vertical="center"/>
    </xf>
    <xf numFmtId="3" fontId="6" fillId="3" borderId="94" xfId="0" applyNumberFormat="1" applyFont="1" applyFill="1" applyBorder="1" applyAlignment="1">
      <alignment horizontal="right" vertical="center"/>
    </xf>
    <xf numFmtId="3" fontId="6" fillId="37" borderId="94" xfId="0" applyNumberFormat="1" applyFont="1" applyFill="1" applyBorder="1" applyAlignment="1">
      <alignment horizontal="right" vertical="center"/>
    </xf>
    <xf numFmtId="3" fontId="5" fillId="37" borderId="76" xfId="0" applyNumberFormat="1" applyFont="1" applyFill="1" applyBorder="1" applyAlignment="1">
      <alignment horizontal="right" vertical="center"/>
    </xf>
    <xf numFmtId="3" fontId="6" fillId="37" borderId="84" xfId="0" applyNumberFormat="1" applyFont="1" applyFill="1" applyBorder="1" applyAlignment="1">
      <alignment horizontal="right" vertical="center"/>
    </xf>
    <xf numFmtId="172" fontId="17" fillId="3" borderId="56" xfId="0" applyNumberFormat="1" applyFont="1" applyFill="1" applyBorder="1" applyAlignment="1">
      <alignment horizontal="left" vertical="center" wrapText="1"/>
    </xf>
    <xf numFmtId="172" fontId="11" fillId="3" borderId="56" xfId="0" applyNumberFormat="1" applyFont="1" applyFill="1" applyBorder="1" applyAlignment="1">
      <alignment horizontal="left" vertical="center" wrapText="1"/>
    </xf>
    <xf numFmtId="172" fontId="10" fillId="3" borderId="124" xfId="0" applyNumberFormat="1" applyFont="1" applyFill="1" applyBorder="1" applyAlignment="1">
      <alignment horizontal="left" vertical="center" wrapText="1"/>
    </xf>
    <xf numFmtId="172" fontId="46" fillId="3" borderId="56" xfId="0" applyNumberFormat="1" applyFont="1" applyFill="1" applyBorder="1" applyAlignment="1">
      <alignment horizontal="left" vertical="center" wrapText="1"/>
    </xf>
    <xf numFmtId="183" fontId="10" fillId="3" borderId="39" xfId="0" applyNumberFormat="1" applyFont="1" applyFill="1" applyBorder="1" applyAlignment="1">
      <alignment horizontal="right" vertical="center"/>
    </xf>
    <xf numFmtId="183" fontId="10" fillId="3" borderId="122" xfId="0" applyNumberFormat="1" applyFont="1" applyFill="1" applyBorder="1" applyAlignment="1">
      <alignment horizontal="right" vertical="center"/>
    </xf>
    <xf numFmtId="183" fontId="10" fillId="3" borderId="123" xfId="0" applyNumberFormat="1" applyFont="1" applyFill="1" applyBorder="1" applyAlignment="1">
      <alignment horizontal="right" vertical="center"/>
    </xf>
    <xf numFmtId="181" fontId="11" fillId="3" borderId="0" xfId="0" applyNumberFormat="1" applyFont="1" applyFill="1" applyBorder="1" applyAlignment="1">
      <alignment horizontal="right" vertical="center"/>
    </xf>
    <xf numFmtId="181" fontId="11" fillId="3" borderId="76" xfId="0" applyNumberFormat="1" applyFont="1" applyFill="1" applyBorder="1" applyAlignment="1">
      <alignment horizontal="right" vertical="center"/>
    </xf>
    <xf numFmtId="181" fontId="11" fillId="3" borderId="57" xfId="0" applyNumberFormat="1" applyFont="1" applyFill="1" applyBorder="1" applyAlignment="1">
      <alignment horizontal="right" vertical="center"/>
    </xf>
    <xf numFmtId="172" fontId="11" fillId="3" borderId="82" xfId="0" applyNumberFormat="1" applyFont="1" applyFill="1" applyBorder="1" applyAlignment="1">
      <alignment horizontal="left" vertical="center" wrapText="1"/>
    </xf>
    <xf numFmtId="181" fontId="11" fillId="3" borderId="3" xfId="0" applyNumberFormat="1" applyFont="1" applyFill="1" applyBorder="1" applyAlignment="1">
      <alignment horizontal="right" vertical="center"/>
    </xf>
    <xf numFmtId="181" fontId="11" fillId="3" borderId="84" xfId="0" applyNumberFormat="1" applyFont="1" applyFill="1" applyBorder="1" applyAlignment="1">
      <alignment horizontal="right" vertical="center"/>
    </xf>
    <xf numFmtId="181" fontId="11" fillId="3" borderId="93" xfId="0" applyNumberFormat="1" applyFont="1" applyFill="1" applyBorder="1" applyAlignment="1">
      <alignment horizontal="right" vertical="center"/>
    </xf>
    <xf numFmtId="172" fontId="17" fillId="3" borderId="56" xfId="0" quotePrefix="1" applyNumberFormat="1" applyFont="1" applyFill="1" applyBorder="1" applyAlignment="1">
      <alignment horizontal="left" vertical="center" wrapText="1"/>
    </xf>
    <xf numFmtId="172" fontId="10" fillId="3" borderId="81" xfId="0" applyNumberFormat="1" applyFont="1" applyFill="1" applyBorder="1" applyAlignment="1">
      <alignment horizontal="left" vertical="center" wrapText="1"/>
    </xf>
    <xf numFmtId="172" fontId="17" fillId="3" borderId="120" xfId="0" applyNumberFormat="1" applyFont="1" applyFill="1" applyBorder="1" applyAlignment="1">
      <alignment horizontal="left" vertical="center" wrapText="1"/>
    </xf>
    <xf numFmtId="172" fontId="17" fillId="3" borderId="7" xfId="0" applyNumberFormat="1" applyFont="1" applyFill="1" applyBorder="1" applyAlignment="1">
      <alignment horizontal="right" vertical="center"/>
    </xf>
    <xf numFmtId="172" fontId="17" fillId="3" borderId="121" xfId="0" applyNumberFormat="1" applyFont="1" applyFill="1" applyBorder="1" applyAlignment="1">
      <alignment horizontal="right" vertical="center"/>
    </xf>
    <xf numFmtId="172" fontId="17" fillId="3" borderId="119" xfId="0" applyNumberFormat="1" applyFont="1" applyFill="1" applyBorder="1" applyAlignment="1">
      <alignment horizontal="right" vertical="center"/>
    </xf>
    <xf numFmtId="172" fontId="11" fillId="3" borderId="120" xfId="0" applyNumberFormat="1" applyFont="1" applyFill="1" applyBorder="1" applyAlignment="1">
      <alignment horizontal="left" vertical="center" wrapText="1"/>
    </xf>
    <xf numFmtId="171" fontId="11" fillId="3" borderId="7" xfId="0" applyNumberFormat="1" applyFont="1" applyFill="1" applyBorder="1" applyAlignment="1">
      <alignment horizontal="right" vertical="center"/>
    </xf>
    <xf numFmtId="171" fontId="11" fillId="3" borderId="119" xfId="0" applyNumberFormat="1" applyFont="1" applyFill="1" applyBorder="1" applyAlignment="1">
      <alignment horizontal="right" vertical="center"/>
    </xf>
    <xf numFmtId="172" fontId="10" fillId="3" borderId="56" xfId="0" applyNumberFormat="1" applyFont="1" applyFill="1" applyBorder="1" applyAlignment="1">
      <alignment horizontal="left" vertical="center" wrapText="1"/>
    </xf>
    <xf numFmtId="172" fontId="10" fillId="3" borderId="97" xfId="0" applyNumberFormat="1" applyFont="1" applyFill="1" applyBorder="1" applyAlignment="1">
      <alignment horizontal="left" vertical="center" wrapText="1"/>
    </xf>
    <xf numFmtId="172" fontId="10" fillId="3" borderId="74" xfId="0" applyNumberFormat="1" applyFont="1" applyFill="1" applyBorder="1" applyAlignment="1">
      <alignment horizontal="right" vertical="center"/>
    </xf>
    <xf numFmtId="172" fontId="10" fillId="3" borderId="72" xfId="0" applyNumberFormat="1" applyFont="1" applyFill="1" applyBorder="1" applyAlignment="1">
      <alignment horizontal="right" vertical="center"/>
    </xf>
    <xf numFmtId="171" fontId="11" fillId="3" borderId="121" xfId="0" applyNumberFormat="1" applyFont="1" applyFill="1" applyBorder="1" applyAlignment="1">
      <alignment horizontal="right" vertical="center"/>
    </xf>
    <xf numFmtId="172" fontId="11" fillId="3" borderId="11" xfId="0" applyNumberFormat="1" applyFont="1" applyFill="1" applyBorder="1" applyAlignment="1">
      <alignment horizontal="left" vertical="center"/>
    </xf>
    <xf numFmtId="0" fontId="0" fillId="0" borderId="68" xfId="0" applyBorder="1" applyAlignment="1"/>
    <xf numFmtId="0" fontId="6" fillId="39" borderId="88" xfId="0" applyFont="1" applyFill="1" applyBorder="1" applyAlignment="1">
      <alignment horizontal="left" vertical="center" wrapText="1"/>
    </xf>
    <xf numFmtId="3" fontId="6" fillId="39" borderId="2" xfId="0" applyNumberFormat="1" applyFont="1" applyFill="1" applyBorder="1" applyAlignment="1">
      <alignment horizontal="right" vertical="center"/>
    </xf>
    <xf numFmtId="3" fontId="6" fillId="39" borderId="94" xfId="0" applyNumberFormat="1" applyFont="1" applyFill="1" applyBorder="1" applyAlignment="1">
      <alignment horizontal="right" vertical="center"/>
    </xf>
    <xf numFmtId="3" fontId="6" fillId="39" borderId="91" xfId="0" applyNumberFormat="1" applyFont="1" applyFill="1" applyBorder="1" applyAlignment="1">
      <alignment horizontal="right" vertical="center"/>
    </xf>
    <xf numFmtId="0" fontId="5" fillId="39" borderId="56" xfId="0" applyFont="1" applyFill="1" applyBorder="1" applyAlignment="1">
      <alignment horizontal="left" vertical="center" wrapText="1"/>
    </xf>
    <xf numFmtId="3" fontId="5" fillId="39" borderId="0" xfId="0" applyNumberFormat="1" applyFont="1" applyFill="1" applyBorder="1" applyAlignment="1">
      <alignment horizontal="right" vertical="center"/>
    </xf>
    <xf numFmtId="3" fontId="5" fillId="39" borderId="76" xfId="0" applyNumberFormat="1" applyFont="1" applyFill="1" applyBorder="1" applyAlignment="1">
      <alignment horizontal="right" vertical="center"/>
    </xf>
    <xf numFmtId="3" fontId="5" fillId="39" borderId="57" xfId="0" applyNumberFormat="1" applyFont="1" applyFill="1" applyBorder="1" applyAlignment="1">
      <alignment horizontal="right" vertical="center"/>
    </xf>
    <xf numFmtId="0" fontId="6" fillId="39" borderId="82" xfId="0" applyFont="1" applyFill="1" applyBorder="1" applyAlignment="1">
      <alignment horizontal="left" vertical="center" wrapText="1"/>
    </xf>
    <xf numFmtId="3" fontId="6" fillId="39" borderId="3" xfId="0" applyNumberFormat="1" applyFont="1" applyFill="1" applyBorder="1" applyAlignment="1">
      <alignment horizontal="right" vertical="center"/>
    </xf>
    <xf numFmtId="3" fontId="6" fillId="39" borderId="84" xfId="0" applyNumberFormat="1" applyFont="1" applyFill="1" applyBorder="1" applyAlignment="1">
      <alignment horizontal="right" vertical="center"/>
    </xf>
    <xf numFmtId="3" fontId="6" fillId="39" borderId="93" xfId="0" applyNumberFormat="1" applyFont="1" applyFill="1" applyBorder="1" applyAlignment="1">
      <alignment horizontal="right" vertical="center"/>
    </xf>
    <xf numFmtId="0" fontId="10" fillId="3" borderId="57" xfId="71" applyNumberFormat="1" applyFont="1" applyFill="1" applyBorder="1" applyAlignment="1">
      <alignment horizontal="right"/>
    </xf>
    <xf numFmtId="0" fontId="17" fillId="3" borderId="57" xfId="71" applyFont="1" applyFill="1" applyBorder="1" applyAlignment="1">
      <alignment horizontal="right" vertical="center"/>
    </xf>
    <xf numFmtId="0" fontId="17" fillId="3" borderId="91" xfId="71" applyFont="1" applyFill="1" applyBorder="1" applyAlignment="1">
      <alignment horizontal="right" vertical="center"/>
    </xf>
    <xf numFmtId="0" fontId="3" fillId="0" borderId="56" xfId="71" applyBorder="1" applyAlignment="1">
      <alignment horizontal="center"/>
    </xf>
    <xf numFmtId="0" fontId="5" fillId="3" borderId="56" xfId="71" applyFont="1" applyFill="1" applyBorder="1" applyAlignment="1">
      <alignment horizontal="left" vertical="center" wrapText="1"/>
    </xf>
    <xf numFmtId="0" fontId="5" fillId="3" borderId="88" xfId="71" applyFont="1" applyFill="1" applyBorder="1" applyAlignment="1">
      <alignment horizontal="left" vertical="center" wrapText="1"/>
    </xf>
    <xf numFmtId="0" fontId="10" fillId="3" borderId="69" xfId="71" applyNumberFormat="1" applyFont="1" applyFill="1" applyBorder="1" applyAlignment="1">
      <alignment horizontal="left"/>
    </xf>
    <xf numFmtId="0" fontId="10" fillId="3" borderId="70" xfId="71" applyNumberFormat="1" applyFont="1" applyFill="1" applyBorder="1" applyAlignment="1">
      <alignment horizontal="right"/>
    </xf>
    <xf numFmtId="0" fontId="10" fillId="3" borderId="71" xfId="71" applyNumberFormat="1" applyFont="1" applyFill="1" applyBorder="1" applyAlignment="1">
      <alignment horizontal="right"/>
    </xf>
    <xf numFmtId="0" fontId="75" fillId="45" borderId="72" xfId="71" applyNumberFormat="1" applyFont="1" applyFill="1" applyBorder="1" applyAlignment="1">
      <alignment horizontal="right"/>
    </xf>
    <xf numFmtId="0" fontId="75" fillId="45" borderId="73" xfId="71" applyNumberFormat="1" applyFont="1" applyFill="1" applyBorder="1" applyAlignment="1">
      <alignment horizontal="right"/>
    </xf>
    <xf numFmtId="0" fontId="75" fillId="45" borderId="74" xfId="71" applyNumberFormat="1" applyFont="1" applyFill="1" applyBorder="1" applyAlignment="1">
      <alignment horizontal="right"/>
    </xf>
    <xf numFmtId="0" fontId="17" fillId="3" borderId="76" xfId="71" applyFont="1" applyFill="1" applyBorder="1" applyAlignment="1">
      <alignment horizontal="right" vertical="center"/>
    </xf>
    <xf numFmtId="0" fontId="17" fillId="3" borderId="94" xfId="71" applyFont="1" applyFill="1" applyBorder="1" applyAlignment="1">
      <alignment horizontal="right" vertical="center"/>
    </xf>
    <xf numFmtId="0" fontId="11" fillId="3" borderId="120" xfId="71" applyFont="1" applyFill="1" applyBorder="1" applyAlignment="1">
      <alignment horizontal="left" vertical="center" wrapText="1"/>
    </xf>
    <xf numFmtId="171" fontId="11" fillId="3" borderId="7" xfId="71" applyNumberFormat="1" applyFont="1" applyFill="1" applyBorder="1" applyAlignment="1">
      <alignment horizontal="right" vertical="center"/>
    </xf>
    <xf numFmtId="171" fontId="11" fillId="3" borderId="121" xfId="71" applyNumberFormat="1" applyFont="1" applyFill="1" applyBorder="1" applyAlignment="1">
      <alignment horizontal="right" vertical="center"/>
    </xf>
    <xf numFmtId="171" fontId="11" fillId="3" borderId="119" xfId="71" applyNumberFormat="1" applyFont="1" applyFill="1" applyBorder="1" applyAlignment="1">
      <alignment horizontal="right" vertical="center"/>
    </xf>
    <xf numFmtId="0" fontId="11" fillId="3" borderId="82" xfId="71" applyFont="1" applyFill="1" applyBorder="1" applyAlignment="1">
      <alignment horizontal="left" vertical="center" wrapText="1"/>
    </xf>
    <xf numFmtId="171" fontId="11" fillId="3" borderId="3" xfId="71" applyNumberFormat="1" applyFont="1" applyFill="1" applyBorder="1" applyAlignment="1">
      <alignment horizontal="right" vertical="center"/>
    </xf>
    <xf numFmtId="171" fontId="11" fillId="3" borderId="84" xfId="71" applyNumberFormat="1" applyFont="1" applyFill="1" applyBorder="1" applyAlignment="1">
      <alignment horizontal="right" vertical="center"/>
    </xf>
    <xf numFmtId="171" fontId="11" fillId="3" borderId="93" xfId="71" applyNumberFormat="1" applyFont="1" applyFill="1" applyBorder="1" applyAlignment="1">
      <alignment horizontal="right" vertical="center"/>
    </xf>
    <xf numFmtId="3" fontId="9" fillId="43" borderId="55" xfId="71" applyNumberFormat="1" applyFont="1" applyFill="1" applyBorder="1" applyAlignment="1">
      <alignment horizontal="left" vertical="center"/>
    </xf>
    <xf numFmtId="0" fontId="9" fillId="43" borderId="55" xfId="71" applyNumberFormat="1" applyFont="1" applyFill="1" applyBorder="1" applyAlignment="1" applyProtection="1">
      <alignment horizontal="left" vertical="center" wrapText="1"/>
      <protection hidden="1"/>
    </xf>
    <xf numFmtId="0" fontId="6" fillId="39" borderId="68" xfId="71" applyFont="1" applyFill="1" applyBorder="1" applyAlignment="1"/>
    <xf numFmtId="3" fontId="5" fillId="39" borderId="56" xfId="71" quotePrefix="1" applyNumberFormat="1" applyFont="1" applyFill="1" applyBorder="1" applyAlignment="1">
      <alignment horizontal="right" vertical="center"/>
    </xf>
    <xf numFmtId="3" fontId="5" fillId="39" borderId="56" xfId="71" applyNumberFormat="1" applyFont="1" applyFill="1" applyBorder="1" applyAlignment="1">
      <alignment horizontal="right" vertical="center"/>
    </xf>
    <xf numFmtId="3" fontId="6" fillId="39" borderId="56" xfId="71" applyNumberFormat="1" applyFont="1" applyFill="1" applyBorder="1" applyAlignment="1">
      <alignment horizontal="right" vertical="center"/>
    </xf>
    <xf numFmtId="3" fontId="6" fillId="39" borderId="0" xfId="71" applyNumberFormat="1" applyFont="1" applyFill="1" applyBorder="1" applyAlignment="1">
      <alignment vertical="center" wrapText="1"/>
    </xf>
    <xf numFmtId="3" fontId="6" fillId="39" borderId="0" xfId="71" applyNumberFormat="1" applyFont="1" applyFill="1" applyBorder="1" applyAlignment="1">
      <alignment vertical="center"/>
    </xf>
    <xf numFmtId="0" fontId="6" fillId="39" borderId="69" xfId="71" applyFont="1" applyFill="1" applyBorder="1" applyAlignment="1"/>
    <xf numFmtId="0" fontId="6" fillId="39" borderId="70" xfId="71" applyFont="1" applyFill="1" applyBorder="1" applyAlignment="1"/>
    <xf numFmtId="0" fontId="5" fillId="39" borderId="70" xfId="71" applyFont="1" applyFill="1" applyBorder="1" applyAlignment="1">
      <alignment horizontal="center" vertical="center"/>
    </xf>
    <xf numFmtId="37" fontId="56" fillId="39" borderId="61" xfId="71" applyNumberFormat="1" applyFont="1" applyFill="1" applyBorder="1" applyAlignment="1">
      <alignment horizontal="right" vertical="center"/>
    </xf>
    <xf numFmtId="1" fontId="6" fillId="39" borderId="62" xfId="71" applyNumberFormat="1" applyFont="1" applyFill="1" applyBorder="1" applyAlignment="1">
      <alignment horizontal="left" vertical="center"/>
    </xf>
    <xf numFmtId="37" fontId="56" fillId="39" borderId="125" xfId="71" applyNumberFormat="1" applyFont="1" applyFill="1" applyBorder="1" applyAlignment="1">
      <alignment horizontal="right" vertical="center"/>
    </xf>
    <xf numFmtId="1" fontId="6" fillId="39" borderId="79" xfId="71" applyNumberFormat="1" applyFont="1" applyFill="1" applyBorder="1" applyAlignment="1">
      <alignment horizontal="left" vertical="center"/>
    </xf>
    <xf numFmtId="1" fontId="6" fillId="39" borderId="4" xfId="71" applyNumberFormat="1" applyFont="1" applyFill="1" applyBorder="1" applyAlignment="1" applyProtection="1">
      <alignment horizontal="center" vertical="center"/>
      <protection hidden="1"/>
    </xf>
    <xf numFmtId="14" fontId="6" fillId="39" borderId="70" xfId="71" applyNumberFormat="1" applyFont="1" applyFill="1" applyBorder="1" applyAlignment="1" applyProtection="1">
      <alignment horizontal="center" vertical="center"/>
      <protection hidden="1"/>
    </xf>
    <xf numFmtId="0" fontId="6" fillId="39" borderId="0" xfId="71" applyFont="1" applyFill="1" applyBorder="1" applyAlignment="1">
      <alignment horizontal="right" vertical="center"/>
    </xf>
    <xf numFmtId="0" fontId="6" fillId="39" borderId="62" xfId="71" applyFont="1" applyFill="1" applyBorder="1" applyAlignment="1">
      <alignment horizontal="right" vertical="center"/>
    </xf>
    <xf numFmtId="0" fontId="5" fillId="39" borderId="0" xfId="71" quotePrefix="1" applyFont="1" applyFill="1" applyBorder="1" applyAlignment="1">
      <alignment horizontal="right" vertical="center"/>
    </xf>
    <xf numFmtId="0" fontId="6" fillId="39" borderId="79" xfId="71" applyFont="1" applyFill="1" applyBorder="1" applyAlignment="1">
      <alignment horizontal="right" vertical="center"/>
    </xf>
    <xf numFmtId="1" fontId="6" fillId="39" borderId="73" xfId="71" applyNumberFormat="1" applyFont="1" applyFill="1" applyBorder="1" applyAlignment="1" applyProtection="1">
      <alignment horizontal="center" vertical="center"/>
      <protection hidden="1"/>
    </xf>
    <xf numFmtId="0" fontId="6" fillId="39" borderId="57" xfId="71" applyFont="1" applyFill="1" applyBorder="1" applyAlignment="1">
      <alignment horizontal="right" vertical="center"/>
    </xf>
    <xf numFmtId="0" fontId="5" fillId="39" borderId="57" xfId="71" applyFont="1" applyFill="1" applyBorder="1" applyAlignment="1">
      <alignment horizontal="right" vertical="center"/>
    </xf>
    <xf numFmtId="0" fontId="6" fillId="39" borderId="63" xfId="71" applyFont="1" applyFill="1" applyBorder="1" applyAlignment="1">
      <alignment horizontal="right" vertical="center"/>
    </xf>
    <xf numFmtId="0" fontId="5" fillId="39" borderId="57" xfId="71" quotePrefix="1" applyFont="1" applyFill="1" applyBorder="1" applyAlignment="1">
      <alignment horizontal="right" vertical="center"/>
    </xf>
    <xf numFmtId="0" fontId="6" fillId="39" borderId="67" xfId="71" applyFont="1" applyFill="1" applyBorder="1" applyAlignment="1">
      <alignment horizontal="right" vertical="center"/>
    </xf>
    <xf numFmtId="1" fontId="75" fillId="45" borderId="73" xfId="71" applyNumberFormat="1" applyFont="1" applyFill="1" applyBorder="1" applyAlignment="1" applyProtection="1">
      <alignment horizontal="center" vertical="center"/>
      <protection hidden="1"/>
    </xf>
    <xf numFmtId="1" fontId="75" fillId="45" borderId="74" xfId="71" applyNumberFormat="1" applyFont="1" applyFill="1" applyBorder="1" applyAlignment="1" applyProtection="1">
      <alignment horizontal="center" vertical="center"/>
      <protection hidden="1"/>
    </xf>
    <xf numFmtId="1" fontId="75" fillId="45" borderId="72" xfId="71" applyNumberFormat="1" applyFont="1" applyFill="1" applyBorder="1" applyAlignment="1" applyProtection="1">
      <alignment horizontal="center" vertical="center"/>
      <protection hidden="1"/>
    </xf>
    <xf numFmtId="0" fontId="6" fillId="39" borderId="76" xfId="71" applyFont="1" applyFill="1" applyBorder="1" applyAlignment="1">
      <alignment horizontal="right" vertical="center"/>
    </xf>
    <xf numFmtId="0" fontId="5" fillId="39" borderId="76" xfId="71" applyFont="1" applyFill="1" applyBorder="1" applyAlignment="1">
      <alignment horizontal="right" vertical="center"/>
    </xf>
    <xf numFmtId="0" fontId="6" fillId="39" borderId="126" xfId="71" applyFont="1" applyFill="1" applyBorder="1" applyAlignment="1">
      <alignment horizontal="right" vertical="center"/>
    </xf>
    <xf numFmtId="0" fontId="5" fillId="39" borderId="76" xfId="71" quotePrefix="1" applyFont="1" applyFill="1" applyBorder="1" applyAlignment="1">
      <alignment horizontal="right" vertical="center"/>
    </xf>
    <xf numFmtId="0" fontId="6" fillId="39" borderId="80" xfId="71" applyFont="1" applyFill="1" applyBorder="1" applyAlignment="1">
      <alignment horizontal="right" vertical="center"/>
    </xf>
    <xf numFmtId="0" fontId="6" fillId="39" borderId="56" xfId="71" applyFont="1" applyFill="1" applyBorder="1" applyAlignment="1"/>
    <xf numFmtId="37" fontId="56" fillId="39" borderId="78" xfId="71" applyNumberFormat="1" applyFont="1" applyFill="1" applyBorder="1" applyAlignment="1">
      <alignment horizontal="right" vertical="center"/>
    </xf>
    <xf numFmtId="0" fontId="9" fillId="43" borderId="55" xfId="71" applyNumberFormat="1" applyFont="1" applyFill="1" applyBorder="1" applyAlignment="1" applyProtection="1">
      <alignment horizontal="left" vertical="center"/>
      <protection hidden="1"/>
    </xf>
    <xf numFmtId="1" fontId="6" fillId="39" borderId="56" xfId="71" applyNumberFormat="1" applyFont="1" applyFill="1" applyBorder="1" applyAlignment="1" applyProtection="1">
      <alignment horizontal="center" vertical="center" wrapText="1"/>
      <protection hidden="1"/>
    </xf>
    <xf numFmtId="0" fontId="14" fillId="39" borderId="56" xfId="71" applyFont="1" applyFill="1" applyBorder="1"/>
    <xf numFmtId="3" fontId="5" fillId="39" borderId="56" xfId="71" applyNumberFormat="1" applyFont="1" applyFill="1" applyBorder="1" applyAlignment="1">
      <alignment vertical="top" wrapText="1"/>
    </xf>
    <xf numFmtId="0" fontId="15" fillId="39" borderId="69" xfId="71" applyFont="1" applyFill="1" applyBorder="1"/>
    <xf numFmtId="14" fontId="6" fillId="39" borderId="70" xfId="71" applyNumberFormat="1" applyFont="1" applyFill="1" applyBorder="1" applyAlignment="1" applyProtection="1">
      <alignment horizontal="left" vertical="center"/>
      <protection hidden="1"/>
    </xf>
    <xf numFmtId="0" fontId="6" fillId="39" borderId="61" xfId="71" applyFont="1" applyFill="1" applyBorder="1" applyAlignment="1">
      <alignment horizontal="left" vertical="center"/>
    </xf>
    <xf numFmtId="0" fontId="6" fillId="39" borderId="62" xfId="71" applyFont="1" applyFill="1" applyBorder="1" applyAlignment="1">
      <alignment horizontal="left" vertical="center"/>
    </xf>
    <xf numFmtId="0" fontId="5" fillId="39" borderId="0" xfId="71" quotePrefix="1" applyFont="1" applyFill="1" applyBorder="1" applyAlignment="1">
      <alignment horizontal="left" vertical="center"/>
    </xf>
    <xf numFmtId="0" fontId="14" fillId="39" borderId="97" xfId="71" applyFont="1" applyFill="1" applyBorder="1"/>
    <xf numFmtId="0" fontId="5" fillId="39" borderId="73" xfId="71" applyFont="1" applyFill="1" applyBorder="1" applyAlignment="1">
      <alignment horizontal="left" vertical="center"/>
    </xf>
    <xf numFmtId="0" fontId="5" fillId="39" borderId="73" xfId="71" applyFont="1" applyFill="1" applyBorder="1" applyAlignment="1">
      <alignment horizontal="right" vertical="center"/>
    </xf>
    <xf numFmtId="0" fontId="6" fillId="39" borderId="78" xfId="71" applyFont="1" applyFill="1" applyBorder="1" applyAlignment="1">
      <alignment horizontal="left" vertical="center"/>
    </xf>
    <xf numFmtId="0" fontId="6" fillId="39" borderId="79" xfId="71" applyFont="1" applyFill="1" applyBorder="1" applyAlignment="1">
      <alignment horizontal="left" vertical="center"/>
    </xf>
    <xf numFmtId="0" fontId="5" fillId="39" borderId="74" xfId="71" applyFont="1" applyFill="1" applyBorder="1" applyAlignment="1">
      <alignment horizontal="right" vertical="center"/>
    </xf>
    <xf numFmtId="0" fontId="5" fillId="39" borderId="72" xfId="71" applyFont="1" applyFill="1" applyBorder="1" applyAlignment="1">
      <alignment horizontal="right" vertical="center"/>
    </xf>
    <xf numFmtId="1" fontId="75" fillId="45" borderId="72" xfId="71" applyNumberFormat="1" applyFont="1" applyFill="1" applyBorder="1" applyAlignment="1" applyProtection="1">
      <alignment horizontal="center" vertical="center" wrapText="1"/>
      <protection hidden="1"/>
    </xf>
    <xf numFmtId="0" fontId="3" fillId="0" borderId="56" xfId="71" applyBorder="1"/>
    <xf numFmtId="0" fontId="10" fillId="3" borderId="120" xfId="71" applyNumberFormat="1" applyFont="1" applyFill="1" applyBorder="1" applyAlignment="1">
      <alignment horizontal="left"/>
    </xf>
    <xf numFmtId="0" fontId="5" fillId="3" borderId="56" xfId="71" applyFont="1" applyFill="1" applyBorder="1" applyAlignment="1">
      <alignment horizontal="left" vertical="center"/>
    </xf>
    <xf numFmtId="172" fontId="17" fillId="3" borderId="57" xfId="71" applyNumberFormat="1" applyFont="1" applyFill="1" applyBorder="1" applyAlignment="1">
      <alignment horizontal="right" vertical="center"/>
    </xf>
    <xf numFmtId="0" fontId="10" fillId="3" borderId="78" xfId="71" applyFont="1" applyFill="1" applyBorder="1" applyAlignment="1">
      <alignment horizontal="left" vertical="center"/>
    </xf>
    <xf numFmtId="172" fontId="10" fillId="3" borderId="79" xfId="71" applyNumberFormat="1" applyFont="1" applyFill="1" applyBorder="1" applyAlignment="1">
      <alignment horizontal="right" vertical="center"/>
    </xf>
    <xf numFmtId="172" fontId="10" fillId="3" borderId="67" xfId="71" applyNumberFormat="1" applyFont="1" applyFill="1" applyBorder="1" applyAlignment="1">
      <alignment horizontal="right" vertical="center"/>
    </xf>
    <xf numFmtId="183" fontId="17" fillId="3" borderId="0" xfId="71" applyNumberFormat="1" applyFont="1" applyFill="1" applyBorder="1" applyAlignment="1">
      <alignment horizontal="right" vertical="center"/>
    </xf>
    <xf numFmtId="183" fontId="17" fillId="3" borderId="76" xfId="71" applyNumberFormat="1" applyFont="1" applyFill="1" applyBorder="1" applyAlignment="1">
      <alignment horizontal="right" vertical="center"/>
    </xf>
    <xf numFmtId="183" fontId="17" fillId="3" borderId="57" xfId="71" applyNumberFormat="1" applyFont="1" applyFill="1" applyBorder="1" applyAlignment="1">
      <alignment horizontal="right" vertical="center"/>
    </xf>
    <xf numFmtId="183" fontId="10" fillId="3" borderId="79" xfId="71" applyNumberFormat="1" applyFont="1" applyFill="1" applyBorder="1" applyAlignment="1">
      <alignment horizontal="right" vertical="center"/>
    </xf>
    <xf numFmtId="183" fontId="10" fillId="3" borderId="80" xfId="71" applyNumberFormat="1" applyFont="1" applyFill="1" applyBorder="1" applyAlignment="1">
      <alignment horizontal="right" vertical="center"/>
    </xf>
    <xf numFmtId="183" fontId="10" fillId="3" borderId="67" xfId="71" applyNumberFormat="1" applyFont="1" applyFill="1" applyBorder="1" applyAlignment="1">
      <alignment horizontal="right" vertical="center"/>
    </xf>
    <xf numFmtId="0" fontId="6" fillId="3" borderId="56" xfId="71" applyFont="1" applyFill="1" applyBorder="1" applyAlignment="1">
      <alignment horizontal="left" vertical="center"/>
    </xf>
    <xf numFmtId="0" fontId="5" fillId="3" borderId="57" xfId="71" applyFont="1" applyFill="1" applyBorder="1" applyAlignment="1">
      <alignment horizontal="right" vertical="center"/>
    </xf>
    <xf numFmtId="0" fontId="10" fillId="3" borderId="61" xfId="71" applyNumberFormat="1" applyFont="1" applyFill="1" applyBorder="1" applyAlignment="1">
      <alignment horizontal="left"/>
    </xf>
    <xf numFmtId="0" fontId="10" fillId="3" borderId="62" xfId="71" applyNumberFormat="1" applyFont="1" applyFill="1" applyBorder="1" applyAlignment="1">
      <alignment horizontal="right"/>
    </xf>
    <xf numFmtId="0" fontId="10" fillId="3" borderId="63" xfId="71" applyNumberFormat="1" applyFont="1" applyFill="1" applyBorder="1" applyAlignment="1">
      <alignment horizontal="right"/>
    </xf>
    <xf numFmtId="172" fontId="17" fillId="3" borderId="7" xfId="71" applyNumberFormat="1" applyFont="1" applyFill="1" applyBorder="1" applyAlignment="1">
      <alignment horizontal="right" vertical="center"/>
    </xf>
    <xf numFmtId="0" fontId="10" fillId="3" borderId="127" xfId="71" applyNumberFormat="1" applyFont="1" applyFill="1" applyBorder="1" applyAlignment="1">
      <alignment horizontal="right"/>
    </xf>
    <xf numFmtId="0" fontId="10" fillId="3" borderId="128" xfId="71" applyNumberFormat="1" applyFont="1" applyFill="1" applyBorder="1" applyAlignment="1">
      <alignment horizontal="right"/>
    </xf>
    <xf numFmtId="0" fontId="10" fillId="3" borderId="129" xfId="71" applyNumberFormat="1" applyFont="1" applyFill="1" applyBorder="1" applyAlignment="1">
      <alignment horizontal="left"/>
    </xf>
    <xf numFmtId="0" fontId="17" fillId="3" borderId="120" xfId="71" applyFont="1" applyFill="1" applyBorder="1" applyAlignment="1">
      <alignment horizontal="left" vertical="center"/>
    </xf>
    <xf numFmtId="0" fontId="5" fillId="3" borderId="56" xfId="71" quotePrefix="1" applyFont="1" applyFill="1" applyBorder="1" applyAlignment="1">
      <alignment horizontal="left" vertical="center" indent="1"/>
    </xf>
    <xf numFmtId="183" fontId="17" fillId="3" borderId="7" xfId="71" applyNumberFormat="1" applyFont="1" applyFill="1" applyBorder="1" applyAlignment="1">
      <alignment horizontal="right" vertical="center"/>
    </xf>
    <xf numFmtId="183" fontId="17" fillId="3" borderId="119" xfId="71" applyNumberFormat="1" applyFont="1" applyFill="1" applyBorder="1" applyAlignment="1">
      <alignment horizontal="right" vertical="center"/>
    </xf>
    <xf numFmtId="173" fontId="5" fillId="3" borderId="57" xfId="71" applyNumberFormat="1" applyFont="1" applyFill="1" applyBorder="1" applyAlignment="1">
      <alignment horizontal="right" vertical="center"/>
    </xf>
    <xf numFmtId="173" fontId="6" fillId="3" borderId="91" xfId="71" applyNumberFormat="1" applyFont="1" applyFill="1" applyBorder="1" applyAlignment="1">
      <alignment horizontal="right" vertical="center"/>
    </xf>
    <xf numFmtId="171" fontId="62" fillId="3" borderId="57" xfId="71" applyNumberFormat="1" applyFont="1" applyFill="1" applyBorder="1" applyAlignment="1">
      <alignment horizontal="right" vertical="center"/>
    </xf>
    <xf numFmtId="173" fontId="5" fillId="3" borderId="57" xfId="71" applyNumberFormat="1" applyFont="1" applyFill="1" applyBorder="1" applyAlignment="1">
      <alignment horizontal="right"/>
    </xf>
    <xf numFmtId="0" fontId="10" fillId="3" borderId="56" xfId="71" applyNumberFormat="1" applyFont="1" applyFill="1" applyBorder="1" applyAlignment="1">
      <alignment horizontal="left"/>
    </xf>
    <xf numFmtId="0" fontId="6" fillId="3" borderId="88" xfId="71" applyFont="1" applyFill="1" applyBorder="1" applyAlignment="1">
      <alignment horizontal="left" vertical="center"/>
    </xf>
    <xf numFmtId="0" fontId="62" fillId="3" borderId="56" xfId="71" applyFont="1" applyFill="1" applyBorder="1" applyAlignment="1">
      <alignment horizontal="left" vertical="center"/>
    </xf>
    <xf numFmtId="0" fontId="5" fillId="3" borderId="56" xfId="71" applyFont="1" applyFill="1" applyBorder="1" applyAlignment="1">
      <alignment horizontal="left"/>
    </xf>
    <xf numFmtId="0" fontId="10" fillId="3" borderId="79" xfId="71" applyFont="1" applyFill="1" applyBorder="1" applyAlignment="1">
      <alignment horizontal="right" vertical="center"/>
    </xf>
    <xf numFmtId="173" fontId="10" fillId="3" borderId="79" xfId="71" applyNumberFormat="1" applyFont="1" applyFill="1" applyBorder="1" applyAlignment="1">
      <alignment horizontal="right" vertical="center"/>
    </xf>
    <xf numFmtId="173" fontId="10" fillId="3" borderId="67" xfId="71" applyNumberFormat="1" applyFont="1" applyFill="1" applyBorder="1" applyAlignment="1">
      <alignment horizontal="right" vertical="center"/>
    </xf>
    <xf numFmtId="180" fontId="14" fillId="0" borderId="0" xfId="71" applyNumberFormat="1" applyFont="1"/>
    <xf numFmtId="183" fontId="14" fillId="0" borderId="0" xfId="71" applyNumberFormat="1" applyFont="1"/>
    <xf numFmtId="0" fontId="62" fillId="3" borderId="82" xfId="71" applyFont="1" applyFill="1" applyBorder="1" applyAlignment="1">
      <alignment horizontal="left" vertical="center" wrapText="1"/>
    </xf>
    <xf numFmtId="0" fontId="62" fillId="3" borderId="69" xfId="71" applyFont="1" applyFill="1" applyBorder="1" applyAlignment="1">
      <alignment horizontal="left" vertical="center" wrapText="1"/>
    </xf>
    <xf numFmtId="171" fontId="62" fillId="3" borderId="70" xfId="71" applyNumberFormat="1" applyFont="1" applyFill="1" applyBorder="1" applyAlignment="1">
      <alignment horizontal="right" vertical="center"/>
    </xf>
    <xf numFmtId="180" fontId="62" fillId="3" borderId="70" xfId="71" applyNumberFormat="1" applyFont="1" applyFill="1" applyBorder="1" applyAlignment="1">
      <alignment horizontal="right" vertical="center"/>
    </xf>
    <xf numFmtId="0" fontId="15" fillId="3" borderId="124" xfId="71" applyNumberFormat="1" applyFont="1" applyFill="1" applyBorder="1" applyAlignment="1">
      <alignment horizontal="left"/>
    </xf>
    <xf numFmtId="0" fontId="5" fillId="3" borderId="56" xfId="71" applyFont="1" applyFill="1" applyBorder="1" applyAlignment="1">
      <alignment vertical="center"/>
    </xf>
    <xf numFmtId="0" fontId="62" fillId="3" borderId="82" xfId="71" applyFont="1" applyFill="1" applyBorder="1" applyAlignment="1">
      <alignment vertical="center"/>
    </xf>
    <xf numFmtId="0" fontId="6" fillId="3" borderId="57" xfId="71" applyFont="1" applyFill="1" applyBorder="1" applyAlignment="1">
      <alignment horizontal="right" vertical="center"/>
    </xf>
    <xf numFmtId="3" fontId="10" fillId="3" borderId="123" xfId="71" applyNumberFormat="1" applyFont="1" applyFill="1" applyBorder="1" applyAlignment="1">
      <alignment horizontal="right"/>
    </xf>
    <xf numFmtId="3" fontId="5" fillId="3" borderId="57" xfId="71" applyNumberFormat="1" applyFont="1" applyFill="1" applyBorder="1" applyAlignment="1">
      <alignment horizontal="right" vertical="center"/>
    </xf>
    <xf numFmtId="171" fontId="62" fillId="3" borderId="93" xfId="71" applyNumberFormat="1" applyFont="1" applyFill="1" applyBorder="1" applyAlignment="1">
      <alignment horizontal="right" vertical="center"/>
    </xf>
    <xf numFmtId="0" fontId="62" fillId="3" borderId="69" xfId="71" applyFont="1" applyFill="1" applyBorder="1" applyAlignment="1">
      <alignment vertical="center"/>
    </xf>
    <xf numFmtId="171" fontId="62" fillId="3" borderId="71" xfId="71" applyNumberFormat="1" applyFont="1" applyFill="1" applyBorder="1" applyAlignment="1">
      <alignment horizontal="right" vertical="center"/>
    </xf>
    <xf numFmtId="0" fontId="62" fillId="3" borderId="70" xfId="71" applyFont="1" applyFill="1" applyBorder="1" applyAlignment="1">
      <alignment horizontal="right" vertical="center"/>
    </xf>
    <xf numFmtId="0" fontId="9" fillId="43" borderId="17" xfId="0" applyFont="1" applyFill="1" applyBorder="1" applyAlignment="1">
      <alignment horizontal="left" vertical="center"/>
    </xf>
    <xf numFmtId="0" fontId="9" fillId="43" borderId="18" xfId="0" applyFont="1" applyFill="1" applyBorder="1" applyAlignment="1">
      <alignment horizontal="left" vertical="center"/>
    </xf>
    <xf numFmtId="0" fontId="6" fillId="3" borderId="88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6" fillId="3" borderId="82" xfId="0" applyFont="1" applyFill="1" applyBorder="1" applyAlignment="1">
      <alignment horizontal="left" vertical="center"/>
    </xf>
    <xf numFmtId="0" fontId="9" fillId="43" borderId="130" xfId="0" applyFont="1" applyFill="1" applyBorder="1" applyAlignment="1">
      <alignment horizontal="left" vertical="center"/>
    </xf>
    <xf numFmtId="0" fontId="10" fillId="3" borderId="62" xfId="0" applyNumberFormat="1" applyFont="1" applyFill="1" applyBorder="1" applyAlignment="1">
      <alignment horizontal="right"/>
    </xf>
    <xf numFmtId="0" fontId="10" fillId="3" borderId="131" xfId="0" applyNumberFormat="1" applyFont="1" applyFill="1" applyBorder="1" applyAlignment="1">
      <alignment horizontal="right"/>
    </xf>
    <xf numFmtId="0" fontId="62" fillId="3" borderId="0" xfId="0" applyFont="1" applyFill="1" applyBorder="1" applyAlignment="1">
      <alignment horizontal="right" vertical="center"/>
    </xf>
    <xf numFmtId="171" fontId="62" fillId="3" borderId="10" xfId="0" applyNumberFormat="1" applyFont="1" applyFill="1" applyBorder="1" applyAlignment="1">
      <alignment horizontal="right" vertical="center"/>
    </xf>
    <xf numFmtId="0" fontId="67" fillId="3" borderId="88" xfId="0" applyFont="1" applyFill="1" applyBorder="1" applyAlignment="1">
      <alignment horizontal="left" vertical="center"/>
    </xf>
    <xf numFmtId="0" fontId="67" fillId="3" borderId="2" xfId="0" applyFont="1" applyFill="1" applyBorder="1" applyAlignment="1">
      <alignment horizontal="right" vertical="center"/>
    </xf>
    <xf numFmtId="171" fontId="67" fillId="3" borderId="2" xfId="0" applyNumberFormat="1" applyFont="1" applyFill="1" applyBorder="1" applyAlignment="1">
      <alignment horizontal="right" vertical="center"/>
    </xf>
    <xf numFmtId="171" fontId="67" fillId="3" borderId="16" xfId="0" applyNumberFormat="1" applyFont="1" applyFill="1" applyBorder="1" applyAlignment="1">
      <alignment horizontal="right" vertical="center"/>
    </xf>
    <xf numFmtId="0" fontId="67" fillId="3" borderId="56" xfId="0" applyFont="1" applyFill="1" applyBorder="1" applyAlignment="1">
      <alignment horizontal="left" vertical="center"/>
    </xf>
    <xf numFmtId="0" fontId="67" fillId="3" borderId="0" xfId="0" applyFont="1" applyFill="1" applyBorder="1" applyAlignment="1">
      <alignment horizontal="right" vertical="center"/>
    </xf>
    <xf numFmtId="171" fontId="67" fillId="3" borderId="0" xfId="0" applyNumberFormat="1" applyFont="1" applyFill="1" applyBorder="1" applyAlignment="1">
      <alignment horizontal="right" vertical="center"/>
    </xf>
    <xf numFmtId="171" fontId="67" fillId="3" borderId="10" xfId="0" applyNumberFormat="1" applyFont="1" applyFill="1" applyBorder="1" applyAlignment="1">
      <alignment horizontal="right" vertical="center"/>
    </xf>
    <xf numFmtId="0" fontId="67" fillId="3" borderId="82" xfId="0" applyFont="1" applyFill="1" applyBorder="1" applyAlignment="1">
      <alignment horizontal="left" vertical="center"/>
    </xf>
    <xf numFmtId="0" fontId="67" fillId="3" borderId="3" xfId="0" applyFont="1" applyFill="1" applyBorder="1" applyAlignment="1">
      <alignment horizontal="right" vertical="center"/>
    </xf>
    <xf numFmtId="171" fontId="67" fillId="3" borderId="3" xfId="0" applyNumberFormat="1" applyFont="1" applyFill="1" applyBorder="1" applyAlignment="1">
      <alignment horizontal="right" vertical="center"/>
    </xf>
    <xf numFmtId="171" fontId="67" fillId="3" borderId="12" xfId="0" applyNumberFormat="1" applyFont="1" applyFill="1" applyBorder="1" applyAlignment="1">
      <alignment horizontal="right" vertical="center"/>
    </xf>
    <xf numFmtId="0" fontId="62" fillId="3" borderId="76" xfId="0" applyFont="1" applyFill="1" applyBorder="1" applyAlignment="1">
      <alignment horizontal="right" vertical="center"/>
    </xf>
    <xf numFmtId="0" fontId="62" fillId="3" borderId="10" xfId="0" applyFont="1" applyFill="1" applyBorder="1" applyAlignment="1">
      <alignment horizontal="right" vertical="center"/>
    </xf>
    <xf numFmtId="171" fontId="67" fillId="3" borderId="94" xfId="0" applyNumberFormat="1" applyFont="1" applyFill="1" applyBorder="1" applyAlignment="1">
      <alignment horizontal="right" vertical="center"/>
    </xf>
    <xf numFmtId="171" fontId="67" fillId="3" borderId="76" xfId="0" applyNumberFormat="1" applyFont="1" applyFill="1" applyBorder="1" applyAlignment="1">
      <alignment horizontal="right" vertical="center"/>
    </xf>
    <xf numFmtId="171" fontId="67" fillId="3" borderId="84" xfId="0" applyNumberFormat="1" applyFont="1" applyFill="1" applyBorder="1" applyAlignment="1">
      <alignment horizontal="right" vertical="center"/>
    </xf>
    <xf numFmtId="0" fontId="62" fillId="3" borderId="57" xfId="0" applyFont="1" applyFill="1" applyBorder="1" applyAlignment="1">
      <alignment horizontal="right" vertical="center"/>
    </xf>
    <xf numFmtId="171" fontId="67" fillId="3" borderId="91" xfId="0" applyNumberFormat="1" applyFont="1" applyFill="1" applyBorder="1" applyAlignment="1">
      <alignment horizontal="right" vertical="center"/>
    </xf>
    <xf numFmtId="171" fontId="67" fillId="3" borderId="57" xfId="0" applyNumberFormat="1" applyFont="1" applyFill="1" applyBorder="1" applyAlignment="1">
      <alignment horizontal="right" vertical="center"/>
    </xf>
    <xf numFmtId="171" fontId="67" fillId="3" borderId="93" xfId="0" applyNumberFormat="1" applyFont="1" applyFill="1" applyBorder="1" applyAlignment="1">
      <alignment horizontal="right" vertical="center"/>
    </xf>
    <xf numFmtId="0" fontId="10" fillId="3" borderId="63" xfId="0" applyNumberFormat="1" applyFont="1" applyFill="1" applyBorder="1" applyAlignment="1">
      <alignment horizontal="right"/>
    </xf>
    <xf numFmtId="0" fontId="10" fillId="3" borderId="56" xfId="0" quotePrefix="1" applyNumberFormat="1" applyFont="1" applyFill="1" applyBorder="1" applyAlignment="1">
      <alignment horizontal="left"/>
    </xf>
    <xf numFmtId="3" fontId="6" fillId="3" borderId="84" xfId="0" applyNumberFormat="1" applyFont="1" applyFill="1" applyBorder="1" applyAlignment="1">
      <alignment horizontal="right" vertical="center"/>
    </xf>
    <xf numFmtId="171" fontId="5" fillId="3" borderId="133" xfId="0" applyNumberFormat="1" applyFont="1" applyFill="1" applyBorder="1" applyAlignment="1">
      <alignment horizontal="right" vertical="center"/>
    </xf>
    <xf numFmtId="0" fontId="75" fillId="45" borderId="132" xfId="0" applyNumberFormat="1" applyFont="1" applyFill="1" applyBorder="1" applyAlignment="1">
      <alignment horizontal="right"/>
    </xf>
    <xf numFmtId="14" fontId="62" fillId="3" borderId="0" xfId="0" applyNumberFormat="1" applyFont="1" applyFill="1" applyBorder="1" applyAlignment="1">
      <alignment horizontal="right" vertical="center"/>
    </xf>
    <xf numFmtId="0" fontId="62" fillId="3" borderId="9" xfId="0" applyFont="1" applyFill="1" applyBorder="1" applyAlignment="1">
      <alignment horizontal="left" vertical="center"/>
    </xf>
    <xf numFmtId="0" fontId="67" fillId="3" borderId="15" xfId="0" applyFont="1" applyFill="1" applyBorder="1" applyAlignment="1">
      <alignment horizontal="left" vertical="center"/>
    </xf>
    <xf numFmtId="0" fontId="67" fillId="3" borderId="9" xfId="0" applyFont="1" applyFill="1" applyBorder="1" applyAlignment="1">
      <alignment horizontal="left" vertical="center"/>
    </xf>
    <xf numFmtId="0" fontId="67" fillId="3" borderId="11" xfId="0" applyFont="1" applyFill="1" applyBorder="1" applyAlignment="1">
      <alignment horizontal="left" vertical="center"/>
    </xf>
    <xf numFmtId="178" fontId="5" fillId="3" borderId="59" xfId="0" applyNumberFormat="1" applyFont="1" applyFill="1" applyBorder="1" applyAlignment="1">
      <alignment horizontal="right" vertical="center"/>
    </xf>
    <xf numFmtId="178" fontId="5" fillId="3" borderId="60" xfId="0" applyNumberFormat="1" applyFont="1" applyFill="1" applyBorder="1" applyAlignment="1">
      <alignment horizontal="right" vertical="center"/>
    </xf>
    <xf numFmtId="178" fontId="5" fillId="3" borderId="98" xfId="0" applyNumberFormat="1" applyFont="1" applyFill="1" applyBorder="1" applyAlignment="1">
      <alignment horizontal="right" vertical="center"/>
    </xf>
    <xf numFmtId="0" fontId="10" fillId="3" borderId="131" xfId="0" applyNumberFormat="1" applyFont="1" applyFill="1" applyBorder="1" applyAlignment="1">
      <alignment horizontal="right" wrapText="1"/>
    </xf>
    <xf numFmtId="177" fontId="5" fillId="3" borderId="57" xfId="0" applyNumberFormat="1" applyFont="1" applyFill="1" applyBorder="1" applyAlignment="1">
      <alignment horizontal="right" vertical="center"/>
    </xf>
    <xf numFmtId="0" fontId="10" fillId="3" borderId="134" xfId="0" applyNumberFormat="1" applyFont="1" applyFill="1" applyBorder="1" applyAlignment="1">
      <alignment horizontal="left"/>
    </xf>
    <xf numFmtId="0" fontId="10" fillId="3" borderId="135" xfId="0" applyNumberFormat="1" applyFont="1" applyFill="1" applyBorder="1" applyAlignment="1">
      <alignment horizontal="right" wrapText="1"/>
    </xf>
    <xf numFmtId="0" fontId="10" fillId="3" borderId="136" xfId="0" applyNumberFormat="1" applyFont="1" applyFill="1" applyBorder="1" applyAlignment="1">
      <alignment horizontal="right" wrapText="1"/>
    </xf>
    <xf numFmtId="0" fontId="62" fillId="3" borderId="58" xfId="0" applyFont="1" applyFill="1" applyBorder="1" applyAlignment="1">
      <alignment horizontal="left" vertical="center"/>
    </xf>
    <xf numFmtId="178" fontId="62" fillId="3" borderId="59" xfId="0" applyNumberFormat="1" applyFont="1" applyFill="1" applyBorder="1" applyAlignment="1">
      <alignment horizontal="right" vertical="center"/>
    </xf>
    <xf numFmtId="178" fontId="62" fillId="3" borderId="60" xfId="0" applyNumberFormat="1" applyFont="1" applyFill="1" applyBorder="1" applyAlignment="1">
      <alignment horizontal="right" vertical="center"/>
    </xf>
    <xf numFmtId="0" fontId="3" fillId="0" borderId="9" xfId="71" applyBorder="1" applyAlignment="1">
      <alignment horizontal="center"/>
    </xf>
    <xf numFmtId="0" fontId="75" fillId="45" borderId="0" xfId="71" applyNumberFormat="1" applyFont="1" applyFill="1" applyBorder="1" applyAlignment="1">
      <alignment horizontal="right"/>
    </xf>
    <xf numFmtId="0" fontId="75" fillId="45" borderId="10" xfId="71" applyNumberFormat="1" applyFont="1" applyFill="1" applyBorder="1" applyAlignment="1">
      <alignment horizontal="right"/>
    </xf>
    <xf numFmtId="0" fontId="10" fillId="3" borderId="6" xfId="71" applyNumberFormat="1" applyFont="1" applyFill="1" applyBorder="1" applyAlignment="1">
      <alignment horizontal="left"/>
    </xf>
    <xf numFmtId="0" fontId="5" fillId="3" borderId="9" xfId="71" applyFont="1" applyFill="1" applyBorder="1" applyAlignment="1">
      <alignment horizontal="left" vertical="center" wrapText="1"/>
    </xf>
    <xf numFmtId="0" fontId="17" fillId="3" borderId="10" xfId="71" applyFont="1" applyFill="1" applyBorder="1" applyAlignment="1">
      <alignment horizontal="right" vertical="center"/>
    </xf>
    <xf numFmtId="0" fontId="5" fillId="3" borderId="15" xfId="71" applyFont="1" applyFill="1" applyBorder="1" applyAlignment="1">
      <alignment horizontal="left" vertical="center" wrapText="1"/>
    </xf>
    <xf numFmtId="0" fontId="17" fillId="3" borderId="16" xfId="71" applyFont="1" applyFill="1" applyBorder="1" applyAlignment="1">
      <alignment horizontal="right" vertical="center"/>
    </xf>
    <xf numFmtId="171" fontId="17" fillId="3" borderId="7" xfId="71" applyNumberFormat="1" applyFont="1" applyFill="1" applyBorder="1" applyAlignment="1">
      <alignment horizontal="right" vertical="center"/>
    </xf>
    <xf numFmtId="171" fontId="17" fillId="3" borderId="121" xfId="71" applyNumberFormat="1" applyFont="1" applyFill="1" applyBorder="1" applyAlignment="1">
      <alignment horizontal="right" vertical="center"/>
    </xf>
    <xf numFmtId="171" fontId="17" fillId="3" borderId="8" xfId="71" applyNumberFormat="1" applyFont="1" applyFill="1" applyBorder="1" applyAlignment="1">
      <alignment horizontal="right" vertical="center"/>
    </xf>
    <xf numFmtId="0" fontId="17" fillId="3" borderId="11" xfId="71" applyFont="1" applyFill="1" applyBorder="1" applyAlignment="1">
      <alignment horizontal="left" vertical="center" wrapText="1"/>
    </xf>
    <xf numFmtId="171" fontId="17" fillId="3" borderId="3" xfId="71" applyNumberFormat="1" applyFont="1" applyFill="1" applyBorder="1" applyAlignment="1">
      <alignment horizontal="right" vertical="center"/>
    </xf>
    <xf numFmtId="171" fontId="17" fillId="3" borderId="84" xfId="71" applyNumberFormat="1" applyFont="1" applyFill="1" applyBorder="1" applyAlignment="1">
      <alignment horizontal="right" vertical="center"/>
    </xf>
    <xf numFmtId="171" fontId="17" fillId="3" borderId="12" xfId="71" applyNumberFormat="1" applyFont="1" applyFill="1" applyBorder="1" applyAlignment="1">
      <alignment horizontal="right" vertical="center"/>
    </xf>
    <xf numFmtId="172" fontId="70" fillId="3" borderId="81" xfId="0" applyNumberFormat="1" applyFont="1" applyFill="1" applyBorder="1" applyAlignment="1">
      <alignment horizontal="left" indent="1"/>
    </xf>
    <xf numFmtId="172" fontId="70" fillId="3" borderId="37" xfId="0" applyNumberFormat="1" applyFont="1" applyFill="1" applyBorder="1" applyAlignment="1">
      <alignment horizontal="right" vertical="center"/>
    </xf>
    <xf numFmtId="181" fontId="70" fillId="3" borderId="37" xfId="0" applyNumberFormat="1" applyFont="1" applyFill="1" applyBorder="1" applyAlignment="1">
      <alignment horizontal="right" vertical="center"/>
    </xf>
    <xf numFmtId="181" fontId="70" fillId="3" borderId="86" xfId="0" applyNumberFormat="1" applyFont="1" applyFill="1" applyBorder="1" applyAlignment="1">
      <alignment horizontal="right" vertical="center"/>
    </xf>
    <xf numFmtId="181" fontId="70" fillId="3" borderId="38" xfId="0" applyNumberFormat="1" applyFont="1" applyFill="1" applyBorder="1" applyAlignment="1">
      <alignment horizontal="right" vertical="center"/>
    </xf>
    <xf numFmtId="172" fontId="11" fillId="3" borderId="56" xfId="0" applyNumberFormat="1" applyFont="1" applyFill="1" applyBorder="1" applyAlignment="1">
      <alignment horizontal="left" indent="1"/>
    </xf>
    <xf numFmtId="181" fontId="11" fillId="3" borderId="10" xfId="0" applyNumberFormat="1" applyFont="1" applyFill="1" applyBorder="1" applyAlignment="1">
      <alignment horizontal="right" vertical="center"/>
    </xf>
    <xf numFmtId="0" fontId="10" fillId="36" borderId="0" xfId="0" applyFont="1" applyFill="1" applyAlignment="1">
      <alignment horizontal="center" vertical="center" textRotation="90"/>
    </xf>
    <xf numFmtId="0" fontId="0" fillId="36" borderId="0" xfId="0" applyFill="1" applyAlignment="1">
      <alignment vertical="center"/>
    </xf>
    <xf numFmtId="0" fontId="10" fillId="38" borderId="0" xfId="0" applyFont="1" applyFill="1" applyAlignment="1">
      <alignment horizontal="center" vertical="center" textRotation="90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0" fontId="15" fillId="0" borderId="70" xfId="0" applyFont="1" applyBorder="1" applyAlignment="1">
      <alignment horizontal="center"/>
    </xf>
    <xf numFmtId="0" fontId="75" fillId="45" borderId="75" xfId="0" applyFont="1" applyFill="1" applyBorder="1" applyAlignment="1">
      <alignment horizontal="center"/>
    </xf>
    <xf numFmtId="0" fontId="75" fillId="45" borderId="70" xfId="0" applyFont="1" applyFill="1" applyBorder="1" applyAlignment="1">
      <alignment horizontal="center"/>
    </xf>
    <xf numFmtId="0" fontId="75" fillId="45" borderId="71" xfId="0" applyFont="1" applyFill="1" applyBorder="1" applyAlignment="1">
      <alignment horizontal="center"/>
    </xf>
    <xf numFmtId="0" fontId="75" fillId="45" borderId="75" xfId="0" applyNumberFormat="1" applyFont="1" applyFill="1" applyBorder="1" applyAlignment="1">
      <alignment horizontal="center"/>
    </xf>
    <xf numFmtId="0" fontId="75" fillId="45" borderId="70" xfId="0" applyNumberFormat="1" applyFont="1" applyFill="1" applyBorder="1" applyAlignment="1">
      <alignment horizontal="center"/>
    </xf>
    <xf numFmtId="0" fontId="75" fillId="45" borderId="83" xfId="0" applyNumberFormat="1" applyFont="1" applyFill="1" applyBorder="1" applyAlignment="1">
      <alignment horizontal="center"/>
    </xf>
    <xf numFmtId="0" fontId="10" fillId="3" borderId="70" xfId="0" applyNumberFormat="1" applyFont="1" applyFill="1" applyBorder="1" applyAlignment="1">
      <alignment horizontal="center"/>
    </xf>
    <xf numFmtId="0" fontId="75" fillId="45" borderId="71" xfId="0" applyNumberFormat="1" applyFont="1" applyFill="1" applyBorder="1" applyAlignment="1">
      <alignment horizontal="center"/>
    </xf>
    <xf numFmtId="0" fontId="10" fillId="3" borderId="7" xfId="0" applyNumberFormat="1" applyFont="1" applyFill="1" applyBorder="1" applyAlignment="1">
      <alignment horizontal="center"/>
    </xf>
    <xf numFmtId="0" fontId="75" fillId="45" borderId="121" xfId="0" applyNumberFormat="1" applyFont="1" applyFill="1" applyBorder="1" applyAlignment="1">
      <alignment horizontal="center"/>
    </xf>
    <xf numFmtId="0" fontId="75" fillId="45" borderId="7" xfId="0" applyNumberFormat="1" applyFont="1" applyFill="1" applyBorder="1" applyAlignment="1">
      <alignment horizontal="center"/>
    </xf>
    <xf numFmtId="0" fontId="75" fillId="45" borderId="8" xfId="0" applyNumberFormat="1" applyFont="1" applyFill="1" applyBorder="1" applyAlignment="1">
      <alignment horizontal="center"/>
    </xf>
    <xf numFmtId="0" fontId="75" fillId="45" borderId="119" xfId="0" applyNumberFormat="1" applyFont="1" applyFill="1" applyBorder="1" applyAlignment="1">
      <alignment horizontal="center"/>
    </xf>
    <xf numFmtId="0" fontId="10" fillId="3" borderId="70" xfId="71" applyNumberFormat="1" applyFont="1" applyFill="1" applyBorder="1" applyAlignment="1">
      <alignment horizontal="center"/>
    </xf>
    <xf numFmtId="0" fontId="75" fillId="45" borderId="75" xfId="71" applyNumberFormat="1" applyFont="1" applyFill="1" applyBorder="1" applyAlignment="1">
      <alignment horizontal="center"/>
    </xf>
    <xf numFmtId="0" fontId="75" fillId="45" borderId="70" xfId="71" applyNumberFormat="1" applyFont="1" applyFill="1" applyBorder="1" applyAlignment="1">
      <alignment horizontal="center"/>
    </xf>
    <xf numFmtId="0" fontId="75" fillId="45" borderId="71" xfId="71" applyNumberFormat="1" applyFont="1" applyFill="1" applyBorder="1" applyAlignment="1">
      <alignment horizontal="center"/>
    </xf>
    <xf numFmtId="0" fontId="10" fillId="3" borderId="7" xfId="71" applyNumberFormat="1" applyFont="1" applyFill="1" applyBorder="1" applyAlignment="1">
      <alignment horizontal="center"/>
    </xf>
    <xf numFmtId="0" fontId="10" fillId="3" borderId="137" xfId="71" applyNumberFormat="1" applyFont="1" applyFill="1" applyBorder="1" applyAlignment="1">
      <alignment horizontal="center"/>
    </xf>
    <xf numFmtId="0" fontId="75" fillId="45" borderId="121" xfId="71" applyNumberFormat="1" applyFont="1" applyFill="1" applyBorder="1" applyAlignment="1">
      <alignment horizontal="center"/>
    </xf>
    <xf numFmtId="0" fontId="75" fillId="45" borderId="7" xfId="71" applyNumberFormat="1" applyFont="1" applyFill="1" applyBorder="1" applyAlignment="1">
      <alignment horizontal="center"/>
    </xf>
    <xf numFmtId="0" fontId="75" fillId="45" borderId="8" xfId="71" applyNumberFormat="1" applyFont="1" applyFill="1" applyBorder="1" applyAlignment="1">
      <alignment horizontal="center"/>
    </xf>
    <xf numFmtId="14" fontId="6" fillId="39" borderId="70" xfId="71" applyNumberFormat="1" applyFont="1" applyFill="1" applyBorder="1" applyAlignment="1" applyProtection="1">
      <alignment horizontal="center" vertical="center"/>
      <protection hidden="1"/>
    </xf>
    <xf numFmtId="14" fontId="75" fillId="45" borderId="75" xfId="71" applyNumberFormat="1" applyFont="1" applyFill="1" applyBorder="1" applyAlignment="1" applyProtection="1">
      <alignment horizontal="center" vertical="center"/>
      <protection hidden="1"/>
    </xf>
    <xf numFmtId="14" fontId="75" fillId="45" borderId="70" xfId="71" applyNumberFormat="1" applyFont="1" applyFill="1" applyBorder="1" applyAlignment="1" applyProtection="1">
      <alignment horizontal="center" vertical="center"/>
      <protection hidden="1"/>
    </xf>
    <xf numFmtId="14" fontId="75" fillId="45" borderId="71" xfId="71" applyNumberFormat="1" applyFont="1" applyFill="1" applyBorder="1" applyAlignment="1" applyProtection="1">
      <alignment horizontal="center" vertical="center"/>
      <protection hidden="1"/>
    </xf>
    <xf numFmtId="0" fontId="14" fillId="0" borderId="0" xfId="71" applyFont="1" applyAlignment="1">
      <alignment horizontal="center"/>
    </xf>
    <xf numFmtId="0" fontId="75" fillId="45" borderId="119" xfId="71" applyNumberFormat="1" applyFont="1" applyFill="1" applyBorder="1" applyAlignment="1">
      <alignment horizontal="center"/>
    </xf>
    <xf numFmtId="177" fontId="5" fillId="3" borderId="0" xfId="71" applyNumberFormat="1" applyFont="1" applyFill="1" applyBorder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Border="1" applyAlignment="1">
      <alignment horizontal="right" vertical="center"/>
    </xf>
    <xf numFmtId="180" fontId="62" fillId="3" borderId="70" xfId="71" applyNumberFormat="1" applyFont="1" applyFill="1" applyBorder="1" applyAlignment="1">
      <alignment horizontal="right" vertical="center"/>
    </xf>
    <xf numFmtId="180" fontId="0" fillId="0" borderId="70" xfId="0" applyNumberFormat="1" applyBorder="1" applyAlignment="1">
      <alignment horizontal="right" vertical="center"/>
    </xf>
    <xf numFmtId="177" fontId="0" fillId="0" borderId="57" xfId="0" applyNumberFormat="1" applyBorder="1" applyAlignment="1">
      <alignment horizontal="right" vertical="center"/>
    </xf>
    <xf numFmtId="180" fontId="0" fillId="0" borderId="71" xfId="0" applyNumberFormat="1" applyBorder="1" applyAlignment="1">
      <alignment horizontal="right" vertical="center"/>
    </xf>
    <xf numFmtId="180" fontId="62" fillId="3" borderId="3" xfId="71" applyNumberFormat="1" applyFont="1" applyFill="1" applyBorder="1" applyAlignment="1">
      <alignment horizontal="right" vertical="center"/>
    </xf>
    <xf numFmtId="180" fontId="0" fillId="0" borderId="3" xfId="0" applyNumberFormat="1" applyBorder="1" applyAlignment="1">
      <alignment horizontal="right" vertical="center"/>
    </xf>
    <xf numFmtId="180" fontId="0" fillId="0" borderId="93" xfId="0" applyNumberFormat="1" applyBorder="1" applyAlignment="1">
      <alignment horizontal="right" vertical="center"/>
    </xf>
    <xf numFmtId="0" fontId="69" fillId="0" borderId="0" xfId="71" applyFont="1" applyAlignment="1">
      <alignment horizontal="center" vertical="center"/>
    </xf>
  </cellXfs>
  <cellStyles count="75">
    <cellStyle name=" Writer Import]_x000d__x000a_Display Dialog=No_x000d__x000a__x000d__x000a_[Horizontal Arrange]_x000d__x000a_Dimensions Interlocking=Yes_x000d__x000a_Sum Hierarchy=Yes_x000d__x000a_Generate" xfId="2"/>
    <cellStyle name="_Data_forecast 2002-3_Bonus 1st Forecast_110305 " xfId="3"/>
    <cellStyle name="_Data_forecast 2002-3_Spartenkonsolidierung Planung2003 IAS_Bonus 1st Forecast_110305 " xfId="4"/>
    <cellStyle name="_Data_forecast 2002-3_Spartenkonsolidierung Planung2003 IAS_Budget 2006 adjusted " xfId="5"/>
    <cellStyle name="_Data_Ist-0200 zu Budget 9899_Bonus 1st Forecast_110305 " xfId="6"/>
    <cellStyle name="_Data_Ist-0200 zu Budget 9899_Budget 2006 adjusted " xfId="7"/>
    <cellStyle name="_Data_Ist-0200 zu Budget 9899_Spartenkonsolidierung Planung2003 IAS_Bonus 1st Forecast_110305 " xfId="8"/>
    <cellStyle name="_Data_Ist-0200 zu Budget 9899_Spartenkonsolidierung Planung2003 IAS_Budget 2006 adjusted " xfId="9"/>
    <cellStyle name="_Data_Ist-0400 zu Budget 9899_Bonus 1st Forecast_110305 " xfId="10"/>
    <cellStyle name="_Data_Ist-0400 zu Budget 9899_Budget 2006 adjusted " xfId="11"/>
    <cellStyle name="_Data_Ist-0400 zu Budget 9899_Spartenkonsolidierung Planung2003 IAS_Bonus 1st Forecast_110305 " xfId="12"/>
    <cellStyle name="_Data_Ist-0400 zu Budget 9899_Spartenkonsolidierung Planung2003 IAS_Budget 2006 adjusted " xfId="13"/>
    <cellStyle name="_Data_Norge_Bonus 1st Forecast_110305 " xfId="14"/>
    <cellStyle name="_Data_Norge_Budget 2006 adjusted " xfId="15"/>
    <cellStyle name="_Data_Norge_Spartenkonsolidierung Planung2003 IAS_Bonus 1st Forecast_110305 " xfId="16"/>
    <cellStyle name="_Data_Norge_Spartenkonsolidierung Planung2003 IAS_Budget 2006 adjusted " xfId="17"/>
    <cellStyle name="_Data_Tabelle1_Bonus 1st Forecast_110305 " xfId="18"/>
    <cellStyle name="_Data_Tabelle1_Budget 2006 adjusted " xfId="19"/>
    <cellStyle name="_Data_Tabelle1_Spartenkonsolidierung Planung2003 IAS_Bonus 1st Forecast_110305 " xfId="20"/>
    <cellStyle name="_Data_Tabelle1_Spartenkonsolidierung Planung2003 IAS_Budget 2006 adjusted " xfId="21"/>
    <cellStyle name="20% - Accent1" xfId="45" builtinId="30" hidden="1"/>
    <cellStyle name="20% - Accent2" xfId="49" builtinId="34" hidden="1"/>
    <cellStyle name="20% - Accent3" xfId="53" builtinId="38" hidden="1"/>
    <cellStyle name="20% - Accent4" xfId="57" builtinId="42" hidden="1"/>
    <cellStyle name="20% - Accent5" xfId="61" builtinId="46" hidden="1"/>
    <cellStyle name="20% - Accent6" xfId="65" builtinId="50" hidden="1"/>
    <cellStyle name="40% - Accent1" xfId="46" builtinId="31" hidden="1"/>
    <cellStyle name="40% - Accent2" xfId="50" builtinId="35" hidden="1"/>
    <cellStyle name="40% - Accent3" xfId="54" builtinId="39" hidden="1"/>
    <cellStyle name="40% - Accent4" xfId="58" builtinId="43" hidden="1"/>
    <cellStyle name="40% - Accent5" xfId="62" builtinId="47" hidden="1"/>
    <cellStyle name="40% - Accent6" xfId="66" builtinId="51" hidden="1"/>
    <cellStyle name="60% - Accent1" xfId="47" builtinId="32" hidden="1"/>
    <cellStyle name="60% - Accent2" xfId="51" builtinId="36" hidden="1"/>
    <cellStyle name="60% - Accent3" xfId="55" builtinId="40" hidden="1"/>
    <cellStyle name="60% - Accent4" xfId="59" builtinId="44" hidden="1"/>
    <cellStyle name="60% - Accent5" xfId="63" builtinId="48" hidden="1"/>
    <cellStyle name="60% - Accent6" xfId="67" builtinId="52" hidden="1"/>
    <cellStyle name="Accent1" xfId="44" builtinId="29" hidden="1"/>
    <cellStyle name="Accent2" xfId="48" builtinId="33" hidden="1"/>
    <cellStyle name="Accent3" xfId="52" builtinId="37" hidden="1"/>
    <cellStyle name="Accent4" xfId="56" builtinId="41" hidden="1"/>
    <cellStyle name="Accent5" xfId="60" builtinId="45" hidden="1"/>
    <cellStyle name="Accent6" xfId="64" builtinId="49" hidden="1"/>
    <cellStyle name="Bad" xfId="33" builtinId="27" hidden="1"/>
    <cellStyle name="Calculation" xfId="37" builtinId="22" hidden="1"/>
    <cellStyle name="Check Cell" xfId="39" builtinId="23" hidden="1"/>
    <cellStyle name="Comma" xfId="23" builtinId="3" hidden="1"/>
    <cellStyle name="Comma [0]" xfId="24" hidden="1"/>
    <cellStyle name="Currency" xfId="25" builtinId="4" hidden="1"/>
    <cellStyle name="Currency [0]" xfId="26" hidden="1"/>
    <cellStyle name="Currency1" xfId="72"/>
    <cellStyle name="Currency2" xfId="73"/>
    <cellStyle name="Explanatory Text" xfId="42" builtinId="53" hidden="1"/>
    <cellStyle name="Followed Hyperlink" xfId="74"/>
    <cellStyle name="Good" xfId="32" builtinId="26" hidden="1"/>
    <cellStyle name="Head" xfId="68"/>
    <cellStyle name="Heading 1" xfId="28" builtinId="16" hidden="1"/>
    <cellStyle name="Heading 2" xfId="29" builtinId="17" hidden="1"/>
    <cellStyle name="Heading 3" xfId="30" builtinId="18" hidden="1"/>
    <cellStyle name="Heading 4" xfId="31" builtinId="19" hidden="1"/>
    <cellStyle name="Input" xfId="35" builtinId="20" hidden="1"/>
    <cellStyle name="Input BG" xfId="69"/>
    <cellStyle name="Linked Cell" xfId="38" builtinId="24" hidden="1"/>
    <cellStyle name="Neutral" xfId="34" builtinId="28" hidden="1"/>
    <cellStyle name="Normal" xfId="0" builtinId="0" customBuiltin="1"/>
    <cellStyle name="Note" xfId="41" builtinId="10" hidden="1"/>
    <cellStyle name="Output" xfId="36" builtinId="21" hidden="1"/>
    <cellStyle name="Percent" xfId="1" builtinId="5" hidden="1"/>
    <cellStyle name="Standard 2" xfId="71"/>
    <cellStyle name="Subdhead" xfId="70"/>
    <cellStyle name="Title" xfId="27" builtinId="15" hidden="1"/>
    <cellStyle name="Total" xfId="43" builtinId="25" hidden="1"/>
    <cellStyle name="Warning Text" xfId="40" builtinId="11" hidden="1"/>
    <cellStyle name="뷭?_BOOKSHIP_상세일정 (2) (2) " xfId="22"/>
  </cellStyles>
  <dxfs count="3">
    <dxf>
      <font>
        <color rgb="FF7AB800"/>
      </font>
      <fill>
        <patternFill>
          <bgColor rgb="FFBDDC80"/>
        </patternFill>
      </fill>
      <border>
        <left/>
        <right/>
        <top/>
        <bottom/>
        <vertical/>
        <horizontal/>
      </border>
    </dxf>
    <dxf>
      <font>
        <color rgb="FF7AB800"/>
      </font>
      <fill>
        <patternFill>
          <bgColor rgb="FFBDDC80"/>
        </patternFill>
      </fill>
      <border>
        <left/>
        <right/>
        <top/>
        <bottom/>
        <vertical/>
        <horizontal/>
      </border>
    </dxf>
    <dxf>
      <font>
        <color rgb="FFA79E70"/>
      </font>
      <fill>
        <patternFill>
          <bgColor rgb="FFD3CFB8"/>
        </patternFill>
      </fill>
      <border>
        <left/>
        <right/>
        <top/>
        <bottom/>
        <vertical/>
        <horizontal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00338D"/>
      <rgbColor rgb="000091DA"/>
      <rgbColor rgb="006D2077"/>
      <rgbColor rgb="00005EB8"/>
      <rgbColor rgb="0000A3A1"/>
      <rgbColor rgb="00EAAA00"/>
      <rgbColor rgb="0043B02A"/>
      <rgbColor rgb="00C6007E"/>
      <rgbColor rgb="0000338D"/>
      <rgbColor rgb="000091DA"/>
      <rgbColor rgb="006D2077"/>
      <rgbColor rgb="00005EB8"/>
      <rgbColor rgb="0000A3A1"/>
      <rgbColor rgb="00EAAA00"/>
      <rgbColor rgb="0043B02A"/>
      <rgbColor rgb="00C6007E"/>
      <rgbColor rgb="00753F19"/>
      <rgbColor rgb="009B642E"/>
      <rgbColor rgb="009D9375"/>
      <rgbColor rgb="00E3BC9F"/>
      <rgbColor rgb="00E36877"/>
      <rgbColor rgb="00E5F1FA"/>
      <rgbColor rgb="00B6646B"/>
      <rgbColor rgb="00E7CBCE"/>
      <rgbColor rgb="003366FF"/>
      <rgbColor rgb="0033CCCC"/>
      <rgbColor rgb="0099CC00"/>
      <rgbColor rgb="00F5B36A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6E9EE"/>
      <rgbColor rgb="00333399"/>
      <rgbColor rgb="00333333"/>
    </indexedColors>
    <mruColors>
      <color rgb="FF009A44"/>
      <color rgb="FF007C92"/>
      <color rgb="FF8E258D"/>
      <color rgb="FF7AB800"/>
      <color rgb="FFBFDEE4"/>
      <color rgb="FFE3C9E3"/>
      <color rgb="FF4066AA"/>
      <color rgb="FFBDDC80"/>
      <color rgb="FFA79E70"/>
      <color rgb="FFD3CF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3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Relationship Id="rId35" Type="http://schemas.openxmlformats.org/officeDocument/2006/relationships/sharedStrings" Target="sharedStrings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_rels/chart1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1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2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2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1.xml"/></Relationships>
</file>

<file path=xl/charts/_rels/chart2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2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3.xml"/></Relationships>
</file>

<file path=xl/charts/_rels/chart2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2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5.xml"/></Relationships>
</file>

<file path=xl/charts/_rels/chart2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_rels/chart3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7.xml"/></Relationships>
</file>

<file path=xl/charts/_rels/chart3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8.xml"/></Relationships>
</file>

<file path=xl/charts/_rels/chart3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9.xml"/></Relationships>
</file>

<file path=xl/charts/_rels/chart3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0.xml"/></Relationships>
</file>

<file path=xl/charts/_rels/chart3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1.xml"/></Relationships>
</file>

<file path=xl/charts/_rels/chart3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2.xml"/></Relationships>
</file>

<file path=xl/charts/_rels/chart3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3.xml"/></Relationships>
</file>

<file path=xl/charts/_rels/chart4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6.xml"/></Relationships>
</file>

<file path=xl/charts/_rels/chart4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7.xml"/></Relationships>
</file>

<file path=xl/charts/_rels/chart4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8.xml"/></Relationships>
</file>

<file path=xl/charts/_rels/chart4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9.xml"/></Relationships>
</file>

<file path=xl/charts/_rels/chart4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0.xml"/></Relationships>
</file>

<file path=xl/charts/_rels/chart4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1.xml"/></Relationships>
</file>

<file path=xl/charts/_rels/chart4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2.xml"/></Relationships>
</file>

<file path=xl/charts/_rels/chart5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3.xml"/></Relationships>
</file>

<file path=xl/charts/_rels/chart5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4.xml"/></Relationships>
</file>

<file path=xl/charts/_rels/chart5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5.xml"/></Relationships>
</file>

<file path=xl/charts/_rels/chart5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6.xml"/></Relationships>
</file>

<file path=xl/charts/_rels/chart5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7.xml"/></Relationships>
</file>

<file path=xl/charts/_rels/chart5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8.xml"/></Relationships>
</file>

<file path=xl/charts/_rels/chart5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9.xml"/></Relationships>
</file>

<file path=xl/charts/_rels/chart6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0.xml"/></Relationships>
</file>

<file path=xl/charts/_rels/chart6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1.xml"/></Relationships>
</file>

<file path=xl/charts/_rels/chart6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2.xml"/></Relationships>
</file>

<file path=xl/charts/_rels/chart7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5.xml"/></Relationships>
</file>

<file path=xl/charts/_rels/chart7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8.xml"/></Relationships>
</file>

<file path=xl/charts/_rels/chart7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2.xml"/></Relationships>
</file>

<file path=xl/charts/_rels/chart7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3.xml"/></Relationships>
</file>

<file path=xl/charts/_rels/chart8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4.xml"/></Relationships>
</file>

<file path=xl/charts/_rels/chart8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6.xml"/></Relationships>
</file>

<file path=xl/charts/_rels/chart8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7.xml"/></Relationships>
</file>

<file path=xl/charts/_rels/chart8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8.xml"/></Relationships>
</file>

<file path=xl/charts/_rels/chart8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9.xml"/></Relationships>
</file>

<file path=xl/charts/_rels/chart8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1.xml"/></Relationships>
</file>

<file path=xl/charts/_rels/chart9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3.xml"/></Relationships>
</file>

<file path=xl/charts/_rels/chart9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4.xml"/></Relationships>
</file>

<file path=xl/charts/_rels/chart9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5.xml"/></Relationships>
</file>

<file path=xl/charts/_rels/chart9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6.xml"/></Relationships>
</file>

<file path=xl/charts/_rels/chart9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7.xml"/></Relationships>
</file>

<file path=xl/charts/_rels/chart9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0285714285714288"/>
          <c:y val="0.2"/>
          <c:w val="0.33142857142857718"/>
          <c:h val="0.52727272727272656"/>
        </c:manualLayout>
      </c:layout>
      <c:pieChart>
        <c:varyColors val="1"/>
        <c:ser>
          <c:idx val="0"/>
          <c:order val="0"/>
          <c:tx>
            <c:strRef>
              <c:f>'11_Currency'!$A$17:$A$18</c:f>
              <c:strCache>
                <c:ptCount val="2"/>
                <c:pt idx="0">
                  <c:v>EUR</c:v>
                </c:pt>
                <c:pt idx="1">
                  <c:v>USD</c:v>
                </c:pt>
              </c:strCache>
            </c:strRef>
          </c:tx>
          <c:spPr>
            <a:ln>
              <a:solidFill>
                <a:srgbClr val="FFFFFF"/>
              </a:solidFill>
              <a:prstDash val="solid"/>
            </a:ln>
          </c:spPr>
          <c:dPt>
            <c:idx val="0"/>
            <c:bubble3D val="0"/>
            <c:spPr>
              <a:solidFill>
                <a:schemeClr val="tx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Pt>
            <c:idx val="1"/>
            <c:bubble3D val="0"/>
            <c:spPr>
              <a:solidFill>
                <a:schemeClr val="accent1"/>
              </a:solidFill>
              <a:ln>
                <a:solidFill>
                  <a:srgbClr val="FFFFFF"/>
                </a:solidFill>
                <a:prstDash val="solid"/>
              </a:ln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>
                  <a:solidFill>
                    <a:srgbClr val="000000"/>
                  </a:solidFill>
                  <a:prstDash val="solid"/>
                </a:ln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'11_Currency'!$A$17:$A$18</c:f>
              <c:strCache>
                <c:ptCount val="2"/>
                <c:pt idx="0">
                  <c:v>EUR</c:v>
                </c:pt>
                <c:pt idx="1">
                  <c:v>USD</c:v>
                </c:pt>
              </c:strCache>
            </c:strRef>
          </c:cat>
          <c:val>
            <c:numRef>
              <c:f>'11_Currency'!$B$17:$B$18</c:f>
              <c:numCache>
                <c:formatCode>General</c:formatCode>
                <c:ptCount val="2"/>
                <c:pt idx="0">
                  <c:v>65</c:v>
                </c:pt>
                <c:pt idx="1">
                  <c:v>35</c:v>
                </c:pt>
              </c:numCache>
            </c:numRef>
          </c:val>
        </c:ser>
        <c:ser>
          <c:idx val="1"/>
          <c:order val="1"/>
          <c:tx>
            <c:strRef>
              <c:f>'11_Currency'!$A$18</c:f>
              <c:strCache>
                <c:ptCount val="1"/>
                <c:pt idx="0">
                  <c:v>USD</c:v>
                </c:pt>
              </c:strCache>
            </c:strRef>
          </c:tx>
          <c:dPt>
            <c:idx val="0"/>
            <c:bubble3D val="0"/>
            <c:spPr>
              <a:solidFill>
                <a:srgbClr val="409DAD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>
                  <a:solidFill>
                    <a:srgbClr val="000000"/>
                  </a:solidFill>
                  <a:prstDash val="solid"/>
                </a:ln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'11_Currency'!$A$17:$A$18</c:f>
              <c:strCache>
                <c:ptCount val="2"/>
                <c:pt idx="0">
                  <c:v>EUR</c:v>
                </c:pt>
                <c:pt idx="1">
                  <c:v>USD</c:v>
                </c:pt>
              </c:strCache>
            </c:strRef>
          </c:cat>
          <c:val>
            <c:numRef>
              <c:f>'11_Currency'!$B$18</c:f>
              <c:numCache>
                <c:formatCode>General</c:formatCode>
                <c:ptCount val="1"/>
                <c:pt idx="0">
                  <c:v>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37453768278965588"/>
          <c:y val="0.79615640658554065"/>
          <c:w val="0.17092463442069741"/>
          <c:h val="6.7479957050823533E-2"/>
        </c:manualLayout>
      </c:layout>
      <c:overlay val="0"/>
    </c:legend>
    <c:plotVisOnly val="1"/>
    <c:dispBlanksAs val="zero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0285714285714288"/>
          <c:y val="0.2"/>
          <c:w val="0.33142857142857718"/>
          <c:h val="0.52727272727272656"/>
        </c:manualLayout>
      </c:layout>
      <c:pieChart>
        <c:varyColors val="1"/>
        <c:ser>
          <c:idx val="0"/>
          <c:order val="0"/>
          <c:tx>
            <c:strRef>
              <c:f>'11_Currency'!$A$22:$A$23</c:f>
              <c:strCache>
                <c:ptCount val="2"/>
                <c:pt idx="0">
                  <c:v>EUR</c:v>
                </c:pt>
                <c:pt idx="1">
                  <c:v>USD</c:v>
                </c:pt>
              </c:strCache>
            </c:strRef>
          </c:tx>
          <c:spPr>
            <a:ln>
              <a:solidFill>
                <a:srgbClr val="FFFFFF"/>
              </a:solidFill>
              <a:prstDash val="solid"/>
            </a:ln>
          </c:spPr>
          <c:dPt>
            <c:idx val="0"/>
            <c:bubble3D val="0"/>
            <c:spPr>
              <a:solidFill>
                <a:schemeClr val="tx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Pt>
            <c:idx val="1"/>
            <c:bubble3D val="0"/>
            <c:spPr>
              <a:solidFill>
                <a:schemeClr val="accent1"/>
              </a:solidFill>
              <a:ln>
                <a:solidFill>
                  <a:srgbClr val="FFFFFF"/>
                </a:solidFill>
                <a:prstDash val="solid"/>
              </a:ln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>
                  <a:solidFill>
                    <a:srgbClr val="000000"/>
                  </a:solidFill>
                  <a:prstDash val="solid"/>
                </a:ln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'11_Currency'!$A$22:$A$23</c:f>
              <c:strCache>
                <c:ptCount val="2"/>
                <c:pt idx="0">
                  <c:v>EUR</c:v>
                </c:pt>
                <c:pt idx="1">
                  <c:v>USD</c:v>
                </c:pt>
              </c:strCache>
            </c:strRef>
          </c:cat>
          <c:val>
            <c:numRef>
              <c:f>'11_Currency'!$B$22:$B$23</c:f>
              <c:numCache>
                <c:formatCode>General</c:formatCode>
                <c:ptCount val="2"/>
                <c:pt idx="0">
                  <c:v>62</c:v>
                </c:pt>
                <c:pt idx="1">
                  <c:v>38</c:v>
                </c:pt>
              </c:numCache>
            </c:numRef>
          </c:val>
        </c:ser>
        <c:ser>
          <c:idx val="1"/>
          <c:order val="1"/>
          <c:tx>
            <c:strRef>
              <c:f>'11_Currency'!$A$23</c:f>
              <c:strCache>
                <c:ptCount val="1"/>
                <c:pt idx="0">
                  <c:v>USD</c:v>
                </c:pt>
              </c:strCache>
            </c:strRef>
          </c:tx>
          <c:dPt>
            <c:idx val="0"/>
            <c:bubble3D val="0"/>
            <c:spPr>
              <a:solidFill>
                <a:srgbClr val="409DAD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>
                  <a:solidFill>
                    <a:srgbClr val="000000"/>
                  </a:solidFill>
                  <a:prstDash val="solid"/>
                </a:ln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'11_Currency'!$A$22:$A$23</c:f>
              <c:strCache>
                <c:ptCount val="2"/>
                <c:pt idx="0">
                  <c:v>EUR</c:v>
                </c:pt>
                <c:pt idx="1">
                  <c:v>USD</c:v>
                </c:pt>
              </c:strCache>
            </c:strRef>
          </c:cat>
          <c:val>
            <c:numRef>
              <c:f>'11_Currency'!$B$23</c:f>
              <c:numCache>
                <c:formatCode>General</c:formatCode>
                <c:ptCount val="1"/>
                <c:pt idx="0">
                  <c:v>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380251968503937"/>
          <c:y val="0.79161095204009213"/>
          <c:w val="0.17092463442069741"/>
          <c:h val="6.7479957050823533E-2"/>
        </c:manualLayout>
      </c:layout>
      <c:overlay val="0"/>
    </c:legend>
    <c:plotVisOnly val="1"/>
    <c:dispBlanksAs val="zero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01664791901014"/>
          <c:y val="0.15212491052254831"/>
          <c:w val="0.59570956130483688"/>
          <c:h val="0.38413278453829636"/>
        </c:manualLayout>
      </c:layout>
      <c:lineChart>
        <c:grouping val="standard"/>
        <c:varyColors val="0"/>
        <c:ser>
          <c:idx val="0"/>
          <c:order val="0"/>
          <c:tx>
            <c:strRef>
              <c:f>'11_Currency'!$A$46</c:f>
              <c:strCache>
                <c:ptCount val="1"/>
                <c:pt idx="0">
                  <c:v>Plan exchange rate</c:v>
                </c:pt>
              </c:strCache>
            </c:strRef>
          </c:tx>
          <c:spPr>
            <a:ln w="12700">
              <a:solidFill>
                <a:srgbClr val="00338D"/>
              </a:solidFill>
              <a:prstDash val="solid"/>
            </a:ln>
          </c:spPr>
          <c:marker>
            <c:symbol val="diamond"/>
            <c:size val="3"/>
            <c:spPr>
              <a:solidFill>
                <a:srgbClr val="00338D"/>
              </a:solidFill>
              <a:ln>
                <a:solidFill>
                  <a:srgbClr val="00338D"/>
                </a:solidFill>
                <a:prstDash val="solid"/>
              </a:ln>
            </c:spPr>
          </c:marker>
          <c:cat>
            <c:multiLvlStrRef>
              <c:f>'11_Currency'!$B$44:$M$45</c:f>
              <c:multiLvlStrCache>
                <c:ptCount val="12"/>
                <c:lvl>
                  <c:pt idx="0">
                    <c:v>1Q</c:v>
                  </c:pt>
                  <c:pt idx="1">
                    <c:v>2Q</c:v>
                  </c:pt>
                  <c:pt idx="2">
                    <c:v>3Q</c:v>
                  </c:pt>
                  <c:pt idx="3">
                    <c:v>4Q</c:v>
                  </c:pt>
                  <c:pt idx="4">
                    <c:v>1Q</c:v>
                  </c:pt>
                  <c:pt idx="5">
                    <c:v>2Q</c:v>
                  </c:pt>
                  <c:pt idx="6">
                    <c:v>3Q</c:v>
                  </c:pt>
                  <c:pt idx="7">
                    <c:v>4Q</c:v>
                  </c:pt>
                  <c:pt idx="8">
                    <c:v>1Q</c:v>
                  </c:pt>
                  <c:pt idx="9">
                    <c:v>2Q</c:v>
                  </c:pt>
                  <c:pt idx="10">
                    <c:v>3Q</c:v>
                  </c:pt>
                  <c:pt idx="11">
                    <c:v>4Q</c:v>
                  </c:pt>
                </c:lvl>
                <c:lvl>
                  <c:pt idx="0">
                    <c:v>2013</c:v>
                  </c:pt>
                  <c:pt idx="4">
                    <c:v>2014</c:v>
                  </c:pt>
                  <c:pt idx="8">
                    <c:v>2015</c:v>
                  </c:pt>
                </c:lvl>
              </c:multiLvlStrCache>
            </c:multiLvlStrRef>
          </c:cat>
          <c:val>
            <c:numRef>
              <c:f>'11_Currency'!$B$46:$M$46</c:f>
              <c:numCache>
                <c:formatCode>General</c:formatCode>
                <c:ptCount val="12"/>
                <c:pt idx="0">
                  <c:v>0.75700000000000001</c:v>
                </c:pt>
                <c:pt idx="1">
                  <c:v>0.75700000000000001</c:v>
                </c:pt>
                <c:pt idx="2">
                  <c:v>0.75700000000000001</c:v>
                </c:pt>
                <c:pt idx="3">
                  <c:v>0.75700000000000001</c:v>
                </c:pt>
                <c:pt idx="4">
                  <c:v>0.75700000000000001</c:v>
                </c:pt>
                <c:pt idx="5">
                  <c:v>0.75700000000000001</c:v>
                </c:pt>
                <c:pt idx="6">
                  <c:v>0.75700000000000001</c:v>
                </c:pt>
                <c:pt idx="7">
                  <c:v>0.75700000000000001</c:v>
                </c:pt>
                <c:pt idx="8">
                  <c:v>0.75700000000000001</c:v>
                </c:pt>
                <c:pt idx="9">
                  <c:v>0.75700000000000001</c:v>
                </c:pt>
                <c:pt idx="10">
                  <c:v>0.75700000000000001</c:v>
                </c:pt>
                <c:pt idx="11">
                  <c:v>0.75700000000000001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'11_Currency'!$A$47</c:f>
              <c:strCache>
                <c:ptCount val="1"/>
                <c:pt idx="0">
                  <c:v>Forward exchange rate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0091DA"/>
              </a:solidFill>
              <a:ln>
                <a:solidFill>
                  <a:srgbClr val="0091DA"/>
                </a:solidFill>
                <a:prstDash val="solid"/>
              </a:ln>
            </c:spPr>
          </c:marker>
          <c:cat>
            <c:multiLvlStrRef>
              <c:f>'11_Currency'!$B$44:$M$45</c:f>
              <c:multiLvlStrCache>
                <c:ptCount val="12"/>
                <c:lvl>
                  <c:pt idx="0">
                    <c:v>1Q</c:v>
                  </c:pt>
                  <c:pt idx="1">
                    <c:v>2Q</c:v>
                  </c:pt>
                  <c:pt idx="2">
                    <c:v>3Q</c:v>
                  </c:pt>
                  <c:pt idx="3">
                    <c:v>4Q</c:v>
                  </c:pt>
                  <c:pt idx="4">
                    <c:v>1Q</c:v>
                  </c:pt>
                  <c:pt idx="5">
                    <c:v>2Q</c:v>
                  </c:pt>
                  <c:pt idx="6">
                    <c:v>3Q</c:v>
                  </c:pt>
                  <c:pt idx="7">
                    <c:v>4Q</c:v>
                  </c:pt>
                  <c:pt idx="8">
                    <c:v>1Q</c:v>
                  </c:pt>
                  <c:pt idx="9">
                    <c:v>2Q</c:v>
                  </c:pt>
                  <c:pt idx="10">
                    <c:v>3Q</c:v>
                  </c:pt>
                  <c:pt idx="11">
                    <c:v>4Q</c:v>
                  </c:pt>
                </c:lvl>
                <c:lvl>
                  <c:pt idx="0">
                    <c:v>2013</c:v>
                  </c:pt>
                  <c:pt idx="4">
                    <c:v>2014</c:v>
                  </c:pt>
                  <c:pt idx="8">
                    <c:v>2015</c:v>
                  </c:pt>
                </c:lvl>
              </c:multiLvlStrCache>
            </c:multiLvlStrRef>
          </c:cat>
          <c:val>
            <c:numRef>
              <c:f>'11_Currency'!$B$47:$M$47</c:f>
              <c:numCache>
                <c:formatCode>General</c:formatCode>
                <c:ptCount val="12"/>
                <c:pt idx="0">
                  <c:v>0.75900000000000001</c:v>
                </c:pt>
                <c:pt idx="1">
                  <c:v>0.77300000000000002</c:v>
                </c:pt>
                <c:pt idx="2">
                  <c:v>0.78300000000000003</c:v>
                </c:pt>
                <c:pt idx="3">
                  <c:v>0.79600000000000004</c:v>
                </c:pt>
                <c:pt idx="4">
                  <c:v>0.81100000000000005</c:v>
                </c:pt>
                <c:pt idx="5">
                  <c:v>0.83099999999999996</c:v>
                </c:pt>
                <c:pt idx="6">
                  <c:v>0.72</c:v>
                </c:pt>
                <c:pt idx="7">
                  <c:v>0.71899999999999997</c:v>
                </c:pt>
                <c:pt idx="8">
                  <c:v>0.71099999999999997</c:v>
                </c:pt>
                <c:pt idx="9">
                  <c:v>0.69899999999999995</c:v>
                </c:pt>
                <c:pt idx="10">
                  <c:v>0.76100000000000001</c:v>
                </c:pt>
                <c:pt idx="11">
                  <c:v>0.76600000000000001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3469904"/>
        <c:axId val="503470688"/>
      </c:lineChart>
      <c:catAx>
        <c:axId val="503469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03470688"/>
        <c:crosses val="autoZero"/>
        <c:auto val="1"/>
        <c:lblAlgn val="ctr"/>
        <c:lblOffset val="100"/>
        <c:noMultiLvlLbl val="0"/>
      </c:catAx>
      <c:valAx>
        <c:axId val="50347068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en-US"/>
                  <a:t>EUR</a:t>
                </a:r>
              </a:p>
            </c:rich>
          </c:tx>
          <c:layout>
            <c:manualLayout>
              <c:xMode val="edge"/>
              <c:yMode val="edge"/>
              <c:x val="2.5714285714285714E-2"/>
              <c:y val="0.29218002863278453"/>
            </c:manualLayout>
          </c:layout>
          <c:overlay val="0"/>
        </c:title>
        <c:numFmt formatCode="#,##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03469904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8.1319010123734534E-2"/>
          <c:y val="0.7"/>
          <c:w val="0.68307604049493809"/>
          <c:h val="6.7479957050823186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25400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44889912502513"/>
          <c:y val="0.11502751828118279"/>
          <c:w val="0.72450168020635453"/>
          <c:h val="0.45214939941698573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'10_Sales &amp; GP'!$B$26</c:f>
              <c:strCache>
                <c:ptCount val="1"/>
                <c:pt idx="0">
                  <c:v>Market share XXX AG 2012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strRef>
              <c:f>'10_Sales &amp; GP'!$A$27:$A$31</c:f>
              <c:strCache>
                <c:ptCount val="5"/>
                <c:pt idx="0">
                  <c:v>Germany</c:v>
                </c:pt>
                <c:pt idx="1">
                  <c:v>France</c:v>
                </c:pt>
                <c:pt idx="2">
                  <c:v>Netherlands</c:v>
                </c:pt>
                <c:pt idx="3">
                  <c:v>Poland</c:v>
                </c:pt>
                <c:pt idx="4">
                  <c:v>Serbia</c:v>
                </c:pt>
              </c:strCache>
            </c:strRef>
          </c:cat>
          <c:val>
            <c:numRef>
              <c:f>'10_Sales &amp; GP'!$B$27:$B$31</c:f>
              <c:numCache>
                <c:formatCode>0.0</c:formatCode>
                <c:ptCount val="5"/>
                <c:pt idx="0">
                  <c:v>19.2</c:v>
                </c:pt>
                <c:pt idx="1">
                  <c:v>9</c:v>
                </c:pt>
                <c:pt idx="2">
                  <c:v>0.75</c:v>
                </c:pt>
                <c:pt idx="3">
                  <c:v>0.5</c:v>
                </c:pt>
                <c:pt idx="4">
                  <c:v>0.15000000000000002</c:v>
                </c:pt>
              </c:numCache>
            </c:numRef>
          </c:val>
        </c:ser>
        <c:ser>
          <c:idx val="0"/>
          <c:order val="1"/>
          <c:tx>
            <c:strRef>
              <c:f>'10_Sales &amp; GP'!$C$26</c:f>
              <c:strCache>
                <c:ptCount val="1"/>
                <c:pt idx="0">
                  <c:v>Market share of the competitors 2012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strRef>
              <c:f>'10_Sales &amp; GP'!$A$27:$A$31</c:f>
              <c:strCache>
                <c:ptCount val="5"/>
                <c:pt idx="0">
                  <c:v>Germany</c:v>
                </c:pt>
                <c:pt idx="1">
                  <c:v>France</c:v>
                </c:pt>
                <c:pt idx="2">
                  <c:v>Netherlands</c:v>
                </c:pt>
                <c:pt idx="3">
                  <c:v>Poland</c:v>
                </c:pt>
                <c:pt idx="4">
                  <c:v>Serbia</c:v>
                </c:pt>
              </c:strCache>
            </c:strRef>
          </c:cat>
          <c:val>
            <c:numRef>
              <c:f>'10_Sales &amp; GP'!$C$27:$C$31</c:f>
              <c:numCache>
                <c:formatCode>0.0</c:formatCode>
                <c:ptCount val="5"/>
                <c:pt idx="0">
                  <c:v>12.8</c:v>
                </c:pt>
                <c:pt idx="1">
                  <c:v>11</c:v>
                </c:pt>
                <c:pt idx="2">
                  <c:v>14.25</c:v>
                </c:pt>
                <c:pt idx="3">
                  <c:v>4.5</c:v>
                </c:pt>
                <c:pt idx="4">
                  <c:v>2.85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578118264"/>
        <c:axId val="578119048"/>
      </c:barChart>
      <c:scatterChart>
        <c:scatterStyle val="lineMarker"/>
        <c:varyColors val="0"/>
        <c:ser>
          <c:idx val="2"/>
          <c:order val="2"/>
          <c:tx>
            <c:strRef>
              <c:f>'10_Sales &amp; GP'!$C$17</c:f>
              <c:strCache>
                <c:ptCount val="1"/>
                <c:pt idx="0">
                  <c:v>Market Growth (CAGR 2012 - 2015)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dLbls>
            <c:dLbl>
              <c:idx val="0"/>
              <c:layout>
                <c:manualLayout>
                  <c:x val="-3.6147110332749602E-2"/>
                  <c:y val="-4.933695736788440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3.6147110332749602E-2"/>
                  <c:y val="4.15721064268353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2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'10_Sales &amp; GP'!$A$18:$A$22</c:f>
              <c:strCache>
                <c:ptCount val="5"/>
                <c:pt idx="0">
                  <c:v>Germany</c:v>
                </c:pt>
                <c:pt idx="1">
                  <c:v>France</c:v>
                </c:pt>
                <c:pt idx="2">
                  <c:v>Netherlands</c:v>
                </c:pt>
                <c:pt idx="3">
                  <c:v>Poland</c:v>
                </c:pt>
                <c:pt idx="4">
                  <c:v>Serbia</c:v>
                </c:pt>
              </c:strCache>
            </c:strRef>
          </c:xVal>
          <c:yVal>
            <c:numRef>
              <c:f>'10_Sales &amp; GP'!$C$18:$C$22</c:f>
              <c:numCache>
                <c:formatCode>0.0%</c:formatCode>
                <c:ptCount val="5"/>
                <c:pt idx="0">
                  <c:v>1.7999999999999999E-2</c:v>
                </c:pt>
                <c:pt idx="1">
                  <c:v>2.3E-2</c:v>
                </c:pt>
                <c:pt idx="2">
                  <c:v>3.6999999999999998E-2</c:v>
                </c:pt>
                <c:pt idx="3">
                  <c:v>7.0000000000000007E-2</c:v>
                </c:pt>
                <c:pt idx="4">
                  <c:v>0.08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'10_Sales &amp; GP'!$E$17</c:f>
              <c:strCache>
                <c:ptCount val="1"/>
                <c:pt idx="0">
                  <c:v>Planned growth rate XXX AG (CAGR 2012 - 2015)</c:v>
                </c:pt>
              </c:strCache>
            </c:strRef>
          </c:tx>
          <c:spPr>
            <a:ln w="12700">
              <a:solidFill>
                <a:schemeClr val="accent3"/>
              </a:solidFill>
              <a:prstDash val="sysDash"/>
            </a:ln>
          </c:spPr>
          <c:marker>
            <c:symbol val="none"/>
          </c:marker>
          <c:xVal>
            <c:strRef>
              <c:f>'10_Sales &amp; GP'!$A$18:$A$22</c:f>
              <c:strCache>
                <c:ptCount val="5"/>
                <c:pt idx="0">
                  <c:v>Germany</c:v>
                </c:pt>
                <c:pt idx="1">
                  <c:v>France</c:v>
                </c:pt>
                <c:pt idx="2">
                  <c:v>Netherlands</c:v>
                </c:pt>
                <c:pt idx="3">
                  <c:v>Poland</c:v>
                </c:pt>
                <c:pt idx="4">
                  <c:v>Serbia</c:v>
                </c:pt>
              </c:strCache>
            </c:strRef>
          </c:xVal>
          <c:yVal>
            <c:numRef>
              <c:f>'10_Sales &amp; GP'!$E$18:$E$22</c:f>
              <c:numCache>
                <c:formatCode>0.0%</c:formatCode>
                <c:ptCount val="5"/>
                <c:pt idx="0">
                  <c:v>2.4E-2</c:v>
                </c:pt>
                <c:pt idx="1">
                  <c:v>2.4E-2</c:v>
                </c:pt>
                <c:pt idx="2">
                  <c:v>2.4E-2</c:v>
                </c:pt>
                <c:pt idx="3">
                  <c:v>2.4E-2</c:v>
                </c:pt>
                <c:pt idx="4">
                  <c:v>2.4E-2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'10_Sales &amp; GP'!$D$26</c:f>
              <c:strCache>
                <c:ptCount val="1"/>
                <c:pt idx="0">
                  <c:v>Company-specific market growth rate (CAGR 2012 - 2015)</c:v>
                </c:pt>
              </c:strCache>
            </c:strRef>
          </c:tx>
          <c:spPr>
            <a:ln w="12700">
              <a:solidFill>
                <a:schemeClr val="accent4"/>
              </a:solidFill>
              <a:prstDash val="sysDash"/>
            </a:ln>
          </c:spPr>
          <c:marker>
            <c:symbol val="none"/>
          </c:marker>
          <c:xVal>
            <c:strRef>
              <c:f>'10_Sales &amp; GP'!$A$18:$A$22</c:f>
              <c:strCache>
                <c:ptCount val="5"/>
                <c:pt idx="0">
                  <c:v>Germany</c:v>
                </c:pt>
                <c:pt idx="1">
                  <c:v>France</c:v>
                </c:pt>
                <c:pt idx="2">
                  <c:v>Netherlands</c:v>
                </c:pt>
                <c:pt idx="3">
                  <c:v>Poland</c:v>
                </c:pt>
                <c:pt idx="4">
                  <c:v>Serbia</c:v>
                </c:pt>
              </c:strCache>
            </c:strRef>
          </c:xVal>
          <c:yVal>
            <c:numRef>
              <c:f>'10_Sales &amp; GP'!$D$27:$D$31</c:f>
              <c:numCache>
                <c:formatCode>0.0%</c:formatCode>
                <c:ptCount val="5"/>
                <c:pt idx="0">
                  <c:v>2.1194256756756756E-2</c:v>
                </c:pt>
                <c:pt idx="1">
                  <c:v>2.1194256756756756E-2</c:v>
                </c:pt>
                <c:pt idx="2">
                  <c:v>2.1194256756756756E-2</c:v>
                </c:pt>
                <c:pt idx="3">
                  <c:v>2.1194256756756756E-2</c:v>
                </c:pt>
                <c:pt idx="4">
                  <c:v>2.1194256756756756E-2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121008"/>
        <c:axId val="578119832"/>
      </c:scatterChart>
      <c:catAx>
        <c:axId val="578118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119048"/>
        <c:crosses val="autoZero"/>
        <c:auto val="1"/>
        <c:lblAlgn val="ctr"/>
        <c:lblOffset val="100"/>
        <c:noMultiLvlLbl val="0"/>
      </c:catAx>
      <c:valAx>
        <c:axId val="578119048"/>
        <c:scaling>
          <c:orientation val="minMax"/>
        </c:scaling>
        <c:delete val="0"/>
        <c:axPos val="l"/>
        <c:title>
          <c:tx>
            <c:strRef>
              <c:f>'10_Sales &amp; GP'!$A$15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5.3357504762613139E-2"/>
              <c:y val="0.2961191319149562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118264"/>
        <c:crosses val="autoZero"/>
        <c:crossBetween val="between"/>
      </c:valAx>
      <c:valAx>
        <c:axId val="578119832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578121008"/>
        <c:crosses val="max"/>
        <c:crossBetween val="midCat"/>
      </c:valAx>
      <c:valAx>
        <c:axId val="578121008"/>
        <c:scaling>
          <c:orientation val="minMax"/>
        </c:scaling>
        <c:delete val="1"/>
        <c:axPos val="b"/>
        <c:majorTickMark val="out"/>
        <c:minorTickMark val="none"/>
        <c:tickLblPos val="none"/>
        <c:crossAx val="578119832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3.3337768137607443E-2"/>
          <c:y val="0.66463432119734855"/>
          <c:w val="0.92541062424663656"/>
          <c:h val="0.1860238648222788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'10_Sales &amp; GP'!$A$45</c:f>
              <c:strCache>
                <c:ptCount val="1"/>
                <c:pt idx="0">
                  <c:v>Segment A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GP'!$B$45:$G$45</c:f>
              <c:numCache>
                <c:formatCode>#,##0.0</c:formatCode>
                <c:ptCount val="6"/>
                <c:pt idx="0">
                  <c:v>30</c:v>
                </c:pt>
                <c:pt idx="1">
                  <c:v>32.400000000000006</c:v>
                </c:pt>
                <c:pt idx="2">
                  <c:v>32.6</c:v>
                </c:pt>
                <c:pt idx="3">
                  <c:v>35.400000000000006</c:v>
                </c:pt>
                <c:pt idx="4">
                  <c:v>36.6</c:v>
                </c:pt>
                <c:pt idx="5">
                  <c:v>41.2</c:v>
                </c:pt>
              </c:numCache>
            </c:numRef>
          </c:val>
        </c:ser>
        <c:ser>
          <c:idx val="1"/>
          <c:order val="1"/>
          <c:tx>
            <c:strRef>
              <c:f>'10_Sales &amp; GP'!$A$47</c:f>
              <c:strCache>
                <c:ptCount val="1"/>
                <c:pt idx="0">
                  <c:v>Segment B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GP'!$B$47:$G$47</c:f>
              <c:numCache>
                <c:formatCode>#,##0.0</c:formatCode>
                <c:ptCount val="6"/>
                <c:pt idx="0">
                  <c:v>12</c:v>
                </c:pt>
                <c:pt idx="1">
                  <c:v>12.96</c:v>
                </c:pt>
                <c:pt idx="2">
                  <c:v>11.94</c:v>
                </c:pt>
                <c:pt idx="3">
                  <c:v>14.16</c:v>
                </c:pt>
                <c:pt idx="4">
                  <c:v>14.639999999999999</c:v>
                </c:pt>
                <c:pt idx="5">
                  <c:v>15.08</c:v>
                </c:pt>
              </c:numCache>
            </c:numRef>
          </c:val>
        </c:ser>
        <c:ser>
          <c:idx val="2"/>
          <c:order val="2"/>
          <c:tx>
            <c:strRef>
              <c:f>'10_Sales &amp; GP'!$A$49</c:f>
              <c:strCache>
                <c:ptCount val="1"/>
                <c:pt idx="0">
                  <c:v>Segment C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GP'!$B$49:$G$49</c:f>
              <c:numCache>
                <c:formatCode>#,##0.0</c:formatCode>
                <c:ptCount val="6"/>
                <c:pt idx="0">
                  <c:v>5</c:v>
                </c:pt>
                <c:pt idx="1">
                  <c:v>5.4</c:v>
                </c:pt>
                <c:pt idx="2">
                  <c:v>7.1</c:v>
                </c:pt>
                <c:pt idx="3">
                  <c:v>5.8999999999999995</c:v>
                </c:pt>
                <c:pt idx="4">
                  <c:v>6.0999999999999988</c:v>
                </c:pt>
                <c:pt idx="5">
                  <c:v>7</c:v>
                </c:pt>
              </c:numCache>
            </c:numRef>
          </c:val>
        </c:ser>
        <c:ser>
          <c:idx val="3"/>
          <c:order val="3"/>
          <c:tx>
            <c:strRef>
              <c:f>'10_Sales &amp; GP'!$A$51</c:f>
              <c:strCache>
                <c:ptCount val="1"/>
                <c:pt idx="0">
                  <c:v>Segment D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tx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GP'!$B$51:$G$51</c:f>
              <c:numCache>
                <c:formatCode>#,##0.0</c:formatCode>
                <c:ptCount val="6"/>
                <c:pt idx="0">
                  <c:v>3</c:v>
                </c:pt>
                <c:pt idx="1">
                  <c:v>3.24</c:v>
                </c:pt>
                <c:pt idx="2">
                  <c:v>4.3600000000000003</c:v>
                </c:pt>
                <c:pt idx="3">
                  <c:v>3.54</c:v>
                </c:pt>
                <c:pt idx="4">
                  <c:v>3.6599999999999997</c:v>
                </c:pt>
                <c:pt idx="5">
                  <c:v>3.72</c:v>
                </c:pt>
              </c:numCache>
            </c:numRef>
          </c:val>
        </c:ser>
        <c:ser>
          <c:idx val="4"/>
          <c:order val="4"/>
          <c:tx>
            <c:v/>
          </c:tx>
          <c:spPr>
            <a:noFill/>
            <a:ln w="25400">
              <a:noFill/>
            </a:ln>
          </c:spPr>
          <c:invertIfNegative val="0"/>
          <c:dLbls>
            <c:dLbl>
              <c:idx val="0"/>
              <c:tx>
                <c:strRef>
                  <c:f>'10_Sales &amp; GP'!$B$53</c:f>
                  <c:strCache>
                    <c:ptCount val="1"/>
                    <c:pt idx="0">
                      <c:v>50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{9839D412-E010-4659-BA11-6C51B56889C4}</c15:txfldGUID>
                      <c15:f>'10_Sales &amp; GP'!$B$53</c15:f>
                      <c15:dlblFieldTableCache>
                        <c:ptCount val="1"/>
                        <c:pt idx="0">
                          <c:v>50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tx>
                <c:strRef>
                  <c:f>'10_Sales &amp; GP'!$C$53</c:f>
                  <c:strCache>
                    <c:ptCount val="1"/>
                    <c:pt idx="0">
                      <c:v>54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{E4F3E3FC-B284-40BF-AB52-887B6909C98F}</c15:txfldGUID>
                      <c15:f>'10_Sales &amp; GP'!$C$53</c15:f>
                      <c15:dlblFieldTableCache>
                        <c:ptCount val="1"/>
                        <c:pt idx="0">
                          <c:v>54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tx>
                <c:strRef>
                  <c:f>'10_Sales &amp; GP'!$D$53</c:f>
                  <c:strCache>
                    <c:ptCount val="1"/>
                    <c:pt idx="0">
                      <c:v>56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{F7E6E76E-D613-4969-AB8C-9D872325AA73}</c15:txfldGUID>
                      <c15:f>'10_Sales &amp; GP'!$D$53</c15:f>
                      <c15:dlblFieldTableCache>
                        <c:ptCount val="1"/>
                        <c:pt idx="0">
                          <c:v>56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tx>
                <c:strRef>
                  <c:f>'10_Sales &amp; GP'!$E$53</c:f>
                  <c:strCache>
                    <c:ptCount val="1"/>
                    <c:pt idx="0">
                      <c:v>59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{3728853A-1076-4B2A-A759-219C57954B42}</c15:txfldGUID>
                      <c15:f>'10_Sales &amp; GP'!$E$53</c15:f>
                      <c15:dlblFieldTableCache>
                        <c:ptCount val="1"/>
                        <c:pt idx="0">
                          <c:v>59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tx>
                <c:strRef>
                  <c:f>'10_Sales &amp; GP'!$F$53</c:f>
                  <c:strCache>
                    <c:ptCount val="1"/>
                    <c:pt idx="0">
                      <c:v>61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{6B2286BA-46B0-46FA-8023-46F383AEF6E0}</c15:txfldGUID>
                      <c15:f>'10_Sales &amp; GP'!$F$53</c15:f>
                      <c15:dlblFieldTableCache>
                        <c:ptCount val="1"/>
                        <c:pt idx="0">
                          <c:v>61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tx>
                <c:strRef>
                  <c:f>'10_Sales &amp; GP'!$G$53</c:f>
                  <c:strCache>
                    <c:ptCount val="1"/>
                    <c:pt idx="0">
                      <c:v>67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{36D81718-D3C5-4B3E-8B58-8037309DD277}</c15:txfldGUID>
                      <c15:f>'10_Sales &amp; GP'!$G$53</c15:f>
                      <c15:dlblFieldTableCache>
                        <c:ptCount val="1"/>
                        <c:pt idx="0">
                          <c:v>67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="horz"/>
              <a:lstStyle/>
              <a:p>
                <a:pPr algn="ctr">
                  <a:defRPr sz="700" b="1">
                    <a:solidFill>
                      <a:srgbClr val="000000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</c:numLit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578110816"/>
        <c:axId val="578111600"/>
      </c:barChart>
      <c:catAx>
        <c:axId val="578110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 b="0">
                <a:solidFill>
                  <a:srgbClr val="000000"/>
                </a:solidFill>
              </a:defRPr>
            </a:pPr>
            <a:endParaRPr lang="en-US"/>
          </a:p>
        </c:txPr>
        <c:crossAx val="578111600"/>
        <c:crosses val="autoZero"/>
        <c:auto val="1"/>
        <c:lblAlgn val="ctr"/>
        <c:lblOffset val="100"/>
        <c:noMultiLvlLbl val="0"/>
      </c:catAx>
      <c:valAx>
        <c:axId val="578111600"/>
        <c:scaling>
          <c:orientation val="minMax"/>
        </c:scaling>
        <c:delete val="0"/>
        <c:axPos val="l"/>
        <c:title>
          <c:tx>
            <c:strRef>
              <c:f>'10_Sales &amp; GP'!$A$56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2.5714292245480171E-2"/>
              <c:y val="0.2835347983792191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 b="0">
                <a:solidFill>
                  <a:srgbClr val="000000"/>
                </a:solidFill>
              </a:defRPr>
            </a:pPr>
            <a:endParaRPr lang="en-US"/>
          </a:p>
        </c:txPr>
        <c:crossAx val="57811081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6746132798123742"/>
          <c:y val="0.69286575887054991"/>
          <c:w val="0.68376917885263744"/>
          <c:h val="6.4501418224501422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99999956" l="0.78740157499999996" r="0.78740157499999996" t="0.98425196899999956" header="0.5" footer="0.5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712300449177929"/>
          <c:y val="9.8047244094488228E-2"/>
          <c:w val="0.53619075671102967"/>
          <c:h val="0.6162865373535626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'10_Sales &amp; GP'!$E$69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GP'!$A$71:$A$75</c:f>
              <c:strCache>
                <c:ptCount val="5"/>
                <c:pt idx="0">
                  <c:v>Segment A</c:v>
                </c:pt>
                <c:pt idx="1">
                  <c:v>Segment B</c:v>
                </c:pt>
                <c:pt idx="2">
                  <c:v>Segment C</c:v>
                </c:pt>
                <c:pt idx="3">
                  <c:v>Segment D</c:v>
                </c:pt>
                <c:pt idx="4">
                  <c:v>Group</c:v>
                </c:pt>
              </c:strCache>
            </c:strRef>
          </c:cat>
          <c:val>
            <c:numRef>
              <c:f>'10_Sales &amp; GP'!$E$71:$E$75</c:f>
              <c:numCache>
                <c:formatCode>#,##0.0%\ ;\(#,##0.0\)%;</c:formatCode>
                <c:ptCount val="5"/>
                <c:pt idx="0">
                  <c:v>8.588957055214741E-2</c:v>
                </c:pt>
                <c:pt idx="1">
                  <c:v>0.18592964824120606</c:v>
                </c:pt>
                <c:pt idx="2">
                  <c:v>-0.16901408450704225</c:v>
                </c:pt>
                <c:pt idx="3">
                  <c:v>-0.18807339449541294</c:v>
                </c:pt>
                <c:pt idx="4">
                  <c:v>5.3571428571428603E-2</c:v>
                </c:pt>
              </c:numCache>
            </c:numRef>
          </c:val>
        </c:ser>
        <c:ser>
          <c:idx val="1"/>
          <c:order val="1"/>
          <c:tx>
            <c:strRef>
              <c:f>'10_Sales &amp; GP'!$F$69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GP'!$A$71:$A$75</c:f>
              <c:strCache>
                <c:ptCount val="5"/>
                <c:pt idx="0">
                  <c:v>Segment A</c:v>
                </c:pt>
                <c:pt idx="1">
                  <c:v>Segment B</c:v>
                </c:pt>
                <c:pt idx="2">
                  <c:v>Segment C</c:v>
                </c:pt>
                <c:pt idx="3">
                  <c:v>Segment D</c:v>
                </c:pt>
                <c:pt idx="4">
                  <c:v>Group</c:v>
                </c:pt>
              </c:strCache>
            </c:strRef>
          </c:cat>
          <c:val>
            <c:numRef>
              <c:f>'10_Sales &amp; GP'!$F$71:$F$75</c:f>
              <c:numCache>
                <c:formatCode>#,##0.0%\ ;\(#,##0.0\)%;</c:formatCode>
                <c:ptCount val="5"/>
                <c:pt idx="0">
                  <c:v>3.3898305084745672E-2</c:v>
                </c:pt>
                <c:pt idx="1">
                  <c:v>3.3898305084745672E-2</c:v>
                </c:pt>
                <c:pt idx="2">
                  <c:v>3.3898305084745672E-2</c:v>
                </c:pt>
                <c:pt idx="3">
                  <c:v>3.3898305084745672E-2</c:v>
                </c:pt>
                <c:pt idx="4">
                  <c:v>3.3898305084745672E-2</c:v>
                </c:pt>
              </c:numCache>
            </c:numRef>
          </c:val>
        </c:ser>
        <c:ser>
          <c:idx val="2"/>
          <c:order val="2"/>
          <c:tx>
            <c:strRef>
              <c:f>'10_Sales &amp; GP'!$G$69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1"/>
              <c:layout>
                <c:manualLayout>
                  <c:x val="-1.1396013952489834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GP'!$A$71:$A$75</c:f>
              <c:strCache>
                <c:ptCount val="5"/>
                <c:pt idx="0">
                  <c:v>Segment A</c:v>
                </c:pt>
                <c:pt idx="1">
                  <c:v>Segment B</c:v>
                </c:pt>
                <c:pt idx="2">
                  <c:v>Segment C</c:v>
                </c:pt>
                <c:pt idx="3">
                  <c:v>Segment D</c:v>
                </c:pt>
                <c:pt idx="4">
                  <c:v>Group</c:v>
                </c:pt>
              </c:strCache>
            </c:strRef>
          </c:cat>
          <c:val>
            <c:numRef>
              <c:f>'10_Sales &amp; GP'!$G$71:$G$75</c:f>
              <c:numCache>
                <c:formatCode>#,##0.0%\ ;\(#,##0.0\)%;</c:formatCode>
                <c:ptCount val="5"/>
                <c:pt idx="0">
                  <c:v>0.12568306010928976</c:v>
                </c:pt>
                <c:pt idx="1">
                  <c:v>3.0054644808743314E-2</c:v>
                </c:pt>
                <c:pt idx="2">
                  <c:v>0.14754098360655754</c:v>
                </c:pt>
                <c:pt idx="3">
                  <c:v>1.639344262295106E-2</c:v>
                </c:pt>
                <c:pt idx="4">
                  <c:v>9.8360655737705027E-2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578113168"/>
        <c:axId val="578113560"/>
      </c:barChart>
      <c:catAx>
        <c:axId val="57811316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578113560"/>
        <c:crosses val="autoZero"/>
        <c:auto val="1"/>
        <c:lblAlgn val="ctr"/>
        <c:lblOffset val="100"/>
        <c:noMultiLvlLbl val="0"/>
      </c:catAx>
      <c:valAx>
        <c:axId val="578113560"/>
        <c:scaling>
          <c:orientation val="minMax"/>
        </c:scaling>
        <c:delete val="0"/>
        <c:axPos val="b"/>
        <c:title>
          <c:tx>
            <c:strRef>
              <c:f>'10_Sales &amp; GP'!$A$68</c:f>
              <c:strCache>
                <c:ptCount val="1"/>
                <c:pt idx="0">
                  <c:v>Sales growth</c:v>
                </c:pt>
              </c:strCache>
            </c:strRef>
          </c:tx>
          <c:layout>
            <c:manualLayout>
              <c:xMode val="edge"/>
              <c:yMode val="edge"/>
              <c:x val="0.41010742883619217"/>
              <c:y val="0.80768258344919464"/>
            </c:manualLayout>
          </c:layout>
          <c:overlay val="0"/>
          <c:txPr>
            <a:bodyPr/>
            <a:lstStyle/>
            <a:p>
              <a:pPr>
                <a:defRPr sz="800"/>
              </a:pPr>
              <a:endParaRPr lang="en-US"/>
            </a:p>
          </c:txPr>
        </c:title>
        <c:numFmt formatCode="#,##0.0%\ ;\(#,##0.0\)%;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crossAx val="57811316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39294651131017505"/>
          <c:y val="0.90867170613732762"/>
          <c:w val="0.26504099985216917"/>
          <c:h val="7.2707731417280999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7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'10_Sales &amp; GP'!$A$101</c:f>
              <c:strCache>
                <c:ptCount val="1"/>
                <c:pt idx="0">
                  <c:v>Segment A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GP'!$B$101:$G$101</c:f>
              <c:numCache>
                <c:formatCode>#,##0.0</c:formatCode>
                <c:ptCount val="6"/>
                <c:pt idx="0">
                  <c:v>19</c:v>
                </c:pt>
                <c:pt idx="1">
                  <c:v>19.8</c:v>
                </c:pt>
                <c:pt idx="2">
                  <c:v>20.501785714285699</c:v>
                </c:pt>
                <c:pt idx="3">
                  <c:v>22.6</c:v>
                </c:pt>
                <c:pt idx="4">
                  <c:v>23.8</c:v>
                </c:pt>
                <c:pt idx="5">
                  <c:v>26.826865671641801</c:v>
                </c:pt>
              </c:numCache>
            </c:numRef>
          </c:val>
        </c:ser>
        <c:ser>
          <c:idx val="1"/>
          <c:order val="1"/>
          <c:tx>
            <c:strRef>
              <c:f>'10_Sales &amp; GP'!$A$104</c:f>
              <c:strCache>
                <c:ptCount val="1"/>
                <c:pt idx="0">
                  <c:v>Segment B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GP'!$B$104:$G$104</c:f>
              <c:numCache>
                <c:formatCode>#,##0.0</c:formatCode>
                <c:ptCount val="6"/>
                <c:pt idx="0">
                  <c:v>6.2</c:v>
                </c:pt>
                <c:pt idx="1">
                  <c:v>7.08</c:v>
                </c:pt>
                <c:pt idx="2">
                  <c:v>6.1426785714285703</c:v>
                </c:pt>
                <c:pt idx="3">
                  <c:v>7.64</c:v>
                </c:pt>
                <c:pt idx="4">
                  <c:v>8.1199999999999992</c:v>
                </c:pt>
                <c:pt idx="5">
                  <c:v>8.4531343283582103</c:v>
                </c:pt>
              </c:numCache>
            </c:numRef>
          </c:val>
        </c:ser>
        <c:ser>
          <c:idx val="2"/>
          <c:order val="2"/>
          <c:tx>
            <c:strRef>
              <c:f>'10_Sales &amp; GP'!$A$107</c:f>
              <c:strCache>
                <c:ptCount val="1"/>
                <c:pt idx="0">
                  <c:v>Segment C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GP'!$B$107:$G$107</c:f>
              <c:numCache>
                <c:formatCode>#,##0.0</c:formatCode>
                <c:ptCount val="6"/>
                <c:pt idx="0">
                  <c:v>3.2</c:v>
                </c:pt>
                <c:pt idx="1">
                  <c:v>3.4</c:v>
                </c:pt>
                <c:pt idx="2">
                  <c:v>4.4473214285714304</c:v>
                </c:pt>
                <c:pt idx="3">
                  <c:v>3.7</c:v>
                </c:pt>
                <c:pt idx="4">
                  <c:v>3.9</c:v>
                </c:pt>
                <c:pt idx="5">
                  <c:v>4.5880597014925399</c:v>
                </c:pt>
              </c:numCache>
            </c:numRef>
          </c:val>
        </c:ser>
        <c:ser>
          <c:idx val="3"/>
          <c:order val="3"/>
          <c:tx>
            <c:strRef>
              <c:f>'10_Sales &amp; GP'!$A$110</c:f>
              <c:strCache>
                <c:ptCount val="1"/>
                <c:pt idx="0">
                  <c:v>Segment D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rgbClr val="00000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GP'!$B$110:$G$110</c:f>
              <c:numCache>
                <c:formatCode>#,##0.0</c:formatCode>
                <c:ptCount val="6"/>
                <c:pt idx="0">
                  <c:v>1.6</c:v>
                </c:pt>
                <c:pt idx="1">
                  <c:v>1.72</c:v>
                </c:pt>
                <c:pt idx="2">
                  <c:v>2.4082142857142901</c:v>
                </c:pt>
                <c:pt idx="3">
                  <c:v>2.06</c:v>
                </c:pt>
                <c:pt idx="4">
                  <c:v>2.1800000000000002</c:v>
                </c:pt>
                <c:pt idx="5">
                  <c:v>2.1319402985074598</c:v>
                </c:pt>
              </c:numCache>
            </c:numRef>
          </c:val>
        </c:ser>
        <c:ser>
          <c:idx val="4"/>
          <c:order val="4"/>
          <c:tx>
            <c:v/>
          </c:tx>
          <c:spPr>
            <a:noFill/>
            <a:ln w="25400">
              <a:noFill/>
            </a:ln>
          </c:spPr>
          <c:invertIfNegative val="0"/>
          <c:dLbls>
            <c:dLbl>
              <c:idx val="0"/>
              <c:tx>
                <c:strRef>
                  <c:f>'10_Sales &amp; GP'!$B$113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{38DD6D67-E728-4D24-89C4-F052FDF58226}</c15:txfldGUID>
                      <c15:f>'10_Sales &amp; GP'!$B$113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tx>
                <c:strRef>
                  <c:f>'10_Sales &amp; GP'!$C$113</c:f>
                  <c:strCache>
                    <c:ptCount val="1"/>
                    <c:pt idx="0">
                      <c:v>32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{A56ED3A2-E038-47EC-87E5-99329FB9E308}</c15:txfldGUID>
                      <c15:f>'10_Sales &amp; GP'!$C$113</c15:f>
                      <c15:dlblFieldTableCache>
                        <c:ptCount val="1"/>
                        <c:pt idx="0">
                          <c:v>32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tx>
                <c:strRef>
                  <c:f>'10_Sales &amp; GP'!$D$113</c:f>
                  <c:strCache>
                    <c:ptCount val="1"/>
                    <c:pt idx="0">
                      <c:v>34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{D60E169D-3EFC-45ED-B7F2-0AF4C631BD1A}</c15:txfldGUID>
                      <c15:f>'10_Sales &amp; GP'!$D$113</c15:f>
                      <c15:dlblFieldTableCache>
                        <c:ptCount val="1"/>
                        <c:pt idx="0">
                          <c:v>34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tx>
                <c:strRef>
                  <c:f>'10_Sales &amp; GP'!$E$113</c:f>
                  <c:strCache>
                    <c:ptCount val="1"/>
                    <c:pt idx="0">
                      <c:v>36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{4495DA6C-792E-4F92-81E3-D02B3A773C44}</c15:txfldGUID>
                      <c15:f>'10_Sales &amp; GP'!$E$113</c15:f>
                      <c15:dlblFieldTableCache>
                        <c:ptCount val="1"/>
                        <c:pt idx="0">
                          <c:v>36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tx>
                <c:strRef>
                  <c:f>'10_Sales &amp; GP'!$F$113</c:f>
                  <c:strCache>
                    <c:ptCount val="1"/>
                    <c:pt idx="0">
                      <c:v>38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{88A14EBA-86FE-49E6-AF04-E75763A45B01}</c15:txfldGUID>
                      <c15:f>'10_Sales &amp; GP'!$F$113</c15:f>
                      <c15:dlblFieldTableCache>
                        <c:ptCount val="1"/>
                        <c:pt idx="0">
                          <c:v>38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tx>
                <c:strRef>
                  <c:f>'10_Sales &amp; GP'!$G$113</c:f>
                  <c:strCache>
                    <c:ptCount val="1"/>
                    <c:pt idx="0">
                      <c:v>42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{034CFC8B-652E-47E8-BE80-0AFB42C0C46C}</c15:txfldGUID>
                      <c15:f>'10_Sales &amp; GP'!$G$113</c15:f>
                      <c15:dlblFieldTableCache>
                        <c:ptCount val="1"/>
                        <c:pt idx="0">
                          <c:v>42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="horz"/>
              <a:lstStyle/>
              <a:p>
                <a:pPr algn="ctr">
                  <a:defRPr sz="700" b="1">
                    <a:solidFill>
                      <a:srgbClr val="000000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Lit>
              <c:formatCode>General</c:formatCode>
              <c:ptCount val="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</c:numLit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578114736"/>
        <c:axId val="578124928"/>
      </c:barChart>
      <c:catAx>
        <c:axId val="578114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 b="0">
                <a:solidFill>
                  <a:srgbClr val="000000"/>
                </a:solidFill>
              </a:defRPr>
            </a:pPr>
            <a:endParaRPr lang="en-US"/>
          </a:p>
        </c:txPr>
        <c:crossAx val="578124928"/>
        <c:crosses val="autoZero"/>
        <c:auto val="1"/>
        <c:lblAlgn val="ctr"/>
        <c:lblOffset val="100"/>
        <c:noMultiLvlLbl val="0"/>
      </c:catAx>
      <c:valAx>
        <c:axId val="578124928"/>
        <c:scaling>
          <c:orientation val="minMax"/>
          <c:max val="50"/>
        </c:scaling>
        <c:delete val="0"/>
        <c:axPos val="l"/>
        <c:title>
          <c:tx>
            <c:strRef>
              <c:f>'10_Sales &amp; GP'!$A$117</c:f>
              <c:strCache>
                <c:ptCount val="1"/>
                <c:pt idx="0">
                  <c:v>Gross profit (€m)</c:v>
                </c:pt>
              </c:strCache>
            </c:strRef>
          </c:tx>
          <c:layout>
            <c:manualLayout>
              <c:xMode val="edge"/>
              <c:yMode val="edge"/>
              <c:x val="2.2811176310574041E-2"/>
              <c:y val="0.1810467121414194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 b="0">
                <a:solidFill>
                  <a:srgbClr val="000000"/>
                </a:solidFill>
              </a:defRPr>
            </a:pPr>
            <a:endParaRPr lang="en-US"/>
          </a:p>
        </c:txPr>
        <c:crossAx val="57811473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6746132798123747"/>
          <c:y val="0.69286575887054991"/>
          <c:w val="0.68376917885263722"/>
          <c:h val="6.4501418224501422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99999956" l="0.78740157499999996" r="0.78740157499999996" t="0.98425196899999956" header="0.5" footer="0.5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'10_Sales &amp; GP'!$A$101</c:f>
              <c:strCache>
                <c:ptCount val="1"/>
                <c:pt idx="0">
                  <c:v>Segment A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GP'!$B$101:$G$101</c:f>
              <c:numCache>
                <c:formatCode>#,##0.0</c:formatCode>
                <c:ptCount val="6"/>
                <c:pt idx="0">
                  <c:v>19</c:v>
                </c:pt>
                <c:pt idx="1">
                  <c:v>19.8</c:v>
                </c:pt>
                <c:pt idx="2">
                  <c:v>20.501785714285699</c:v>
                </c:pt>
                <c:pt idx="3">
                  <c:v>22.6</c:v>
                </c:pt>
                <c:pt idx="4">
                  <c:v>23.8</c:v>
                </c:pt>
                <c:pt idx="5">
                  <c:v>26.826865671641801</c:v>
                </c:pt>
              </c:numCache>
            </c:numRef>
          </c:val>
        </c:ser>
        <c:ser>
          <c:idx val="1"/>
          <c:order val="1"/>
          <c:tx>
            <c:strRef>
              <c:f>'10_Sales &amp; GP'!$A$104</c:f>
              <c:strCache>
                <c:ptCount val="1"/>
                <c:pt idx="0">
                  <c:v>Segment B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GP'!$B$104:$G$104</c:f>
              <c:numCache>
                <c:formatCode>#,##0.0</c:formatCode>
                <c:ptCount val="6"/>
                <c:pt idx="0">
                  <c:v>6.2</c:v>
                </c:pt>
                <c:pt idx="1">
                  <c:v>7.08</c:v>
                </c:pt>
                <c:pt idx="2">
                  <c:v>6.1426785714285703</c:v>
                </c:pt>
                <c:pt idx="3">
                  <c:v>7.64</c:v>
                </c:pt>
                <c:pt idx="4">
                  <c:v>8.1199999999999992</c:v>
                </c:pt>
                <c:pt idx="5">
                  <c:v>8.4531343283582103</c:v>
                </c:pt>
              </c:numCache>
            </c:numRef>
          </c:val>
        </c:ser>
        <c:ser>
          <c:idx val="2"/>
          <c:order val="2"/>
          <c:tx>
            <c:strRef>
              <c:f>'10_Sales &amp; GP'!$A$107</c:f>
              <c:strCache>
                <c:ptCount val="1"/>
                <c:pt idx="0">
                  <c:v>Segment C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prstClr val="white"/>
              </a:solidFill>
            </a:ln>
          </c:spPr>
          <c:invertIfNegative val="0"/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GP'!$B$107:$G$107</c:f>
              <c:numCache>
                <c:formatCode>#,##0.0</c:formatCode>
                <c:ptCount val="6"/>
                <c:pt idx="0">
                  <c:v>3.2</c:v>
                </c:pt>
                <c:pt idx="1">
                  <c:v>3.4</c:v>
                </c:pt>
                <c:pt idx="2">
                  <c:v>4.4473214285714304</c:v>
                </c:pt>
                <c:pt idx="3">
                  <c:v>3.7</c:v>
                </c:pt>
                <c:pt idx="4">
                  <c:v>3.9</c:v>
                </c:pt>
                <c:pt idx="5">
                  <c:v>4.5880597014925399</c:v>
                </c:pt>
              </c:numCache>
            </c:numRef>
          </c:val>
        </c:ser>
        <c:ser>
          <c:idx val="3"/>
          <c:order val="3"/>
          <c:tx>
            <c:strRef>
              <c:f>'10_Sales &amp; GP'!$A$110</c:f>
              <c:strCache>
                <c:ptCount val="1"/>
                <c:pt idx="0">
                  <c:v>Segment D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prstClr val="white"/>
              </a:solidFill>
            </a:ln>
          </c:spPr>
          <c:invertIfNegative val="0"/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GP'!$B$110:$G$110</c:f>
              <c:numCache>
                <c:formatCode>#,##0.0</c:formatCode>
                <c:ptCount val="6"/>
                <c:pt idx="0">
                  <c:v>1.6</c:v>
                </c:pt>
                <c:pt idx="1">
                  <c:v>1.72</c:v>
                </c:pt>
                <c:pt idx="2">
                  <c:v>2.4082142857142901</c:v>
                </c:pt>
                <c:pt idx="3">
                  <c:v>2.06</c:v>
                </c:pt>
                <c:pt idx="4">
                  <c:v>2.1800000000000002</c:v>
                </c:pt>
                <c:pt idx="5">
                  <c:v>2.1319402985074598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578112776"/>
        <c:axId val="578129240"/>
      </c:barChart>
      <c:lineChart>
        <c:grouping val="standard"/>
        <c:varyColors val="0"/>
        <c:ser>
          <c:idx val="4"/>
          <c:order val="4"/>
          <c:tx>
            <c:strRef>
              <c:f>'10_Sales &amp; GP'!$A$102</c:f>
              <c:strCache>
                <c:ptCount val="1"/>
                <c:pt idx="0">
                  <c:v>Segment A</c:v>
                </c:pt>
              </c:strCache>
            </c:strRef>
          </c:tx>
          <c:spPr>
            <a:ln w="12700">
              <a:solidFill>
                <a:schemeClr val="tx2"/>
              </a:solidFill>
            </a:ln>
          </c:spPr>
          <c:marker>
            <c:symbol val="diamond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val>
            <c:numRef>
              <c:f>'10_Sales &amp; GP'!$B$102:$G$102</c:f>
              <c:numCache>
                <c:formatCode>0.0%</c:formatCode>
                <c:ptCount val="6"/>
                <c:pt idx="0">
                  <c:v>0.6333333333333333</c:v>
                </c:pt>
                <c:pt idx="1">
                  <c:v>0.61111111111111105</c:v>
                </c:pt>
                <c:pt idx="2">
                  <c:v>0.62888913234005206</c:v>
                </c:pt>
                <c:pt idx="3">
                  <c:v>0.63841807909604509</c:v>
                </c:pt>
                <c:pt idx="4">
                  <c:v>0.65027322404371579</c:v>
                </c:pt>
                <c:pt idx="5">
                  <c:v>0.65113751630198546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'10_Sales &amp; GP'!$A$105</c:f>
              <c:strCache>
                <c:ptCount val="1"/>
                <c:pt idx="0">
                  <c:v>Segment B</c:v>
                </c:pt>
              </c:strCache>
            </c:strRef>
          </c:tx>
          <c:spPr>
            <a:ln w="12700">
              <a:solidFill>
                <a:schemeClr val="accent4"/>
              </a:solidFill>
            </a:ln>
          </c:spPr>
          <c:marker>
            <c:symbol val="circle"/>
            <c:size val="3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</c:marker>
          <c:val>
            <c:numRef>
              <c:f>'10_Sales &amp; GP'!$B$105:$G$105</c:f>
              <c:numCache>
                <c:formatCode>0.0%</c:formatCode>
                <c:ptCount val="6"/>
                <c:pt idx="0">
                  <c:v>0.51666666666666672</c:v>
                </c:pt>
                <c:pt idx="1">
                  <c:v>0.54629629629629628</c:v>
                </c:pt>
                <c:pt idx="2">
                  <c:v>0.51446219191194054</c:v>
                </c:pt>
                <c:pt idx="3">
                  <c:v>0.53954802259887003</c:v>
                </c:pt>
                <c:pt idx="4">
                  <c:v>0.55464480874316935</c:v>
                </c:pt>
                <c:pt idx="5">
                  <c:v>0.56055267429431099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'10_Sales &amp; GP'!$A$108</c:f>
              <c:strCache>
                <c:ptCount val="1"/>
                <c:pt idx="0">
                  <c:v>Segment C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'10_Sales &amp; GP'!$B$108:$G$108</c:f>
              <c:numCache>
                <c:formatCode>0.0%</c:formatCode>
                <c:ptCount val="6"/>
                <c:pt idx="0">
                  <c:v>0.64</c:v>
                </c:pt>
                <c:pt idx="1">
                  <c:v>0.62962962962962954</c:v>
                </c:pt>
                <c:pt idx="2">
                  <c:v>0.62638329979879304</c:v>
                </c:pt>
                <c:pt idx="3">
                  <c:v>0.62711864406779672</c:v>
                </c:pt>
                <c:pt idx="4">
                  <c:v>0.63934426229508212</c:v>
                </c:pt>
                <c:pt idx="5">
                  <c:v>0.65543710021321999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'10_Sales &amp; GP'!$A$111</c:f>
              <c:strCache>
                <c:ptCount val="1"/>
                <c:pt idx="0">
                  <c:v>Segment D</c:v>
                </c:pt>
              </c:strCache>
            </c:strRef>
          </c:tx>
          <c:spPr>
            <a:ln w="12700">
              <a:solidFill>
                <a:schemeClr val="accent3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'10_Sales &amp; GP'!$B$111:$G$111</c:f>
              <c:numCache>
                <c:formatCode>0.0%</c:formatCode>
                <c:ptCount val="6"/>
                <c:pt idx="0">
                  <c:v>0.53333333333333333</c:v>
                </c:pt>
                <c:pt idx="1">
                  <c:v>0.53086419753086411</c:v>
                </c:pt>
                <c:pt idx="2">
                  <c:v>0.55234272608125912</c:v>
                </c:pt>
                <c:pt idx="3">
                  <c:v>0.58192090395480223</c:v>
                </c:pt>
                <c:pt idx="4">
                  <c:v>0.59562841530054655</c:v>
                </c:pt>
                <c:pt idx="5">
                  <c:v>0.57310223078157518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8124536"/>
        <c:axId val="578133552"/>
      </c:lineChart>
      <c:catAx>
        <c:axId val="578112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129240"/>
        <c:crosses val="autoZero"/>
        <c:auto val="1"/>
        <c:lblAlgn val="ctr"/>
        <c:lblOffset val="100"/>
        <c:noMultiLvlLbl val="0"/>
      </c:catAx>
      <c:valAx>
        <c:axId val="578129240"/>
        <c:scaling>
          <c:orientation val="minMax"/>
        </c:scaling>
        <c:delete val="0"/>
        <c:axPos val="l"/>
        <c:title>
          <c:tx>
            <c:strRef>
              <c:f>'10_Sales &amp; GP'!$A$117</c:f>
              <c:strCache>
                <c:ptCount val="1"/>
                <c:pt idx="0">
                  <c:v>Gross profit (€m)</c:v>
                </c:pt>
              </c:strCache>
            </c:strRef>
          </c:tx>
          <c:layout>
            <c:manualLayout>
              <c:xMode val="edge"/>
              <c:yMode val="edge"/>
              <c:x val="2.2939927528459275E-2"/>
              <c:y val="0.13675793245890194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112776"/>
        <c:crosses val="autoZero"/>
        <c:crossBetween val="between"/>
      </c:valAx>
      <c:valAx>
        <c:axId val="578133552"/>
        <c:scaling>
          <c:orientation val="minMax"/>
          <c:max val="0.70000000000000062"/>
          <c:min val="0.4"/>
        </c:scaling>
        <c:delete val="0"/>
        <c:axPos val="r"/>
        <c:title>
          <c:tx>
            <c:strRef>
              <c:f>'10_Sales &amp; GP'!$A$118</c:f>
              <c:strCache>
                <c:ptCount val="1"/>
                <c:pt idx="0">
                  <c:v>Gross profit margin</c:v>
                </c:pt>
              </c:strCache>
            </c:strRef>
          </c:tx>
          <c:layout>
            <c:manualLayout>
              <c:xMode val="edge"/>
              <c:yMode val="edge"/>
              <c:x val="0.68807505197682362"/>
              <c:y val="0.12929342516873424"/>
            </c:manualLayout>
          </c:layout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578124536"/>
        <c:crosses val="max"/>
        <c:crossBetween val="between"/>
        <c:majorUnit val="0.1"/>
      </c:valAx>
      <c:catAx>
        <c:axId val="578124536"/>
        <c:scaling>
          <c:orientation val="minMax"/>
        </c:scaling>
        <c:delete val="1"/>
        <c:axPos val="b"/>
        <c:majorTickMark val="out"/>
        <c:minorTickMark val="none"/>
        <c:tickLblPos val="none"/>
        <c:crossAx val="578133552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3.2236002464275472E-2"/>
          <c:y val="0.70070173792936963"/>
          <c:w val="0.74827871387426603"/>
          <c:h val="0.13017036805156368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827379077615298"/>
          <c:y val="0.20271581961345742"/>
          <c:w val="0.5331547806524185"/>
          <c:h val="0.4493868970542758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'10_Sales &amp; GP'!$A$103</c:f>
              <c:strCache>
                <c:ptCount val="1"/>
                <c:pt idx="0">
                  <c:v>Segment A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GP'!$B$103:$G$103</c:f>
              <c:numCache>
                <c:formatCode>0.0%</c:formatCode>
                <c:ptCount val="6"/>
                <c:pt idx="0">
                  <c:v>0.38</c:v>
                </c:pt>
                <c:pt idx="1">
                  <c:v>0.3666666666666667</c:v>
                </c:pt>
                <c:pt idx="2">
                  <c:v>0.36610331632653031</c:v>
                </c:pt>
                <c:pt idx="3">
                  <c:v>0.38305084745762713</c:v>
                </c:pt>
                <c:pt idx="4">
                  <c:v>0.39016393442622954</c:v>
                </c:pt>
                <c:pt idx="5">
                  <c:v>0.40040098017375825</c:v>
                </c:pt>
              </c:numCache>
            </c:numRef>
          </c:val>
        </c:ser>
        <c:ser>
          <c:idx val="1"/>
          <c:order val="1"/>
          <c:tx>
            <c:strRef>
              <c:f>'10_Sales &amp; GP'!$A$106</c:f>
              <c:strCache>
                <c:ptCount val="1"/>
                <c:pt idx="0">
                  <c:v>Segment B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GP'!$B$106:$G$106</c:f>
              <c:numCache>
                <c:formatCode>0.0%</c:formatCode>
                <c:ptCount val="6"/>
                <c:pt idx="0">
                  <c:v>0.124</c:v>
                </c:pt>
                <c:pt idx="1">
                  <c:v>0.13111111111111112</c:v>
                </c:pt>
                <c:pt idx="2">
                  <c:v>0.10969068877551018</c:v>
                </c:pt>
                <c:pt idx="3">
                  <c:v>0.1294915254237288</c:v>
                </c:pt>
                <c:pt idx="4">
                  <c:v>0.13311475409836065</c:v>
                </c:pt>
                <c:pt idx="5">
                  <c:v>0.12616618400534643</c:v>
                </c:pt>
              </c:numCache>
            </c:numRef>
          </c:val>
        </c:ser>
        <c:ser>
          <c:idx val="2"/>
          <c:order val="2"/>
          <c:tx>
            <c:strRef>
              <c:f>'10_Sales &amp; GP'!$A$109</c:f>
              <c:strCache>
                <c:ptCount val="1"/>
                <c:pt idx="0">
                  <c:v>Segment C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GP'!$B$109:$G$109</c:f>
              <c:numCache>
                <c:formatCode>0.0%</c:formatCode>
                <c:ptCount val="6"/>
                <c:pt idx="0">
                  <c:v>6.4000000000000001E-2</c:v>
                </c:pt>
                <c:pt idx="1">
                  <c:v>6.2962962962962957E-2</c:v>
                </c:pt>
                <c:pt idx="2">
                  <c:v>7.9416454081632684E-2</c:v>
                </c:pt>
                <c:pt idx="3">
                  <c:v>6.2711864406779658E-2</c:v>
                </c:pt>
                <c:pt idx="4">
                  <c:v>6.3934426229508193E-2</c:v>
                </c:pt>
                <c:pt idx="5">
                  <c:v>6.8478503007351338E-2</c:v>
                </c:pt>
              </c:numCache>
            </c:numRef>
          </c:val>
        </c:ser>
        <c:ser>
          <c:idx val="3"/>
          <c:order val="3"/>
          <c:tx>
            <c:strRef>
              <c:f>'10_Sales &amp; GP'!$A$112</c:f>
              <c:strCache>
                <c:ptCount val="1"/>
                <c:pt idx="0">
                  <c:v>Segment D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GP'!$B$112:$G$112</c:f>
              <c:numCache>
                <c:formatCode>0.0%</c:formatCode>
                <c:ptCount val="6"/>
                <c:pt idx="0">
                  <c:v>3.2000000000000001E-2</c:v>
                </c:pt>
                <c:pt idx="1">
                  <c:v>3.1851851851851853E-2</c:v>
                </c:pt>
                <c:pt idx="2">
                  <c:v>4.300382653061232E-2</c:v>
                </c:pt>
                <c:pt idx="3">
                  <c:v>3.4915254237288133E-2</c:v>
                </c:pt>
                <c:pt idx="4">
                  <c:v>3.5737704918032791E-2</c:v>
                </c:pt>
                <c:pt idx="5">
                  <c:v>3.182000445533522E-2</c:v>
                </c:pt>
              </c:numCache>
            </c:numRef>
          </c:val>
        </c:ser>
        <c:ser>
          <c:idx val="4"/>
          <c:order val="4"/>
          <c:tx>
            <c:strRef>
              <c:f>'10_Sales &amp; GP'!$A$114</c:f>
              <c:strCache>
                <c:ptCount val="1"/>
              </c:strCache>
            </c:strRef>
          </c:tx>
          <c:invertIfNegative val="0"/>
          <c:dLbls>
            <c:dLbl>
              <c:idx val="0"/>
              <c:tx>
                <c:strRef>
                  <c:f>'10_Sales &amp; GP'!$B$114</c:f>
                  <c:strCache>
                    <c:ptCount val="1"/>
                    <c:pt idx="0">
                      <c:v>60.0%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{87D1BE3A-5127-40C9-86F7-E8A0A7E029A5}</c15:txfldGUID>
                      <c15:f>'10_Sales &amp; GP'!$B$114</c15:f>
                      <c15:dlblFieldTableCache>
                        <c:ptCount val="1"/>
                        <c:pt idx="0">
                          <c:v>60.0%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tx>
                <c:strRef>
                  <c:f>'10_Sales &amp; GP'!$C$114</c:f>
                  <c:strCache>
                    <c:ptCount val="1"/>
                    <c:pt idx="0">
                      <c:v>59.3%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{B3B338DC-988D-43D5-9E9F-A891DC964C72}</c15:txfldGUID>
                      <c15:f>'10_Sales &amp; GP'!$C$114</c15:f>
                      <c15:dlblFieldTableCache>
                        <c:ptCount val="1"/>
                        <c:pt idx="0">
                          <c:v>59.3%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tx>
                <c:strRef>
                  <c:f>'10_Sales &amp; GP'!$D$114</c:f>
                  <c:strCache>
                    <c:ptCount val="1"/>
                    <c:pt idx="0">
                      <c:v>59.8%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{A99DBD92-41B4-4F6E-A60C-A86378324F91}</c15:txfldGUID>
                      <c15:f>'10_Sales &amp; GP'!$D$114</c15:f>
                      <c15:dlblFieldTableCache>
                        <c:ptCount val="1"/>
                        <c:pt idx="0">
                          <c:v>59.8%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tx>
                <c:strRef>
                  <c:f>'10_Sales &amp; GP'!$E$114</c:f>
                  <c:strCache>
                    <c:ptCount val="1"/>
                    <c:pt idx="0">
                      <c:v>61.0%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{37E0EA51-FBCF-4378-BD23-2C37451BECF9}</c15:txfldGUID>
                      <c15:f>'10_Sales &amp; GP'!$E$114</c15:f>
                      <c15:dlblFieldTableCache>
                        <c:ptCount val="1"/>
                        <c:pt idx="0">
                          <c:v>61.0%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tx>
                <c:strRef>
                  <c:f>'10_Sales &amp; GP'!$F$114</c:f>
                  <c:strCache>
                    <c:ptCount val="1"/>
                    <c:pt idx="0">
                      <c:v>62.3%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{27E2FD9F-BE7D-40DF-B313-06BDD0E71E86}</c15:txfldGUID>
                      <c15:f>'10_Sales &amp; GP'!$F$114</c15:f>
                      <c15:dlblFieldTableCache>
                        <c:ptCount val="1"/>
                        <c:pt idx="0">
                          <c:v>62.3%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tx>
                <c:strRef>
                  <c:f>'10_Sales &amp; GP'!$G$114</c:f>
                  <c:strCache>
                    <c:ptCount val="1"/>
                    <c:pt idx="0">
                      <c:v>62.7%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{3AA7F702-43B1-44FB-B582-8283B3401DF5}</c15:txfldGUID>
                      <c15:f>'10_Sales &amp; GP'!$G$114</c15:f>
                      <c15:dlblFieldTableCache>
                        <c:ptCount val="1"/>
                        <c:pt idx="0">
                          <c:v>62.7%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</c:numLit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578122968"/>
        <c:axId val="578129632"/>
      </c:barChart>
      <c:catAx>
        <c:axId val="578122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129632"/>
        <c:crosses val="autoZero"/>
        <c:auto val="1"/>
        <c:lblAlgn val="ctr"/>
        <c:lblOffset val="100"/>
        <c:noMultiLvlLbl val="0"/>
      </c:catAx>
      <c:valAx>
        <c:axId val="578129632"/>
        <c:scaling>
          <c:orientation val="minMax"/>
          <c:max val="0.8"/>
          <c:min val="0"/>
        </c:scaling>
        <c:delete val="0"/>
        <c:axPos val="l"/>
        <c:title>
          <c:tx>
            <c:strRef>
              <c:f>'10_Sales &amp; GP'!$A$119</c:f>
              <c:strCache>
                <c:ptCount val="1"/>
                <c:pt idx="0">
                  <c:v>Weighted gross profit margin</c:v>
                </c:pt>
              </c:strCache>
            </c:strRef>
          </c:tx>
          <c:layout>
            <c:manualLayout>
              <c:xMode val="edge"/>
              <c:yMode val="edge"/>
              <c:x val="1.8027418817903942E-2"/>
              <c:y val="0.14871725512528475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.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12296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egendEntry>
        <c:idx val="4"/>
        <c:delete val="1"/>
      </c:legendEntry>
      <c:layout>
        <c:manualLayout>
          <c:xMode val="edge"/>
          <c:yMode val="edge"/>
          <c:x val="5.3580475223098153E-2"/>
          <c:y val="0.77182628853131263"/>
          <c:w val="0.58824345620590024"/>
          <c:h val="8.6316630895785687E-2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293286871952071"/>
          <c:y val="0.12366718713104539"/>
          <c:w val="0.63431972624107746"/>
          <c:h val="0.41943632426456223"/>
        </c:manualLayout>
      </c:layout>
      <c:bubbleChart>
        <c:varyColors val="0"/>
        <c:ser>
          <c:idx val="0"/>
          <c:order val="0"/>
          <c:tx>
            <c:strRef>
              <c:f>'10_Sales &amp; GP'!$B$171</c:f>
              <c:strCache>
                <c:ptCount val="1"/>
                <c:pt idx="0">
                  <c:v>Segment A 2012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dPt>
            <c:idx val="1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dPt>
            <c:idx val="2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xVal>
            <c:numRef>
              <c:f>'10_Sales &amp; GP'!$B$174</c:f>
              <c:numCache>
                <c:formatCode>#,##0.0%;\-#,##0.0%;\-;@</c:formatCode>
                <c:ptCount val="1"/>
                <c:pt idx="0">
                  <c:v>0.62444452559483221</c:v>
                </c:pt>
              </c:numCache>
            </c:numRef>
          </c:xVal>
          <c:yVal>
            <c:numRef>
              <c:f>'10_Sales &amp; GP'!$B$172</c:f>
              <c:numCache>
                <c:formatCode>0.0%;\(0.0\)%</c:formatCode>
                <c:ptCount val="1"/>
                <c:pt idx="0">
                  <c:v>4.2433051407459343E-2</c:v>
                </c:pt>
              </c:numCache>
            </c:numRef>
          </c:yVal>
          <c:bubbleSize>
            <c:numRef>
              <c:f>'10_Sales &amp; GP'!$B$173</c:f>
              <c:numCache>
                <c:formatCode>#,##0.0\ ;\(#,##0.0\);\-" "</c:formatCode>
                <c:ptCount val="1"/>
                <c:pt idx="0">
                  <c:v>31.666666666666668</c:v>
                </c:pt>
              </c:numCache>
            </c:numRef>
          </c:bubbleSize>
          <c:bubble3D val="0"/>
        </c:ser>
        <c:ser>
          <c:idx val="1"/>
          <c:order val="1"/>
          <c:tx>
            <c:strRef>
              <c:f>'10_Sales &amp; GP'!$C$171</c:f>
              <c:strCache>
                <c:ptCount val="1"/>
                <c:pt idx="0">
                  <c:v>Segment B 2012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xVal>
            <c:numRef>
              <c:f>'10_Sales &amp; GP'!$C$174</c:f>
              <c:numCache>
                <c:formatCode>#,##0.0%;\-#,##0.0%;\-;@</c:formatCode>
                <c:ptCount val="1"/>
                <c:pt idx="0">
                  <c:v>0.52580838495830118</c:v>
                </c:pt>
              </c:numCache>
            </c:numRef>
          </c:xVal>
          <c:yVal>
            <c:numRef>
              <c:f>'10_Sales &amp; GP'!$C$172</c:f>
              <c:numCache>
                <c:formatCode>0.0%;\(0.0\)%</c:formatCode>
                <c:ptCount val="1"/>
                <c:pt idx="0">
                  <c:v>-2.5031328369998773E-3</c:v>
                </c:pt>
              </c:numCache>
            </c:numRef>
          </c:yVal>
          <c:bubbleSize>
            <c:numRef>
              <c:f>'10_Sales &amp; GP'!$C$173</c:f>
              <c:numCache>
                <c:formatCode>#,##0.0\ ;\(#,##0.0\);\-" "</c:formatCode>
                <c:ptCount val="1"/>
                <c:pt idx="0">
                  <c:v>12.299999999999999</c:v>
                </c:pt>
              </c:numCache>
            </c:numRef>
          </c:bubbleSize>
          <c:bubble3D val="0"/>
        </c:ser>
        <c:ser>
          <c:idx val="2"/>
          <c:order val="2"/>
          <c:tx>
            <c:strRef>
              <c:f>'10_Sales &amp; GP'!$D$171</c:f>
              <c:strCache>
                <c:ptCount val="1"/>
                <c:pt idx="0">
                  <c:v>Segment C 2012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</c:spPr>
          <c:invertIfNegative val="0"/>
          <c:xVal>
            <c:numRef>
              <c:f>'10_Sales &amp; GP'!$D$174</c:f>
              <c:numCache>
                <c:formatCode>#,##0.0%;\-#,##0.0%;\-;@</c:formatCode>
                <c:ptCount val="1"/>
                <c:pt idx="0">
                  <c:v>0.6320043098094742</c:v>
                </c:pt>
              </c:numCache>
            </c:numRef>
          </c:xVal>
          <c:yVal>
            <c:numRef>
              <c:f>'10_Sales &amp; GP'!$D$172</c:f>
              <c:numCache>
                <c:formatCode>0.0%;\(0.0\)%</c:formatCode>
                <c:ptCount val="1"/>
                <c:pt idx="0">
                  <c:v>0.19163752878129836</c:v>
                </c:pt>
              </c:numCache>
            </c:numRef>
          </c:yVal>
          <c:bubbleSize>
            <c:numRef>
              <c:f>'10_Sales &amp; GP'!$D$173</c:f>
              <c:numCache>
                <c:formatCode>#,##0.0\ ;\(#,##0.0\);\-" "</c:formatCode>
                <c:ptCount val="1"/>
                <c:pt idx="0">
                  <c:v>5.833333333333333</c:v>
                </c:pt>
              </c:numCache>
            </c:numRef>
          </c:bubbleSize>
          <c:bubble3D val="0"/>
        </c:ser>
        <c:ser>
          <c:idx val="6"/>
          <c:order val="3"/>
          <c:tx>
            <c:strRef>
              <c:f>'10_Sales &amp; GP'!$E$171</c:f>
              <c:strCache>
                <c:ptCount val="1"/>
                <c:pt idx="0">
                  <c:v>Segment D 2012</c:v>
                </c:pt>
              </c:strCache>
            </c:strRef>
          </c:tx>
          <c:spPr>
            <a:solidFill>
              <a:srgbClr val="753F19"/>
            </a:solidFill>
            <a:ln w="25400">
              <a:noFill/>
            </a:ln>
          </c:spPr>
          <c:invertIfNegative val="0"/>
          <c:xVal>
            <c:numRef>
              <c:f>'10_Sales &amp; GP'!$E$174</c:f>
              <c:numCache>
                <c:formatCode>#,##0.0%;\-#,##0.0%;\-;@</c:formatCode>
                <c:ptCount val="1"/>
                <c:pt idx="0">
                  <c:v>0.53884675231515222</c:v>
                </c:pt>
              </c:numCache>
            </c:numRef>
          </c:xVal>
          <c:yVal>
            <c:numRef>
              <c:f>'10_Sales &amp; GP'!$E$172</c:f>
              <c:numCache>
                <c:formatCode>0.0%;\(0.0\)%</c:formatCode>
                <c:ptCount val="1"/>
                <c:pt idx="0">
                  <c:v>0.20554275466834171</c:v>
                </c:pt>
              </c:numCache>
            </c:numRef>
          </c:yVal>
          <c:bubbleSize>
            <c:numRef>
              <c:f>'10_Sales &amp; GP'!$E$173</c:f>
              <c:numCache>
                <c:formatCode>#,##0.0\ ;\(#,##0.0\);\-" "</c:formatCode>
                <c:ptCount val="1"/>
                <c:pt idx="0">
                  <c:v>3.5333333333333337</c:v>
                </c:pt>
              </c:numCache>
            </c:numRef>
          </c:bubbleSize>
          <c:bubble3D val="0"/>
        </c:ser>
        <c:ser>
          <c:idx val="3"/>
          <c:order val="4"/>
          <c:tx>
            <c:strRef>
              <c:f>'10_Sales &amp; GP'!$B$177</c:f>
              <c:strCache>
                <c:ptCount val="1"/>
                <c:pt idx="0">
                  <c:v>Segment A 2015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</c:spPr>
          <c:invertIfNegative val="0"/>
          <c:xVal>
            <c:numRef>
              <c:f>'10_Sales &amp; GP'!$B$180</c:f>
              <c:numCache>
                <c:formatCode>#,##0.0%;\-#,##0.0%;\-;@</c:formatCode>
                <c:ptCount val="1"/>
                <c:pt idx="0">
                  <c:v>0.64660960648058208</c:v>
                </c:pt>
              </c:numCache>
            </c:numRef>
          </c:xVal>
          <c:yVal>
            <c:numRef>
              <c:f>'10_Sales &amp; GP'!$B$178</c:f>
              <c:numCache>
                <c:formatCode>0.0%</c:formatCode>
                <c:ptCount val="1"/>
                <c:pt idx="0">
                  <c:v>7.8815001707709165E-2</c:v>
                </c:pt>
              </c:numCache>
            </c:numRef>
          </c:yVal>
          <c:bubbleSize>
            <c:numRef>
              <c:f>'10_Sales &amp; GP'!$B$179</c:f>
              <c:numCache>
                <c:formatCode>#,##0.0\ ;\(#,##0.0\);\-" "</c:formatCode>
                <c:ptCount val="1"/>
                <c:pt idx="0">
                  <c:v>37.733333333333334</c:v>
                </c:pt>
              </c:numCache>
            </c:numRef>
          </c:bubbleSize>
          <c:bubble3D val="0"/>
        </c:ser>
        <c:ser>
          <c:idx val="4"/>
          <c:order val="5"/>
          <c:tx>
            <c:strRef>
              <c:f>'10_Sales &amp; GP'!$C$177</c:f>
              <c:strCache>
                <c:ptCount val="1"/>
                <c:pt idx="0">
                  <c:v>Segment B 2015</c:v>
                </c:pt>
              </c:strCache>
            </c:strRef>
          </c:tx>
          <c:spPr>
            <a:solidFill>
              <a:srgbClr val="483698"/>
            </a:solidFill>
            <a:ln w="25400">
              <a:noFill/>
            </a:ln>
          </c:spPr>
          <c:invertIfNegative val="0"/>
          <c:xVal>
            <c:numRef>
              <c:f>'10_Sales &amp; GP'!$C$180</c:f>
              <c:numCache>
                <c:formatCode>#,##0.0%;\-#,##0.0%;\-;@</c:formatCode>
                <c:ptCount val="1"/>
                <c:pt idx="0">
                  <c:v>0.55158183521211679</c:v>
                </c:pt>
              </c:numCache>
            </c:numRef>
          </c:xVal>
          <c:yVal>
            <c:numRef>
              <c:f>'10_Sales &amp; GP'!$C$178</c:f>
              <c:numCache>
                <c:formatCode>0.0%</c:formatCode>
                <c:ptCount val="1"/>
                <c:pt idx="0">
                  <c:v>3.1974685451358065E-2</c:v>
                </c:pt>
              </c:numCache>
            </c:numRef>
          </c:yVal>
          <c:bubbleSize>
            <c:numRef>
              <c:f>'10_Sales &amp; GP'!$C$179</c:f>
              <c:numCache>
                <c:formatCode>#,##0.0\ ;\(#,##0.0\);\-" "</c:formatCode>
                <c:ptCount val="1"/>
                <c:pt idx="0">
                  <c:v>14.626666666666665</c:v>
                </c:pt>
              </c:numCache>
            </c:numRef>
          </c:bubbleSize>
          <c:bubble3D val="0"/>
        </c:ser>
        <c:ser>
          <c:idx val="5"/>
          <c:order val="6"/>
          <c:tx>
            <c:strRef>
              <c:f>'10_Sales &amp; GP'!$D$177</c:f>
              <c:strCache>
                <c:ptCount val="1"/>
                <c:pt idx="0">
                  <c:v>Segment C 2015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</c:spPr>
          <c:invertIfNegative val="0"/>
          <c:xVal>
            <c:numRef>
              <c:f>'10_Sales &amp; GP'!$D$180</c:f>
              <c:numCache>
                <c:formatCode>#,##0.0%;\-#,##0.0%;\-;@</c:formatCode>
                <c:ptCount val="1"/>
                <c:pt idx="0">
                  <c:v>0.64063333552536628</c:v>
                </c:pt>
              </c:numCache>
            </c:numRef>
          </c:xVal>
          <c:yVal>
            <c:numRef>
              <c:f>'10_Sales &amp; GP'!$D$178</c:f>
              <c:numCache>
                <c:formatCode>0.0%</c:formatCode>
                <c:ptCount val="1"/>
                <c:pt idx="0">
                  <c:v>8.9238577156585119E-2</c:v>
                </c:pt>
              </c:numCache>
            </c:numRef>
          </c:yVal>
          <c:bubbleSize>
            <c:numRef>
              <c:f>'10_Sales &amp; GP'!$D$179</c:f>
              <c:numCache>
                <c:formatCode>#,##0.0\ ;\(#,##0.0\);\-" "</c:formatCode>
                <c:ptCount val="1"/>
                <c:pt idx="0">
                  <c:v>6.333333333333333</c:v>
                </c:pt>
              </c:numCache>
            </c:numRef>
          </c:bubbleSize>
          <c:bubble3D val="0"/>
        </c:ser>
        <c:ser>
          <c:idx val="7"/>
          <c:order val="7"/>
          <c:tx>
            <c:strRef>
              <c:f>'10_Sales &amp; GP'!$E$177</c:f>
              <c:strCache>
                <c:ptCount val="1"/>
                <c:pt idx="0">
                  <c:v>Segment D 2015</c:v>
                </c:pt>
              </c:strCache>
            </c:strRef>
          </c:tx>
          <c:spPr>
            <a:solidFill>
              <a:srgbClr val="9D9375"/>
            </a:solidFill>
            <a:ln w="25400">
              <a:noFill/>
            </a:ln>
          </c:spPr>
          <c:invertIfNegative val="0"/>
          <c:xVal>
            <c:numRef>
              <c:f>'10_Sales &amp; GP'!$E$180</c:f>
              <c:numCache>
                <c:formatCode>#,##0.0%;\-#,##0.0%;\-;@</c:formatCode>
                <c:ptCount val="1"/>
                <c:pt idx="0">
                  <c:v>0.58355051667897462</c:v>
                </c:pt>
              </c:numCache>
            </c:numRef>
          </c:xVal>
          <c:yVal>
            <c:numRef>
              <c:f>'10_Sales &amp; GP'!$E$178</c:f>
              <c:numCache>
                <c:formatCode>0.0%</c:formatCode>
                <c:ptCount val="1"/>
                <c:pt idx="0">
                  <c:v>2.5108510172029863E-2</c:v>
                </c:pt>
              </c:numCache>
            </c:numRef>
          </c:yVal>
          <c:bubbleSize>
            <c:numRef>
              <c:f>'10_Sales &amp; GP'!$E$179</c:f>
              <c:numCache>
                <c:formatCode>#,##0.0\ ;\(#,##0.0\);\-" "</c:formatCode>
                <c:ptCount val="1"/>
                <c:pt idx="0">
                  <c:v>3.64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578126496"/>
        <c:axId val="578127672"/>
      </c:bubbleChart>
      <c:valAx>
        <c:axId val="578126496"/>
        <c:scaling>
          <c:orientation val="minMax"/>
          <c:max val="0.70000000000000062"/>
          <c:min val="0.5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de-DE"/>
                  <a:t>Gross profit marging (</a:t>
                </a:r>
                <a:r>
                  <a:rPr lang="de-DE" sz="800" b="0" i="0" u="none" strike="noStrike" baseline="0"/>
                  <a:t>Ø  3 years)</a:t>
                </a:r>
                <a:endParaRPr lang="de-DE"/>
              </a:p>
            </c:rich>
          </c:tx>
          <c:layout>
            <c:manualLayout>
              <c:xMode val="edge"/>
              <c:yMode val="edge"/>
              <c:x val="0.45321239267351665"/>
              <c:y val="0.65149311650775188"/>
            </c:manualLayout>
          </c:layout>
          <c:overlay val="0"/>
        </c:title>
        <c:numFmt formatCode="#,##0.0%;\-#,##0.0%;\-;@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127672"/>
        <c:crosses val="autoZero"/>
        <c:crossBetween val="midCat"/>
      </c:valAx>
      <c:valAx>
        <c:axId val="5781276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de-DE"/>
                  <a:t>CAGR Sales (3 years)</a:t>
                </a:r>
              </a:p>
            </c:rich>
          </c:tx>
          <c:layout>
            <c:manualLayout>
              <c:xMode val="edge"/>
              <c:yMode val="edge"/>
              <c:x val="8.0579969102414953E-2"/>
              <c:y val="9.9494423465194548E-2"/>
            </c:manualLayout>
          </c:layout>
          <c:overlay val="0"/>
        </c:title>
        <c:numFmt formatCode="0%;\(0\)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126496"/>
        <c:crosses val="autoZero"/>
        <c:crossBetween val="midCat"/>
        <c:majorUnit val="0.1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9.9999894952576343E-3"/>
          <c:y val="0.71698461769160637"/>
          <c:w val="0.98382244991869749"/>
          <c:h val="0.12814173228346459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6326530515132"/>
          <c:y val="0.25400285628033348"/>
          <c:w val="0.6374409894500731"/>
          <c:h val="0.44681670708364157"/>
        </c:manualLayout>
      </c:layout>
      <c:bubbleChart>
        <c:varyColors val="0"/>
        <c:ser>
          <c:idx val="0"/>
          <c:order val="0"/>
          <c:tx>
            <c:strRef>
              <c:f>'10_Sales &amp; GP'!$A$148:$A$150</c:f>
              <c:strCache>
                <c:ptCount val="3"/>
                <c:pt idx="0">
                  <c:v>Segment A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xVal>
            <c:numRef>
              <c:f>'10_Sales &amp; GP'!$B$180</c:f>
              <c:numCache>
                <c:formatCode>#,##0.0%;\-#,##0.0%;\-;@</c:formatCode>
                <c:ptCount val="1"/>
                <c:pt idx="0">
                  <c:v>0.64660960648058208</c:v>
                </c:pt>
              </c:numCache>
            </c:numRef>
          </c:xVal>
          <c:yVal>
            <c:numRef>
              <c:f>'10_Sales &amp; GP'!$B$178</c:f>
              <c:numCache>
                <c:formatCode>0.0%</c:formatCode>
                <c:ptCount val="1"/>
                <c:pt idx="0">
                  <c:v>7.8815001707709165E-2</c:v>
                </c:pt>
              </c:numCache>
            </c:numRef>
          </c:yVal>
          <c:bubbleSize>
            <c:numRef>
              <c:f>'10_Sales &amp; GP'!$B$179</c:f>
              <c:numCache>
                <c:formatCode>#,##0.0\ ;\(#,##0.0\);\-" "</c:formatCode>
                <c:ptCount val="1"/>
                <c:pt idx="0">
                  <c:v>37.733333333333334</c:v>
                </c:pt>
              </c:numCache>
            </c:numRef>
          </c:bubbleSize>
          <c:bubble3D val="0"/>
        </c:ser>
        <c:ser>
          <c:idx val="1"/>
          <c:order val="1"/>
          <c:tx>
            <c:strRef>
              <c:f>'10_Sales &amp; GP'!$A$151:$A$153</c:f>
              <c:strCache>
                <c:ptCount val="3"/>
                <c:pt idx="0">
                  <c:v>Segment B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 w="3175">
                <a:noFill/>
                <a:prstDash val="solid"/>
              </a:ln>
            </c:spPr>
          </c:dPt>
          <c:xVal>
            <c:numRef>
              <c:f>'10_Sales &amp; GP'!$C$180</c:f>
              <c:numCache>
                <c:formatCode>#,##0.0%;\-#,##0.0%;\-;@</c:formatCode>
                <c:ptCount val="1"/>
                <c:pt idx="0">
                  <c:v>0.55158183521211679</c:v>
                </c:pt>
              </c:numCache>
            </c:numRef>
          </c:xVal>
          <c:yVal>
            <c:numRef>
              <c:f>'10_Sales &amp; GP'!$C$178</c:f>
              <c:numCache>
                <c:formatCode>0.0%</c:formatCode>
                <c:ptCount val="1"/>
                <c:pt idx="0">
                  <c:v>3.1974685451358065E-2</c:v>
                </c:pt>
              </c:numCache>
            </c:numRef>
          </c:yVal>
          <c:bubbleSize>
            <c:numRef>
              <c:f>'10_Sales &amp; GP'!$C$179</c:f>
              <c:numCache>
                <c:formatCode>#,##0.0\ ;\(#,##0.0\);\-" "</c:formatCode>
                <c:ptCount val="1"/>
                <c:pt idx="0">
                  <c:v>14.626666666666665</c:v>
                </c:pt>
              </c:numCache>
            </c:numRef>
          </c:bubbleSize>
          <c:bubble3D val="0"/>
        </c:ser>
        <c:ser>
          <c:idx val="2"/>
          <c:order val="2"/>
          <c:tx>
            <c:strRef>
              <c:f>'10_Sales &amp; GP'!$A$154:$A$156</c:f>
              <c:strCache>
                <c:ptCount val="3"/>
                <c:pt idx="0">
                  <c:v>Segment C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xVal>
            <c:numRef>
              <c:f>'10_Sales &amp; GP'!$D$180</c:f>
              <c:numCache>
                <c:formatCode>#,##0.0%;\-#,##0.0%;\-;@</c:formatCode>
                <c:ptCount val="1"/>
                <c:pt idx="0">
                  <c:v>0.64063333552536628</c:v>
                </c:pt>
              </c:numCache>
            </c:numRef>
          </c:xVal>
          <c:yVal>
            <c:numRef>
              <c:f>'10_Sales &amp; GP'!$D$178</c:f>
              <c:numCache>
                <c:formatCode>0.0%</c:formatCode>
                <c:ptCount val="1"/>
                <c:pt idx="0">
                  <c:v>8.9238577156585119E-2</c:v>
                </c:pt>
              </c:numCache>
            </c:numRef>
          </c:yVal>
          <c:bubbleSize>
            <c:numRef>
              <c:f>'10_Sales &amp; GP'!$D$179</c:f>
              <c:numCache>
                <c:formatCode>#,##0.0\ ;\(#,##0.0\);\-" "</c:formatCode>
                <c:ptCount val="1"/>
                <c:pt idx="0">
                  <c:v>6.333333333333333</c:v>
                </c:pt>
              </c:numCache>
            </c:numRef>
          </c:bubbleSize>
          <c:bubble3D val="0"/>
        </c:ser>
        <c:ser>
          <c:idx val="3"/>
          <c:order val="3"/>
          <c:tx>
            <c:strRef>
              <c:f>'10_Sales &amp; GP'!$A$157</c:f>
              <c:strCache>
                <c:ptCount val="1"/>
                <c:pt idx="0">
                  <c:v>Segment D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xVal>
            <c:numRef>
              <c:f>'10_Sales &amp; GP'!$E$180</c:f>
              <c:numCache>
                <c:formatCode>#,##0.0%;\-#,##0.0%;\-;@</c:formatCode>
                <c:ptCount val="1"/>
                <c:pt idx="0">
                  <c:v>0.58355051667897462</c:v>
                </c:pt>
              </c:numCache>
            </c:numRef>
          </c:xVal>
          <c:yVal>
            <c:numRef>
              <c:f>'10_Sales &amp; GP'!$E$178</c:f>
              <c:numCache>
                <c:formatCode>0.0%</c:formatCode>
                <c:ptCount val="1"/>
                <c:pt idx="0">
                  <c:v>2.5108510172029863E-2</c:v>
                </c:pt>
              </c:numCache>
            </c:numRef>
          </c:yVal>
          <c:bubbleSize>
            <c:numRef>
              <c:f>'10_Sales &amp; GP'!$E$179</c:f>
              <c:numCache>
                <c:formatCode>#,##0.0\ ;\(#,##0.0\);\-" "</c:formatCode>
                <c:ptCount val="1"/>
                <c:pt idx="0">
                  <c:v>3.64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578123752"/>
        <c:axId val="578133944"/>
      </c:bubbleChart>
      <c:valAx>
        <c:axId val="578123752"/>
        <c:scaling>
          <c:orientation val="minMax"/>
        </c:scaling>
        <c:delete val="0"/>
        <c:axPos val="b"/>
        <c:title>
          <c:tx>
            <c:strRef>
              <c:f>'10_Sales &amp; GP'!$A$183</c:f>
              <c:strCache>
                <c:ptCount val="1"/>
                <c:pt idx="0">
                  <c:v>Gross profit margin 2015</c:v>
                </c:pt>
              </c:strCache>
            </c:strRef>
          </c:tx>
          <c:layout>
            <c:manualLayout>
              <c:xMode val="edge"/>
              <c:yMode val="edge"/>
              <c:x val="0.38121065071131477"/>
              <c:y val="0.80550588618216623"/>
            </c:manualLayout>
          </c:layout>
          <c:overlay val="0"/>
          <c:txPr>
            <a:bodyPr rot="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133944"/>
        <c:crosses val="autoZero"/>
        <c:crossBetween val="midCat"/>
      </c:valAx>
      <c:valAx>
        <c:axId val="578133944"/>
        <c:scaling>
          <c:orientation val="minMax"/>
        </c:scaling>
        <c:delete val="0"/>
        <c:axPos val="l"/>
        <c:title>
          <c:tx>
            <c:strRef>
              <c:f>'10_Sales &amp; GP'!$A$178</c:f>
              <c:strCache>
                <c:ptCount val="1"/>
                <c:pt idx="0">
                  <c:v>CAGR Sales 2013-2015</c:v>
                </c:pt>
              </c:strCache>
            </c:strRef>
          </c:tx>
          <c:layout>
            <c:manualLayout>
              <c:xMode val="edge"/>
              <c:yMode val="edge"/>
              <c:x val="4.9595434013662509E-2"/>
              <c:y val="0.2618961919579619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123752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7.3096147449027732E-2"/>
          <c:y val="0.81945845123921435"/>
          <c:w val="0.82760944881890064"/>
          <c:h val="0.1451766598141518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71217612710706"/>
          <c:y val="8.9471280273075909E-2"/>
          <c:w val="0.61332498816497671"/>
          <c:h val="0.61275547507031203"/>
        </c:manualLayout>
      </c:layout>
      <c:bubbleChart>
        <c:varyColors val="0"/>
        <c:ser>
          <c:idx val="0"/>
          <c:order val="0"/>
          <c:tx>
            <c:strRef>
              <c:f>'10_Sales &amp; GP'!$B$189</c:f>
              <c:strCache>
                <c:ptCount val="1"/>
                <c:pt idx="0">
                  <c:v>Segment A 2012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dPt>
            <c:idx val="1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dPt>
            <c:idx val="2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dPt>
            <c:idx val="3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dPt>
            <c:idx val="4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dPt>
            <c:idx val="5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xVal>
            <c:numRef>
              <c:f>'10_Sales &amp; GP'!$B$192</c:f>
              <c:numCache>
                <c:formatCode>#,##0.0%;\-#,##0.0%;\-;@</c:formatCode>
                <c:ptCount val="1"/>
                <c:pt idx="0">
                  <c:v>0.62888913234005206</c:v>
                </c:pt>
              </c:numCache>
            </c:numRef>
          </c:xVal>
          <c:yVal>
            <c:numRef>
              <c:f>'10_Sales &amp; GP'!$B$190</c:f>
              <c:numCache>
                <c:formatCode>#,##0.0\ ;\(#,##0.0\);\-" "</c:formatCode>
                <c:ptCount val="1"/>
                <c:pt idx="0">
                  <c:v>32.6</c:v>
                </c:pt>
              </c:numCache>
            </c:numRef>
          </c:yVal>
          <c:bubbleSize>
            <c:numRef>
              <c:f>'10_Sales &amp; GP'!$B$191</c:f>
              <c:numCache>
                <c:formatCode>#,##0.0\ ;\(#,##0.0\);\-" "</c:formatCode>
                <c:ptCount val="1"/>
                <c:pt idx="0">
                  <c:v>20.501785714285699</c:v>
                </c:pt>
              </c:numCache>
            </c:numRef>
          </c:bubbleSize>
          <c:bubble3D val="0"/>
        </c:ser>
        <c:ser>
          <c:idx val="1"/>
          <c:order val="1"/>
          <c:tx>
            <c:strRef>
              <c:f>'10_Sales &amp; GP'!$C$189</c:f>
              <c:strCache>
                <c:ptCount val="1"/>
                <c:pt idx="0">
                  <c:v>Segment B 2012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 w="3175">
                <a:noFill/>
                <a:prstDash val="solid"/>
              </a:ln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 w="3175">
                <a:noFill/>
                <a:prstDash val="solid"/>
              </a:ln>
            </c:spPr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 w="3175">
                <a:noFill/>
                <a:prstDash val="solid"/>
              </a:ln>
            </c:spPr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 w="3175">
                <a:noFill/>
                <a:prstDash val="solid"/>
              </a:ln>
            </c:spPr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 w="3175">
                <a:noFill/>
                <a:prstDash val="solid"/>
              </a:ln>
            </c:spPr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 w="3175">
                <a:noFill/>
                <a:prstDash val="solid"/>
              </a:ln>
            </c:spPr>
          </c:dPt>
          <c:xVal>
            <c:numRef>
              <c:f>'10_Sales &amp; GP'!$C$192</c:f>
              <c:numCache>
                <c:formatCode>#,##0.0%;\-#,##0.0%;\-;@</c:formatCode>
                <c:ptCount val="1"/>
                <c:pt idx="0">
                  <c:v>0.51446219191194054</c:v>
                </c:pt>
              </c:numCache>
            </c:numRef>
          </c:xVal>
          <c:yVal>
            <c:numRef>
              <c:f>'10_Sales &amp; GP'!$C$190</c:f>
              <c:numCache>
                <c:formatCode>#,##0.0\ ;\(#,##0.0\);\-" "</c:formatCode>
                <c:ptCount val="1"/>
                <c:pt idx="0">
                  <c:v>11.94</c:v>
                </c:pt>
              </c:numCache>
            </c:numRef>
          </c:yVal>
          <c:bubbleSize>
            <c:numRef>
              <c:f>'10_Sales &amp; GP'!$C$191</c:f>
              <c:numCache>
                <c:formatCode>#,##0.0\ ;\(#,##0.0\);\-" "</c:formatCode>
                <c:ptCount val="1"/>
                <c:pt idx="0">
                  <c:v>6.1426785714285703</c:v>
                </c:pt>
              </c:numCache>
            </c:numRef>
          </c:bubbleSize>
          <c:bubble3D val="0"/>
        </c:ser>
        <c:ser>
          <c:idx val="2"/>
          <c:order val="2"/>
          <c:tx>
            <c:strRef>
              <c:f>'10_Sales &amp; GP'!$D$189</c:f>
              <c:strCache>
                <c:ptCount val="1"/>
                <c:pt idx="0">
                  <c:v>Segment C 2012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</c:spPr>
          <c:invertIfNegative val="0"/>
          <c:xVal>
            <c:numRef>
              <c:f>'10_Sales &amp; GP'!$D$192</c:f>
              <c:numCache>
                <c:formatCode>#,##0.0%;\-#,##0.0%;\-;@</c:formatCode>
                <c:ptCount val="1"/>
                <c:pt idx="0">
                  <c:v>0.62638329979879304</c:v>
                </c:pt>
              </c:numCache>
            </c:numRef>
          </c:xVal>
          <c:yVal>
            <c:numRef>
              <c:f>'10_Sales &amp; GP'!$D$190</c:f>
              <c:numCache>
                <c:formatCode>#,##0.0\ ;\(#,##0.0\);\-" "</c:formatCode>
                <c:ptCount val="1"/>
                <c:pt idx="0">
                  <c:v>7.1</c:v>
                </c:pt>
              </c:numCache>
            </c:numRef>
          </c:yVal>
          <c:bubbleSize>
            <c:numRef>
              <c:f>'10_Sales &amp; GP'!$D$191</c:f>
              <c:numCache>
                <c:formatCode>#,##0.0\ ;\(#,##0.0\);\-" "</c:formatCode>
                <c:ptCount val="1"/>
                <c:pt idx="0">
                  <c:v>4.4473214285714304</c:v>
                </c:pt>
              </c:numCache>
            </c:numRef>
          </c:bubbleSize>
          <c:bubble3D val="0"/>
        </c:ser>
        <c:ser>
          <c:idx val="6"/>
          <c:order val="3"/>
          <c:tx>
            <c:strRef>
              <c:f>'10_Sales &amp; GP'!$E$189</c:f>
              <c:strCache>
                <c:ptCount val="1"/>
                <c:pt idx="0">
                  <c:v>Segment D 2012</c:v>
                </c:pt>
              </c:strCache>
            </c:strRef>
          </c:tx>
          <c:spPr>
            <a:solidFill>
              <a:srgbClr val="753F19"/>
            </a:solidFill>
            <a:ln w="25400">
              <a:noFill/>
            </a:ln>
          </c:spPr>
          <c:invertIfNegative val="0"/>
          <c:xVal>
            <c:numRef>
              <c:f>'10_Sales &amp; GP'!$E$192</c:f>
              <c:numCache>
                <c:formatCode>#,##0.0%;\-#,##0.0%;\-;@</c:formatCode>
                <c:ptCount val="1"/>
                <c:pt idx="0">
                  <c:v>0.55234272608125912</c:v>
                </c:pt>
              </c:numCache>
            </c:numRef>
          </c:xVal>
          <c:yVal>
            <c:numRef>
              <c:f>'10_Sales &amp; GP'!$E$190</c:f>
              <c:numCache>
                <c:formatCode>#,##0.0\ ;\(#,##0.0\);\-" "</c:formatCode>
                <c:ptCount val="1"/>
                <c:pt idx="0">
                  <c:v>4.3600000000000003</c:v>
                </c:pt>
              </c:numCache>
            </c:numRef>
          </c:yVal>
          <c:bubbleSize>
            <c:numRef>
              <c:f>'10_Sales &amp; GP'!$E$191</c:f>
              <c:numCache>
                <c:formatCode>#,##0.0\ ;\(#,##0.0\);\-" "</c:formatCode>
                <c:ptCount val="1"/>
                <c:pt idx="0">
                  <c:v>2.4082142857142901</c:v>
                </c:pt>
              </c:numCache>
            </c:numRef>
          </c:bubbleSize>
          <c:bubble3D val="0"/>
        </c:ser>
        <c:ser>
          <c:idx val="3"/>
          <c:order val="4"/>
          <c:tx>
            <c:strRef>
              <c:f>'10_Sales &amp; GP'!$B$196</c:f>
              <c:strCache>
                <c:ptCount val="1"/>
                <c:pt idx="0">
                  <c:v>Segment A 2015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</c:spPr>
          <c:invertIfNegative val="0"/>
          <c:xVal>
            <c:numRef>
              <c:f>'10_Sales &amp; GP'!$B$199</c:f>
              <c:numCache>
                <c:formatCode>#,##0.0%;\-#,##0.0%;\-;@</c:formatCode>
                <c:ptCount val="1"/>
                <c:pt idx="0">
                  <c:v>0.65113751630198546</c:v>
                </c:pt>
              </c:numCache>
            </c:numRef>
          </c:xVal>
          <c:yVal>
            <c:numRef>
              <c:f>'10_Sales &amp; GP'!$B$197</c:f>
              <c:numCache>
                <c:formatCode>#,##0.0\ ;\(#,##0.0\);\-" "</c:formatCode>
                <c:ptCount val="1"/>
                <c:pt idx="0">
                  <c:v>41.2</c:v>
                </c:pt>
              </c:numCache>
            </c:numRef>
          </c:yVal>
          <c:bubbleSize>
            <c:numRef>
              <c:f>'10_Sales &amp; GP'!$B$198</c:f>
              <c:numCache>
                <c:formatCode>#,##0.0\ ;\(#,##0.0\);\-" "</c:formatCode>
                <c:ptCount val="1"/>
                <c:pt idx="0">
                  <c:v>26.826865671641801</c:v>
                </c:pt>
              </c:numCache>
            </c:numRef>
          </c:bubbleSize>
          <c:bubble3D val="0"/>
        </c:ser>
        <c:ser>
          <c:idx val="4"/>
          <c:order val="5"/>
          <c:tx>
            <c:strRef>
              <c:f>'10_Sales &amp; GP'!$C$196</c:f>
              <c:strCache>
                <c:ptCount val="1"/>
                <c:pt idx="0">
                  <c:v>Segment B 2015</c:v>
                </c:pt>
              </c:strCache>
            </c:strRef>
          </c:tx>
          <c:spPr>
            <a:solidFill>
              <a:srgbClr val="483698"/>
            </a:solidFill>
            <a:ln w="25400">
              <a:noFill/>
            </a:ln>
          </c:spPr>
          <c:invertIfNegative val="0"/>
          <c:xVal>
            <c:numRef>
              <c:f>'10_Sales &amp; GP'!$C$199</c:f>
              <c:numCache>
                <c:formatCode>#,##0.0%;\-#,##0.0%;\-;@</c:formatCode>
                <c:ptCount val="1"/>
                <c:pt idx="0">
                  <c:v>0.56055267429431099</c:v>
                </c:pt>
              </c:numCache>
            </c:numRef>
          </c:xVal>
          <c:yVal>
            <c:numRef>
              <c:f>'10_Sales &amp; GP'!$C$197</c:f>
              <c:numCache>
                <c:formatCode>#,##0.0\ ;\(#,##0.0\);\-" "</c:formatCode>
                <c:ptCount val="1"/>
                <c:pt idx="0">
                  <c:v>15.08</c:v>
                </c:pt>
              </c:numCache>
            </c:numRef>
          </c:yVal>
          <c:bubbleSize>
            <c:numRef>
              <c:f>'10_Sales &amp; GP'!$C$198</c:f>
              <c:numCache>
                <c:formatCode>#,##0.0\ ;\(#,##0.0\);\-" "</c:formatCode>
                <c:ptCount val="1"/>
                <c:pt idx="0">
                  <c:v>8.4531343283582103</c:v>
                </c:pt>
              </c:numCache>
            </c:numRef>
          </c:bubbleSize>
          <c:bubble3D val="0"/>
        </c:ser>
        <c:ser>
          <c:idx val="5"/>
          <c:order val="6"/>
          <c:tx>
            <c:strRef>
              <c:f>'10_Sales &amp; GP'!$D$196</c:f>
              <c:strCache>
                <c:ptCount val="1"/>
                <c:pt idx="0">
                  <c:v>Segment C 2015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</c:spPr>
          <c:invertIfNegative val="0"/>
          <c:xVal>
            <c:numRef>
              <c:f>'10_Sales &amp; GP'!$D$199</c:f>
              <c:numCache>
                <c:formatCode>#,##0.0%;\-#,##0.0%;\-;@</c:formatCode>
                <c:ptCount val="1"/>
                <c:pt idx="0">
                  <c:v>0.65543710021321999</c:v>
                </c:pt>
              </c:numCache>
            </c:numRef>
          </c:xVal>
          <c:yVal>
            <c:numRef>
              <c:f>'10_Sales &amp; GP'!$D$197</c:f>
              <c:numCache>
                <c:formatCode>#,##0.0\ ;\(#,##0.0\);\-" "</c:formatCode>
                <c:ptCount val="1"/>
                <c:pt idx="0">
                  <c:v>7</c:v>
                </c:pt>
              </c:numCache>
            </c:numRef>
          </c:yVal>
          <c:bubbleSize>
            <c:numRef>
              <c:f>'10_Sales &amp; GP'!$D$198</c:f>
              <c:numCache>
                <c:formatCode>#,##0.0\ ;\(#,##0.0\);\-" "</c:formatCode>
                <c:ptCount val="1"/>
                <c:pt idx="0">
                  <c:v>4.5880597014925399</c:v>
                </c:pt>
              </c:numCache>
            </c:numRef>
          </c:bubbleSize>
          <c:bubble3D val="0"/>
        </c:ser>
        <c:ser>
          <c:idx val="7"/>
          <c:order val="7"/>
          <c:tx>
            <c:strRef>
              <c:f>'10_Sales &amp; GP'!$E$196</c:f>
              <c:strCache>
                <c:ptCount val="1"/>
                <c:pt idx="0">
                  <c:v>Segment D 2015</c:v>
                </c:pt>
              </c:strCache>
            </c:strRef>
          </c:tx>
          <c:spPr>
            <a:solidFill>
              <a:srgbClr val="9D9375"/>
            </a:solidFill>
            <a:ln w="25400">
              <a:noFill/>
            </a:ln>
          </c:spPr>
          <c:invertIfNegative val="0"/>
          <c:xVal>
            <c:numRef>
              <c:f>'10_Sales &amp; GP'!$E$199</c:f>
              <c:numCache>
                <c:formatCode>#,##0.0%;\-#,##0.0%;\-;@</c:formatCode>
                <c:ptCount val="1"/>
                <c:pt idx="0">
                  <c:v>0.57310223078157518</c:v>
                </c:pt>
              </c:numCache>
            </c:numRef>
          </c:xVal>
          <c:yVal>
            <c:numRef>
              <c:f>'10_Sales &amp; GP'!$E$197</c:f>
              <c:numCache>
                <c:formatCode>#,##0.0\ ;\(#,##0.0\);\-" "</c:formatCode>
                <c:ptCount val="1"/>
                <c:pt idx="0">
                  <c:v>3.72</c:v>
                </c:pt>
              </c:numCache>
            </c:numRef>
          </c:yVal>
          <c:bubbleSize>
            <c:numRef>
              <c:f>'10_Sales &amp; GP'!$E$198</c:f>
              <c:numCache>
                <c:formatCode>#,##0.0\ ;\(#,##0.0\);\-" "</c:formatCode>
                <c:ptCount val="1"/>
                <c:pt idx="0">
                  <c:v>2.1319402985074598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578126104"/>
        <c:axId val="578128456"/>
      </c:bubbleChart>
      <c:valAx>
        <c:axId val="578126104"/>
        <c:scaling>
          <c:orientation val="minMax"/>
          <c:max val="0.8"/>
          <c:min val="0.4"/>
        </c:scaling>
        <c:delete val="0"/>
        <c:axPos val="b"/>
        <c:title>
          <c:tx>
            <c:strRef>
              <c:f>'10_Sales &amp; GP'!$A$203</c:f>
              <c:strCache>
                <c:ptCount val="1"/>
                <c:pt idx="0">
                  <c:v>Gross profit margin</c:v>
                </c:pt>
              </c:strCache>
            </c:strRef>
          </c:tx>
          <c:overlay val="0"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128456"/>
        <c:crosses val="autoZero"/>
        <c:crossBetween val="midCat"/>
      </c:valAx>
      <c:valAx>
        <c:axId val="578128456"/>
        <c:scaling>
          <c:orientation val="minMax"/>
          <c:max val="50"/>
        </c:scaling>
        <c:delete val="0"/>
        <c:axPos val="l"/>
        <c:title>
          <c:tx>
            <c:strRef>
              <c:f>'10_Sales &amp; GP'!$A$202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4.4910163941028244E-2"/>
              <c:y val="0.2244667815911549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;\(#,##0\)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126104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8456771641877063"/>
          <c:w val="0.77292882507334348"/>
          <c:h val="0.1137782969872440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975193534021376"/>
          <c:y val="0.20253175670114409"/>
          <c:w val="0.5545461261786726"/>
          <c:h val="0.45634795650543675"/>
        </c:manualLayout>
      </c:layout>
      <c:bubbleChart>
        <c:varyColors val="0"/>
        <c:ser>
          <c:idx val="1"/>
          <c:order val="0"/>
          <c:tx>
            <c:strRef>
              <c:f>'10_Sales &amp; GP'!$B$215</c:f>
              <c:strCache>
                <c:ptCount val="1"/>
                <c:pt idx="0">
                  <c:v>Segment A 2015</c:v>
                </c:pt>
              </c:strCache>
            </c:strRef>
          </c:tx>
          <c:spPr>
            <a:solidFill>
              <a:schemeClr val="tx2"/>
            </a:solidFill>
            <a:ln w="25400">
              <a:noFill/>
            </a:ln>
          </c:spPr>
          <c:invertIfNegative val="0"/>
          <c:xVal>
            <c:numRef>
              <c:f>'10_Sales &amp; GP'!$B$218</c:f>
              <c:numCache>
                <c:formatCode>0.0%</c:formatCode>
                <c:ptCount val="1"/>
                <c:pt idx="0">
                  <c:v>0.65113751630198546</c:v>
                </c:pt>
              </c:numCache>
            </c:numRef>
          </c:xVal>
          <c:yVal>
            <c:numRef>
              <c:f>'10_Sales &amp; GP'!$B$216</c:f>
              <c:numCache>
                <c:formatCode>0.0%</c:formatCode>
                <c:ptCount val="1"/>
                <c:pt idx="0">
                  <c:v>0.61492537313432838</c:v>
                </c:pt>
              </c:numCache>
            </c:numRef>
          </c:yVal>
          <c:bubbleSize>
            <c:numRef>
              <c:f>'10_Sales &amp; GP'!$B$217</c:f>
              <c:numCache>
                <c:formatCode>0.0</c:formatCode>
                <c:ptCount val="1"/>
                <c:pt idx="0">
                  <c:v>26.826865671641801</c:v>
                </c:pt>
              </c:numCache>
            </c:numRef>
          </c:bubbleSize>
          <c:bubble3D val="0"/>
        </c:ser>
        <c:ser>
          <c:idx val="4"/>
          <c:order val="1"/>
          <c:tx>
            <c:strRef>
              <c:f>'10_Sales &amp; GP'!$B$209</c:f>
              <c:strCache>
                <c:ptCount val="1"/>
                <c:pt idx="0">
                  <c:v>Segment A 2012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</c:spPr>
          <c:invertIfNegative val="0"/>
          <c:xVal>
            <c:numRef>
              <c:f>'10_Sales &amp; GP'!$B$212</c:f>
              <c:numCache>
                <c:formatCode>0.0%</c:formatCode>
                <c:ptCount val="1"/>
                <c:pt idx="0">
                  <c:v>0.62888913234005206</c:v>
                </c:pt>
              </c:numCache>
            </c:numRef>
          </c:xVal>
          <c:yVal>
            <c:numRef>
              <c:f>'10_Sales &amp; GP'!$B$210</c:f>
              <c:numCache>
                <c:formatCode>0.0%</c:formatCode>
                <c:ptCount val="1"/>
                <c:pt idx="0">
                  <c:v>0.58214285714285718</c:v>
                </c:pt>
              </c:numCache>
            </c:numRef>
          </c:yVal>
          <c:bubbleSize>
            <c:numRef>
              <c:f>'10_Sales &amp; GP'!$B$211</c:f>
              <c:numCache>
                <c:formatCode>0.0</c:formatCode>
                <c:ptCount val="1"/>
                <c:pt idx="0">
                  <c:v>20.501785714285699</c:v>
                </c:pt>
              </c:numCache>
            </c:numRef>
          </c:bubbleSize>
          <c:bubble3D val="0"/>
        </c:ser>
        <c:ser>
          <c:idx val="5"/>
          <c:order val="2"/>
          <c:tx>
            <c:strRef>
              <c:f>'10_Sales &amp; GP'!$C$215</c:f>
              <c:strCache>
                <c:ptCount val="1"/>
                <c:pt idx="0">
                  <c:v>Segment B 2015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xVal>
            <c:numRef>
              <c:f>'10_Sales &amp; GP'!$C$218</c:f>
              <c:numCache>
                <c:formatCode>0.0%</c:formatCode>
                <c:ptCount val="1"/>
                <c:pt idx="0">
                  <c:v>0.56055267429431099</c:v>
                </c:pt>
              </c:numCache>
            </c:numRef>
          </c:xVal>
          <c:yVal>
            <c:numRef>
              <c:f>'10_Sales &amp; GP'!$C$216</c:f>
              <c:numCache>
                <c:formatCode>0.0%</c:formatCode>
                <c:ptCount val="1"/>
                <c:pt idx="0">
                  <c:v>0.22507462686567165</c:v>
                </c:pt>
              </c:numCache>
            </c:numRef>
          </c:yVal>
          <c:bubbleSize>
            <c:numRef>
              <c:f>'10_Sales &amp; GP'!$C$217</c:f>
              <c:numCache>
                <c:formatCode>0.00</c:formatCode>
                <c:ptCount val="1"/>
                <c:pt idx="0">
                  <c:v>8.4531343283582103</c:v>
                </c:pt>
              </c:numCache>
            </c:numRef>
          </c:bubbleSize>
          <c:bubble3D val="0"/>
        </c:ser>
        <c:ser>
          <c:idx val="0"/>
          <c:order val="3"/>
          <c:tx>
            <c:strRef>
              <c:f>'10_Sales &amp; GP'!$C$209</c:f>
              <c:strCache>
                <c:ptCount val="1"/>
                <c:pt idx="0">
                  <c:v>Segment B 2012</c:v>
                </c:pt>
              </c:strCache>
            </c:strRef>
          </c:tx>
          <c:spPr>
            <a:solidFill>
              <a:srgbClr val="483698"/>
            </a:solidFill>
            <a:ln w="25400">
              <a:noFill/>
            </a:ln>
          </c:spPr>
          <c:invertIfNegative val="0"/>
          <c:xVal>
            <c:numRef>
              <c:f>'10_Sales &amp; GP'!$C$212</c:f>
              <c:numCache>
                <c:formatCode>0.0%</c:formatCode>
                <c:ptCount val="1"/>
                <c:pt idx="0">
                  <c:v>0.51446219191194054</c:v>
                </c:pt>
              </c:numCache>
            </c:numRef>
          </c:xVal>
          <c:yVal>
            <c:numRef>
              <c:f>'10_Sales &amp; GP'!$C$210</c:f>
              <c:numCache>
                <c:formatCode>0.0%</c:formatCode>
                <c:ptCount val="1"/>
                <c:pt idx="0">
                  <c:v>0.21321428571428572</c:v>
                </c:pt>
              </c:numCache>
            </c:numRef>
          </c:yVal>
          <c:bubbleSize>
            <c:numRef>
              <c:f>'10_Sales &amp; GP'!$C$211</c:f>
              <c:numCache>
                <c:formatCode>0.0</c:formatCode>
                <c:ptCount val="1"/>
                <c:pt idx="0">
                  <c:v>6.1426785714285703</c:v>
                </c:pt>
              </c:numCache>
            </c:numRef>
          </c:bubbleSize>
          <c:bubble3D val="0"/>
        </c:ser>
        <c:ser>
          <c:idx val="6"/>
          <c:order val="4"/>
          <c:tx>
            <c:strRef>
              <c:f>'10_Sales &amp; GP'!$D$215</c:f>
              <c:strCache>
                <c:ptCount val="1"/>
                <c:pt idx="0">
                  <c:v>Segment C 2015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</c:spPr>
          <c:invertIfNegative val="0"/>
          <c:xVal>
            <c:numRef>
              <c:f>'10_Sales &amp; GP'!$D$218</c:f>
              <c:numCache>
                <c:formatCode>0.0%</c:formatCode>
                <c:ptCount val="1"/>
                <c:pt idx="0">
                  <c:v>0.65543710021321999</c:v>
                </c:pt>
              </c:numCache>
            </c:numRef>
          </c:xVal>
          <c:yVal>
            <c:numRef>
              <c:f>'10_Sales &amp; GP'!$D$216</c:f>
              <c:numCache>
                <c:formatCode>0.0%</c:formatCode>
                <c:ptCount val="1"/>
                <c:pt idx="0">
                  <c:v>0.1044776119402985</c:v>
                </c:pt>
              </c:numCache>
            </c:numRef>
          </c:yVal>
          <c:bubbleSize>
            <c:numRef>
              <c:f>'10_Sales &amp; GP'!$D$217</c:f>
              <c:numCache>
                <c:formatCode>0.00</c:formatCode>
                <c:ptCount val="1"/>
                <c:pt idx="0">
                  <c:v>4.5880597014925399</c:v>
                </c:pt>
              </c:numCache>
            </c:numRef>
          </c:bubbleSize>
          <c:bubble3D val="0"/>
        </c:ser>
        <c:ser>
          <c:idx val="2"/>
          <c:order val="5"/>
          <c:tx>
            <c:strRef>
              <c:f>'10_Sales &amp; GP'!$D$209</c:f>
              <c:strCache>
                <c:ptCount val="1"/>
                <c:pt idx="0">
                  <c:v>Segment C 2012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</c:spPr>
          <c:invertIfNegative val="0"/>
          <c:xVal>
            <c:numRef>
              <c:f>'10_Sales &amp; GP'!$D$212</c:f>
              <c:numCache>
                <c:formatCode>0.0%</c:formatCode>
                <c:ptCount val="1"/>
                <c:pt idx="0">
                  <c:v>0.62638329979879304</c:v>
                </c:pt>
              </c:numCache>
            </c:numRef>
          </c:xVal>
          <c:yVal>
            <c:numRef>
              <c:f>'10_Sales &amp; GP'!$D$210</c:f>
              <c:numCache>
                <c:formatCode>0.0%</c:formatCode>
                <c:ptCount val="1"/>
                <c:pt idx="0">
                  <c:v>0.12678571428571428</c:v>
                </c:pt>
              </c:numCache>
            </c:numRef>
          </c:yVal>
          <c:bubbleSize>
            <c:numRef>
              <c:f>'10_Sales &amp; GP'!$D$211</c:f>
              <c:numCache>
                <c:formatCode>0.0</c:formatCode>
                <c:ptCount val="1"/>
                <c:pt idx="0">
                  <c:v>4.4473214285714304</c:v>
                </c:pt>
              </c:numCache>
            </c:numRef>
          </c:bubbleSize>
          <c:bubble3D val="0"/>
        </c:ser>
        <c:ser>
          <c:idx val="7"/>
          <c:order val="6"/>
          <c:tx>
            <c:strRef>
              <c:f>'10_Sales &amp; GP'!$E$215</c:f>
              <c:strCache>
                <c:ptCount val="1"/>
                <c:pt idx="0">
                  <c:v>Segment D 2015</c:v>
                </c:pt>
              </c:strCache>
            </c:strRef>
          </c:tx>
          <c:spPr>
            <a:solidFill>
              <a:srgbClr val="753F19"/>
            </a:solidFill>
            <a:ln w="25400">
              <a:noFill/>
            </a:ln>
          </c:spPr>
          <c:invertIfNegative val="0"/>
          <c:xVal>
            <c:numRef>
              <c:f>'10_Sales &amp; GP'!$E$218</c:f>
              <c:numCache>
                <c:formatCode>0.0%</c:formatCode>
                <c:ptCount val="1"/>
                <c:pt idx="0">
                  <c:v>0.57310223078157518</c:v>
                </c:pt>
              </c:numCache>
            </c:numRef>
          </c:xVal>
          <c:yVal>
            <c:numRef>
              <c:f>'10_Sales &amp; GP'!$E$216</c:f>
              <c:numCache>
                <c:formatCode>0.0%</c:formatCode>
                <c:ptCount val="1"/>
                <c:pt idx="0">
                  <c:v>5.5522388059701493E-2</c:v>
                </c:pt>
              </c:numCache>
            </c:numRef>
          </c:yVal>
          <c:bubbleSize>
            <c:numRef>
              <c:f>'10_Sales &amp; GP'!$E$217</c:f>
              <c:numCache>
                <c:formatCode>0.00</c:formatCode>
                <c:ptCount val="1"/>
                <c:pt idx="0">
                  <c:v>2.1319402985074598</c:v>
                </c:pt>
              </c:numCache>
            </c:numRef>
          </c:bubbleSize>
          <c:bubble3D val="0"/>
        </c:ser>
        <c:ser>
          <c:idx val="3"/>
          <c:order val="7"/>
          <c:tx>
            <c:strRef>
              <c:f>'10_Sales &amp; GP'!$E$209</c:f>
              <c:strCache>
                <c:ptCount val="1"/>
                <c:pt idx="0">
                  <c:v>Segment D 2012</c:v>
                </c:pt>
              </c:strCache>
            </c:strRef>
          </c:tx>
          <c:spPr>
            <a:solidFill>
              <a:srgbClr val="9D9375"/>
            </a:solidFill>
            <a:ln w="25400">
              <a:noFill/>
            </a:ln>
          </c:spPr>
          <c:invertIfNegative val="0"/>
          <c:xVal>
            <c:numRef>
              <c:f>'10_Sales &amp; GP'!$E$212</c:f>
              <c:numCache>
                <c:formatCode>0.0%</c:formatCode>
                <c:ptCount val="1"/>
                <c:pt idx="0">
                  <c:v>0.55234272608125912</c:v>
                </c:pt>
              </c:numCache>
            </c:numRef>
          </c:xVal>
          <c:yVal>
            <c:numRef>
              <c:f>'10_Sales &amp; GP'!$E$210</c:f>
              <c:numCache>
                <c:formatCode>0.0%</c:formatCode>
                <c:ptCount val="1"/>
                <c:pt idx="0">
                  <c:v>7.7857142857142861E-2</c:v>
                </c:pt>
              </c:numCache>
            </c:numRef>
          </c:yVal>
          <c:bubbleSize>
            <c:numRef>
              <c:f>'10_Sales &amp; GP'!$E$211</c:f>
              <c:numCache>
                <c:formatCode>0.0</c:formatCode>
                <c:ptCount val="1"/>
                <c:pt idx="0">
                  <c:v>2.4082142857142901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578131200"/>
        <c:axId val="578122576"/>
      </c:bubbleChart>
      <c:valAx>
        <c:axId val="578131200"/>
        <c:scaling>
          <c:orientation val="minMax"/>
          <c:max val="0.70000000000000062"/>
          <c:min val="0.5"/>
        </c:scaling>
        <c:delete val="0"/>
        <c:axPos val="b"/>
        <c:title>
          <c:tx>
            <c:strRef>
              <c:f>'10_Sales &amp; GP'!$A$222</c:f>
              <c:strCache>
                <c:ptCount val="1"/>
                <c:pt idx="0">
                  <c:v>Gross profit margin</c:v>
                </c:pt>
              </c:strCache>
            </c:strRef>
          </c:tx>
          <c:layout>
            <c:manualLayout>
              <c:xMode val="edge"/>
              <c:yMode val="edge"/>
              <c:x val="0.38266063964226765"/>
              <c:y val="0.73098960190951823"/>
            </c:manualLayout>
          </c:layout>
          <c:overlay val="0"/>
          <c:txPr>
            <a:bodyPr rot="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122576"/>
        <c:crosses val="autoZero"/>
        <c:crossBetween val="midCat"/>
      </c:valAx>
      <c:valAx>
        <c:axId val="578122576"/>
        <c:scaling>
          <c:orientation val="minMax"/>
        </c:scaling>
        <c:delete val="0"/>
        <c:axPos val="l"/>
        <c:title>
          <c:tx>
            <c:strRef>
              <c:f>'10_Sales &amp; GP'!$A$221</c:f>
              <c:strCache>
                <c:ptCount val="1"/>
                <c:pt idx="0">
                  <c:v>Share of sales</c:v>
                </c:pt>
              </c:strCache>
            </c:strRef>
          </c:tx>
          <c:layout>
            <c:manualLayout>
              <c:xMode val="edge"/>
              <c:yMode val="edge"/>
              <c:x val="6.4281087957156535E-2"/>
              <c:y val="0.2840289087650257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131200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8.8032468163701916E-2"/>
          <c:y val="0.83522949875168062"/>
          <c:w val="0.70846205596141132"/>
          <c:h val="0.10958670982453723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2.8571428571428591E-2"/>
          <c:y val="0.13181818181818244"/>
          <c:w val="0.64000000000000556"/>
          <c:h val="0.5363636363636366"/>
        </c:manualLayout>
      </c:layout>
      <c:barChart>
        <c:barDir val="col"/>
        <c:grouping val="percentStacked"/>
        <c:varyColors val="0"/>
        <c:ser>
          <c:idx val="4"/>
          <c:order val="0"/>
          <c:tx>
            <c:strRef>
              <c:f>'10_Sales &amp; GP'!$A$232</c:f>
              <c:strCache>
                <c:ptCount val="1"/>
                <c:pt idx="0">
                  <c:v>Region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sz="700">
                        <a:solidFill>
                          <a:schemeClr val="bg1"/>
                        </a:solidFill>
                      </a:rPr>
                      <a:t>Ger-</a:t>
                    </a:r>
                  </a:p>
                  <a:p>
                    <a:r>
                      <a:rPr lang="en-US" sz="700">
                        <a:solidFill>
                          <a:schemeClr val="bg1"/>
                        </a:solidFill>
                      </a:rPr>
                      <a:t>many</a:t>
                    </a:r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Product </a:t>
                    </a:r>
                  </a:p>
                  <a:p>
                    <a:r>
                      <a:rPr lang="en-US"/>
                      <a:t>A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Retail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Client</a:t>
                    </a:r>
                    <a:r>
                      <a:rPr lang="en-US" baseline="0"/>
                      <a:t> </a:t>
                    </a:r>
                    <a:r>
                      <a:rPr lang="en-US"/>
                      <a:t>X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0"/>
                  <c:y val="-2.764976958525399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close</a:t>
                    </a:r>
                  </a:p>
                  <a:p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GP'!$A$232:$E$232</c:f>
              <c:strCache>
                <c:ptCount val="5"/>
                <c:pt idx="0">
                  <c:v>Region</c:v>
                </c:pt>
                <c:pt idx="1">
                  <c:v>Product</c:v>
                </c:pt>
                <c:pt idx="2">
                  <c:v>Segment</c:v>
                </c:pt>
                <c:pt idx="3">
                  <c:v>Client</c:v>
                </c:pt>
                <c:pt idx="4">
                  <c:v>Network</c:v>
                </c:pt>
              </c:strCache>
            </c:strRef>
          </c:cat>
          <c:val>
            <c:numRef>
              <c:f>'10_Sales &amp; GP'!$A$233:$E$233</c:f>
              <c:numCache>
                <c:formatCode>General</c:formatCode>
                <c:ptCount val="5"/>
                <c:pt idx="0">
                  <c:v>50</c:v>
                </c:pt>
                <c:pt idx="1">
                  <c:v>40</c:v>
                </c:pt>
                <c:pt idx="2">
                  <c:v>30</c:v>
                </c:pt>
                <c:pt idx="3">
                  <c:v>20</c:v>
                </c:pt>
                <c:pt idx="4">
                  <c:v>10</c:v>
                </c:pt>
              </c:numCache>
            </c:numRef>
          </c:val>
        </c:ser>
        <c:ser>
          <c:idx val="0"/>
          <c:order val="1"/>
          <c:tx>
            <c:strRef>
              <c:f>'10_Sales &amp; GP'!$B$232</c:f>
              <c:strCache>
                <c:ptCount val="1"/>
                <c:pt idx="0">
                  <c:v>Product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sz="700">
                        <a:solidFill>
                          <a:schemeClr val="bg1"/>
                        </a:solidFill>
                      </a:rPr>
                      <a:t>E</a:t>
                    </a:r>
                    <a:r>
                      <a:rPr lang="en-US"/>
                      <a:t>ngland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Product</a:t>
                    </a:r>
                  </a:p>
                  <a:p>
                    <a:r>
                      <a:rPr lang="en-US"/>
                      <a:t>B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Whole-</a:t>
                    </a:r>
                  </a:p>
                  <a:p>
                    <a:r>
                      <a:rPr lang="en-US"/>
                      <a:t>sale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Client </a:t>
                    </a:r>
                  </a:p>
                  <a:p>
                    <a:r>
                      <a:rPr lang="en-US"/>
                      <a:t>Y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Extern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GP'!$A$232:$E$232</c:f>
              <c:strCache>
                <c:ptCount val="5"/>
                <c:pt idx="0">
                  <c:v>Region</c:v>
                </c:pt>
                <c:pt idx="1">
                  <c:v>Product</c:v>
                </c:pt>
                <c:pt idx="2">
                  <c:v>Segment</c:v>
                </c:pt>
                <c:pt idx="3">
                  <c:v>Client</c:v>
                </c:pt>
                <c:pt idx="4">
                  <c:v>Network</c:v>
                </c:pt>
              </c:strCache>
            </c:strRef>
          </c:cat>
          <c:val>
            <c:numRef>
              <c:f>'10_Sales &amp; GP'!$A$234:$E$234</c:f>
              <c:numCache>
                <c:formatCode>General</c:formatCode>
                <c:ptCount val="5"/>
                <c:pt idx="0">
                  <c:v>30</c:v>
                </c:pt>
                <c:pt idx="1">
                  <c:v>30</c:v>
                </c:pt>
                <c:pt idx="2">
                  <c:v>60</c:v>
                </c:pt>
                <c:pt idx="3">
                  <c:v>70</c:v>
                </c:pt>
                <c:pt idx="4">
                  <c:v>90</c:v>
                </c:pt>
              </c:numCache>
            </c:numRef>
          </c:val>
        </c:ser>
        <c:ser>
          <c:idx val="1"/>
          <c:order val="2"/>
          <c:tx>
            <c:strRef>
              <c:f>'10_Sales &amp; GP'!$C$232</c:f>
              <c:strCache>
                <c:ptCount val="1"/>
                <c:pt idx="0">
                  <c:v>Segment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sz="700">
                        <a:solidFill>
                          <a:schemeClr val="bg1"/>
                        </a:solidFill>
                      </a:rPr>
                      <a:t>F</a:t>
                    </a:r>
                    <a:r>
                      <a:rPr lang="en-US"/>
                      <a:t>rance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bg1"/>
                        </a:solidFill>
                      </a:rPr>
                      <a:t>P</a:t>
                    </a:r>
                    <a:r>
                      <a:rPr lang="en-US"/>
                      <a:t>roduct</a:t>
                    </a:r>
                  </a:p>
                  <a:p>
                    <a:r>
                      <a:rPr lang="en-US"/>
                      <a:t>C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bg1"/>
                        </a:solidFill>
                      </a:rPr>
                      <a:t>Other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bg1"/>
                        </a:solidFill>
                      </a:rPr>
                      <a:t>Other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GP'!$A$232:$E$232</c:f>
              <c:strCache>
                <c:ptCount val="5"/>
                <c:pt idx="0">
                  <c:v>Region</c:v>
                </c:pt>
                <c:pt idx="1">
                  <c:v>Product</c:v>
                </c:pt>
                <c:pt idx="2">
                  <c:v>Segment</c:v>
                </c:pt>
                <c:pt idx="3">
                  <c:v>Client</c:v>
                </c:pt>
                <c:pt idx="4">
                  <c:v>Network</c:v>
                </c:pt>
              </c:strCache>
            </c:strRef>
          </c:cat>
          <c:val>
            <c:numRef>
              <c:f>'10_Sales &amp; GP'!$A$235:$E$235</c:f>
              <c:numCache>
                <c:formatCode>General</c:formatCode>
                <c:ptCount val="5"/>
                <c:pt idx="0">
                  <c:v>15</c:v>
                </c:pt>
                <c:pt idx="1">
                  <c:v>20</c:v>
                </c:pt>
                <c:pt idx="2">
                  <c:v>10</c:v>
                </c:pt>
                <c:pt idx="3">
                  <c:v>10</c:v>
                </c:pt>
              </c:numCache>
            </c:numRef>
          </c:val>
        </c:ser>
        <c:ser>
          <c:idx val="2"/>
          <c:order val="3"/>
          <c:tx>
            <c:strRef>
              <c:f>'10_Sales &amp; GP'!$D$232</c:f>
              <c:strCache>
                <c:ptCount val="1"/>
                <c:pt idx="0">
                  <c:v>Client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0"/>
                  <c:y val="-1.3824884792626883E-2"/>
                </c:manualLayout>
              </c:layout>
              <c:tx>
                <c:rich>
                  <a:bodyPr/>
                  <a:lstStyle/>
                  <a:p>
                    <a:r>
                      <a:rPr lang="en-US" sz="700">
                        <a:solidFill>
                          <a:sysClr val="windowText" lastClr="000000"/>
                        </a:solidFill>
                      </a:rPr>
                      <a:t>Other</a:t>
                    </a:r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pPr>
                      <a:defRPr sz="700">
                        <a:solidFill>
                          <a:schemeClr val="bg1"/>
                        </a:solidFill>
                      </a:defRPr>
                    </a:pPr>
                    <a:r>
                      <a:rPr lang="en-US">
                        <a:solidFill>
                          <a:schemeClr val="bg1"/>
                        </a:solidFill>
                      </a:rPr>
                      <a:t>Other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GP'!$A$232:$E$232</c:f>
              <c:strCache>
                <c:ptCount val="5"/>
                <c:pt idx="0">
                  <c:v>Region</c:v>
                </c:pt>
                <c:pt idx="1">
                  <c:v>Product</c:v>
                </c:pt>
                <c:pt idx="2">
                  <c:v>Segment</c:v>
                </c:pt>
                <c:pt idx="3">
                  <c:v>Client</c:v>
                </c:pt>
                <c:pt idx="4">
                  <c:v>Network</c:v>
                </c:pt>
              </c:strCache>
            </c:strRef>
          </c:cat>
          <c:val>
            <c:numRef>
              <c:f>'10_Sales &amp; GP'!$A$236:$E$236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578126888"/>
        <c:axId val="578124144"/>
      </c:barChart>
      <c:catAx>
        <c:axId val="578126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124144"/>
        <c:crosses val="autoZero"/>
        <c:auto val="1"/>
        <c:lblAlgn val="ctr"/>
        <c:lblOffset val="100"/>
        <c:noMultiLvlLbl val="0"/>
      </c:catAx>
      <c:valAx>
        <c:axId val="57812414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126888"/>
        <c:crosses val="autoZero"/>
        <c:crossBetween val="between"/>
        <c:majorUnit val="0.2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2.8571428571428591E-2"/>
          <c:y val="0.13181818181818244"/>
          <c:w val="0.64000000000000556"/>
          <c:h val="0.5363636363636366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'10_Sales &amp; GP'!$A$241</c:f>
              <c:strCache>
                <c:ptCount val="1"/>
                <c:pt idx="0">
                  <c:v>Region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sz="700" b="0" i="0" u="none" strike="noStrike" kern="1200" baseline="0">
                        <a:solidFill>
                          <a:schemeClr val="bg1"/>
                        </a:solidFill>
                        <a:latin typeface="Arial"/>
                        <a:ea typeface="Arial"/>
                        <a:cs typeface="Arial"/>
                      </a:rPr>
                      <a:t>Ger-</a:t>
                    </a:r>
                  </a:p>
                  <a:p>
                    <a:r>
                      <a:rPr lang="en-US" sz="700" b="0" i="0" u="none" strike="noStrike" kern="1200" baseline="0">
                        <a:solidFill>
                          <a:schemeClr val="bg1"/>
                        </a:solidFill>
                        <a:latin typeface="Arial"/>
                        <a:ea typeface="Arial"/>
                        <a:cs typeface="Arial"/>
                      </a:rPr>
                      <a:t>many</a:t>
                    </a:r>
                    <a:endParaRPr lang="en-US" sz="700" b="0" i="0" u="none" strike="noStrike" kern="1200" baseline="0">
                      <a:solidFill>
                        <a:sysClr val="window" lastClr="FFFFFF"/>
                      </a:solidFill>
                      <a:latin typeface="Arial"/>
                      <a:ea typeface="Arial"/>
                      <a:cs typeface="Arial"/>
                    </a:endParaRPr>
                  </a:p>
                  <a:p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bg1"/>
                        </a:solidFill>
                      </a:rPr>
                      <a:t>P</a:t>
                    </a:r>
                    <a:r>
                      <a:rPr lang="en-US"/>
                      <a:t>roduct</a:t>
                    </a:r>
                  </a:p>
                  <a:p>
                    <a:r>
                      <a:rPr lang="en-US"/>
                      <a:t>A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Retail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Client</a:t>
                    </a:r>
                  </a:p>
                  <a:p>
                    <a:r>
                      <a:rPr lang="en-US"/>
                      <a:t>X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Close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GP'!$A$241:$E$241</c:f>
              <c:strCache>
                <c:ptCount val="5"/>
                <c:pt idx="0">
                  <c:v>Region</c:v>
                </c:pt>
                <c:pt idx="1">
                  <c:v>Product</c:v>
                </c:pt>
                <c:pt idx="2">
                  <c:v>Segment</c:v>
                </c:pt>
                <c:pt idx="3">
                  <c:v>Client</c:v>
                </c:pt>
                <c:pt idx="4">
                  <c:v>Network</c:v>
                </c:pt>
              </c:strCache>
            </c:strRef>
          </c:cat>
          <c:val>
            <c:numRef>
              <c:f>'10_Sales &amp; GP'!$A$242:$E$242</c:f>
              <c:numCache>
                <c:formatCode>General</c:formatCode>
                <c:ptCount val="5"/>
                <c:pt idx="0">
                  <c:v>70</c:v>
                </c:pt>
                <c:pt idx="1">
                  <c:v>20</c:v>
                </c:pt>
                <c:pt idx="2">
                  <c:v>15</c:v>
                </c:pt>
                <c:pt idx="3">
                  <c:v>60</c:v>
                </c:pt>
                <c:pt idx="4">
                  <c:v>15</c:v>
                </c:pt>
              </c:numCache>
            </c:numRef>
          </c:val>
        </c:ser>
        <c:ser>
          <c:idx val="1"/>
          <c:order val="1"/>
          <c:tx>
            <c:strRef>
              <c:f>'10_Sales &amp; GP'!$B$241</c:f>
              <c:strCache>
                <c:ptCount val="1"/>
                <c:pt idx="0">
                  <c:v>Product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sz="700">
                        <a:solidFill>
                          <a:schemeClr val="bg1"/>
                        </a:solidFill>
                      </a:rPr>
                      <a:t>E</a:t>
                    </a:r>
                    <a:r>
                      <a:rPr lang="en-US"/>
                      <a:t>ngland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bg1"/>
                        </a:solidFill>
                      </a:rPr>
                      <a:t>P</a:t>
                    </a:r>
                    <a:r>
                      <a:rPr lang="en-US"/>
                      <a:t>roduct</a:t>
                    </a:r>
                  </a:p>
                  <a:p>
                    <a:r>
                      <a:rPr lang="en-US"/>
                      <a:t>B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Whole-</a:t>
                    </a:r>
                  </a:p>
                  <a:p>
                    <a:r>
                      <a:rPr lang="en-US"/>
                      <a:t>sale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Client</a:t>
                    </a:r>
                    <a:br>
                      <a:rPr lang="en-US"/>
                    </a:br>
                    <a:r>
                      <a:rPr lang="en-US"/>
                      <a:t> Y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Extern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GP'!$A$241:$E$241</c:f>
              <c:strCache>
                <c:ptCount val="5"/>
                <c:pt idx="0">
                  <c:v>Region</c:v>
                </c:pt>
                <c:pt idx="1">
                  <c:v>Product</c:v>
                </c:pt>
                <c:pt idx="2">
                  <c:v>Segment</c:v>
                </c:pt>
                <c:pt idx="3">
                  <c:v>Client</c:v>
                </c:pt>
                <c:pt idx="4">
                  <c:v>Network</c:v>
                </c:pt>
              </c:strCache>
            </c:strRef>
          </c:cat>
          <c:val>
            <c:numRef>
              <c:f>'10_Sales &amp; GP'!$A$243:$E$243</c:f>
              <c:numCache>
                <c:formatCode>General</c:formatCode>
                <c:ptCount val="5"/>
                <c:pt idx="0">
                  <c:v>10</c:v>
                </c:pt>
                <c:pt idx="1">
                  <c:v>60</c:v>
                </c:pt>
                <c:pt idx="2">
                  <c:v>80</c:v>
                </c:pt>
                <c:pt idx="3">
                  <c:v>30</c:v>
                </c:pt>
                <c:pt idx="4">
                  <c:v>85</c:v>
                </c:pt>
              </c:numCache>
            </c:numRef>
          </c:val>
        </c:ser>
        <c:ser>
          <c:idx val="2"/>
          <c:order val="2"/>
          <c:tx>
            <c:strRef>
              <c:f>'10_Sales &amp; GP'!$C$241</c:f>
              <c:strCache>
                <c:ptCount val="1"/>
                <c:pt idx="0">
                  <c:v>Segment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sz="700"/>
                      <a:t>F</a:t>
                    </a:r>
                    <a:r>
                      <a:rPr lang="en-US"/>
                      <a:t>rance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Product</a:t>
                    </a:r>
                  </a:p>
                  <a:p>
                    <a:r>
                      <a:rPr lang="en-US"/>
                      <a:t>C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5.2165383649395649E-17"/>
                  <c:y val="3.4833434517914807E-4"/>
                </c:manualLayout>
              </c:layout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bg1"/>
                        </a:solidFill>
                      </a:rPr>
                      <a:t>Other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Other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GP'!$A$241:$E$241</c:f>
              <c:strCache>
                <c:ptCount val="5"/>
                <c:pt idx="0">
                  <c:v>Region</c:v>
                </c:pt>
                <c:pt idx="1">
                  <c:v>Product</c:v>
                </c:pt>
                <c:pt idx="2">
                  <c:v>Segment</c:v>
                </c:pt>
                <c:pt idx="3">
                  <c:v>Client</c:v>
                </c:pt>
                <c:pt idx="4">
                  <c:v>Network</c:v>
                </c:pt>
              </c:strCache>
            </c:strRef>
          </c:cat>
          <c:val>
            <c:numRef>
              <c:f>'10_Sales &amp; GP'!$A$244:$E$244</c:f>
              <c:numCache>
                <c:formatCode>General</c:formatCode>
                <c:ptCount val="5"/>
                <c:pt idx="0">
                  <c:v>15</c:v>
                </c:pt>
                <c:pt idx="1">
                  <c:v>15</c:v>
                </c:pt>
                <c:pt idx="2">
                  <c:v>5</c:v>
                </c:pt>
                <c:pt idx="3">
                  <c:v>10</c:v>
                </c:pt>
              </c:numCache>
            </c:numRef>
          </c:val>
        </c:ser>
        <c:ser>
          <c:idx val="3"/>
          <c:order val="3"/>
          <c:tx>
            <c:strRef>
              <c:f>'10_Sales &amp; GP'!$D$241</c:f>
              <c:strCache>
                <c:ptCount val="1"/>
                <c:pt idx="0">
                  <c:v>Client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0"/>
                  <c:y val="-1.8181818181818341E-2"/>
                </c:manualLayout>
              </c:layout>
              <c:tx>
                <c:rich>
                  <a:bodyPr/>
                  <a:lstStyle/>
                  <a:p>
                    <a:r>
                      <a:rPr lang="en-US" sz="700"/>
                      <a:t>Other</a:t>
                    </a:r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0"/>
                  <c:y val="-1.818181818181834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Other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GP'!$A$241:$E$241</c:f>
              <c:strCache>
                <c:ptCount val="5"/>
                <c:pt idx="0">
                  <c:v>Region</c:v>
                </c:pt>
                <c:pt idx="1">
                  <c:v>Product</c:v>
                </c:pt>
                <c:pt idx="2">
                  <c:v>Segment</c:v>
                </c:pt>
                <c:pt idx="3">
                  <c:v>Client</c:v>
                </c:pt>
                <c:pt idx="4">
                  <c:v>Network</c:v>
                </c:pt>
              </c:strCache>
            </c:strRef>
          </c:cat>
          <c:val>
            <c:numRef>
              <c:f>'10_Sales &amp; GP'!$A$245:$E$245</c:f>
              <c:numCache>
                <c:formatCode>General</c:formatCode>
                <c:ptCount val="5"/>
                <c:pt idx="0">
                  <c:v>5</c:v>
                </c:pt>
                <c:pt idx="1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578130024"/>
        <c:axId val="578125320"/>
      </c:barChart>
      <c:catAx>
        <c:axId val="578130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125320"/>
        <c:crosses val="autoZero"/>
        <c:auto val="1"/>
        <c:lblAlgn val="ctr"/>
        <c:lblOffset val="100"/>
        <c:noMultiLvlLbl val="0"/>
      </c:catAx>
      <c:valAx>
        <c:axId val="57812532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130024"/>
        <c:crosses val="autoZero"/>
        <c:crossBetween val="between"/>
        <c:majorUnit val="0.2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495950506186741"/>
          <c:y val="0.10208272792351085"/>
          <c:w val="0.74105568236855845"/>
          <c:h val="0.49700809418169006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GP'!$A$266:$A$270</c:f>
              <c:strCache>
                <c:ptCount val="5"/>
                <c:pt idx="0">
                  <c:v>Sales 2012</c:v>
                </c:pt>
                <c:pt idx="1">
                  <c:v>Launch of 
product B</c:v>
                </c:pt>
                <c:pt idx="2">
                  <c:v>Price increase in segment C</c:v>
                </c:pt>
                <c:pt idx="3">
                  <c:v>Expansion in region Y</c:v>
                </c:pt>
                <c:pt idx="4">
                  <c:v>Sales 2015</c:v>
                </c:pt>
              </c:strCache>
            </c:strRef>
          </c:cat>
          <c:val>
            <c:numRef>
              <c:f>'10_Sales &amp; GP'!$C$266:$C$270</c:f>
              <c:numCache>
                <c:formatCode>#,##0.0\ ;\(#,##0.0\);\-" "</c:formatCode>
                <c:ptCount val="5"/>
                <c:pt idx="0">
                  <c:v>59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67</c:v>
                </c:pt>
              </c:numCache>
            </c:numRef>
          </c:val>
        </c:ser>
        <c:ser>
          <c:idx val="1"/>
          <c:order val="1"/>
          <c:spPr>
            <a:solidFill>
              <a:srgbClr val="BFDEE4">
                <a:alpha val="0"/>
              </a:srgbClr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strRef>
              <c:f>'10_Sales &amp; GP'!$A$266:$A$270</c:f>
              <c:strCache>
                <c:ptCount val="5"/>
                <c:pt idx="0">
                  <c:v>Sales 2012</c:v>
                </c:pt>
                <c:pt idx="1">
                  <c:v>Launch of 
product B</c:v>
                </c:pt>
                <c:pt idx="2">
                  <c:v>Price increase in segment C</c:v>
                </c:pt>
                <c:pt idx="3">
                  <c:v>Expansion in region Y</c:v>
                </c:pt>
                <c:pt idx="4">
                  <c:v>Sales 2015</c:v>
                </c:pt>
              </c:strCache>
            </c:strRef>
          </c:cat>
          <c:val>
            <c:numRef>
              <c:f>'10_Sales &amp; GP'!$D$266:$D$270</c:f>
              <c:numCache>
                <c:formatCode>#,##0.0\ ;\(#,##0.0\);\-" "</c:formatCode>
                <c:ptCount val="5"/>
                <c:pt idx="1">
                  <c:v>59</c:v>
                </c:pt>
                <c:pt idx="2">
                  <c:v>62</c:v>
                </c:pt>
                <c:pt idx="3">
                  <c:v>65</c:v>
                </c:pt>
              </c:numCache>
            </c:numRef>
          </c:val>
        </c:ser>
        <c:ser>
          <c:idx val="2"/>
          <c:order val="2"/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Pt>
            <c:idx val="4"/>
            <c:invertIfNegative val="0"/>
            <c:bubble3D val="0"/>
          </c:dPt>
          <c:dPt>
            <c:idx val="5"/>
            <c:invertIfNegative val="0"/>
            <c:bubble3D val="0"/>
          </c:dPt>
          <c:dPt>
            <c:idx val="6"/>
            <c:invertIfNegative val="0"/>
            <c:bubble3D val="0"/>
          </c:dPt>
          <c:dPt>
            <c:idx val="7"/>
            <c:invertIfNegative val="0"/>
            <c:bubble3D val="0"/>
          </c:dPt>
          <c:dPt>
            <c:idx val="8"/>
            <c:invertIfNegative val="0"/>
            <c:bubble3D val="0"/>
          </c:dPt>
          <c:dPt>
            <c:idx val="9"/>
            <c:invertIfNegative val="0"/>
            <c:bubble3D val="0"/>
          </c:dPt>
          <c:dLbls>
            <c:dLbl>
              <c:idx val="1"/>
              <c:layout>
                <c:manualLayout>
                  <c:x val="0"/>
                  <c:y val="-4.389576656438716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0"/>
                  <c:y val="-3.29218249232904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3.1453246950136161E-7"/>
                  <c:y val="-3.84087957438388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GP'!$A$266:$A$270</c:f>
              <c:strCache>
                <c:ptCount val="5"/>
                <c:pt idx="0">
                  <c:v>Sales 2012</c:v>
                </c:pt>
                <c:pt idx="1">
                  <c:v>Launch of 
product B</c:v>
                </c:pt>
                <c:pt idx="2">
                  <c:v>Price increase in segment C</c:v>
                </c:pt>
                <c:pt idx="3">
                  <c:v>Expansion in region Y</c:v>
                </c:pt>
                <c:pt idx="4">
                  <c:v>Sales 2015</c:v>
                </c:pt>
              </c:strCache>
            </c:strRef>
          </c:cat>
          <c:val>
            <c:numRef>
              <c:f>'10_Sales &amp; GP'!$E$266:$E$270</c:f>
              <c:numCache>
                <c:formatCode>#,##0.0\ ;\(#,##0.0\);</c:formatCode>
                <c:ptCount val="5"/>
                <c:pt idx="1">
                  <c:v>3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100"/>
        <c:axId val="578131984"/>
        <c:axId val="578125712"/>
      </c:barChart>
      <c:catAx>
        <c:axId val="578131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/>
            </a:pPr>
            <a:endParaRPr lang="en-US"/>
          </a:p>
        </c:txPr>
        <c:crossAx val="578125712"/>
        <c:crosses val="autoZero"/>
        <c:auto val="1"/>
        <c:lblAlgn val="ctr"/>
        <c:lblOffset val="100"/>
        <c:tickLblSkip val="1"/>
        <c:noMultiLvlLbl val="0"/>
      </c:catAx>
      <c:valAx>
        <c:axId val="578125712"/>
        <c:scaling>
          <c:orientation val="minMax"/>
        </c:scaling>
        <c:delete val="0"/>
        <c:axPos val="l"/>
        <c:title>
          <c:tx>
            <c:strRef>
              <c:f>'10_Sales &amp; GP'!$A$274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6.3135435225992534E-2"/>
              <c:y val="0.21185132186881531"/>
            </c:manualLayout>
          </c:layout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crossAx val="57813198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 algn="ctr">
        <a:defRPr lang="de-DE" sz="800" b="0" i="0" u="none" strike="noStrike" kern="1200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495950506186741"/>
          <c:y val="8.420787928802756E-2"/>
          <c:w val="0.7410556823685589"/>
          <c:h val="0.51237516344223544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GP'!$A$285:$A$290</c:f>
              <c:strCache>
                <c:ptCount val="6"/>
                <c:pt idx="0">
                  <c:v>Gross profit 2012</c:v>
                </c:pt>
                <c:pt idx="1">
                  <c:v>Launch of
produkt B</c:v>
                </c:pt>
                <c:pt idx="2">
                  <c:v>Price increase in segment C</c:v>
                </c:pt>
                <c:pt idx="3">
                  <c:v>Expansion in region Y</c:v>
                </c:pt>
                <c:pt idx="4">
                  <c:v>Cost increase of the produkt C</c:v>
                </c:pt>
                <c:pt idx="5">
                  <c:v>Gross profit 2015</c:v>
                </c:pt>
              </c:strCache>
            </c:strRef>
          </c:cat>
          <c:val>
            <c:numRef>
              <c:f>'10_Sales &amp; GP'!$C$285:$C$290</c:f>
              <c:numCache>
                <c:formatCode>#,##0.0\ ;\(#,##0.0\);\-" "</c:formatCode>
                <c:ptCount val="6"/>
                <c:pt idx="0">
                  <c:v>33.5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42</c:v>
                </c:pt>
              </c:numCache>
            </c:numRef>
          </c:val>
        </c:ser>
        <c:ser>
          <c:idx val="1"/>
          <c:order val="1"/>
          <c:spPr>
            <a:solidFill>
              <a:srgbClr val="BFDEE4">
                <a:alpha val="0"/>
              </a:srgbClr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strRef>
              <c:f>'10_Sales &amp; GP'!$A$285:$A$290</c:f>
              <c:strCache>
                <c:ptCount val="6"/>
                <c:pt idx="0">
                  <c:v>Gross profit 2012</c:v>
                </c:pt>
                <c:pt idx="1">
                  <c:v>Launch of
produkt B</c:v>
                </c:pt>
                <c:pt idx="2">
                  <c:v>Price increase in segment C</c:v>
                </c:pt>
                <c:pt idx="3">
                  <c:v>Expansion in region Y</c:v>
                </c:pt>
                <c:pt idx="4">
                  <c:v>Cost increase of the produkt C</c:v>
                </c:pt>
                <c:pt idx="5">
                  <c:v>Gross profit 2015</c:v>
                </c:pt>
              </c:strCache>
            </c:strRef>
          </c:cat>
          <c:val>
            <c:numRef>
              <c:f>'10_Sales &amp; GP'!$D$285:$D$290</c:f>
              <c:numCache>
                <c:formatCode>#,##0.0\ ;\(#,##0.0\);\-" "</c:formatCode>
                <c:ptCount val="6"/>
                <c:pt idx="1">
                  <c:v>33.5</c:v>
                </c:pt>
                <c:pt idx="2">
                  <c:v>35.5</c:v>
                </c:pt>
                <c:pt idx="3">
                  <c:v>42</c:v>
                </c:pt>
                <c:pt idx="4">
                  <c:v>42</c:v>
                </c:pt>
              </c:numCache>
            </c:numRef>
          </c:val>
        </c:ser>
        <c:ser>
          <c:idx val="2"/>
          <c:order val="2"/>
          <c:spPr>
            <a:solidFill>
              <a:schemeClr val="accent1"/>
            </a:solidFill>
            <a:ln w="25400">
              <a:noFill/>
            </a:ln>
          </c:spPr>
          <c:invertIfNegative val="0"/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 w="25400">
                <a:noFill/>
              </a:ln>
            </c:spPr>
          </c:dPt>
          <c:dPt>
            <c:idx val="5"/>
            <c:invertIfNegative val="0"/>
            <c:bubble3D val="0"/>
          </c:dPt>
          <c:dPt>
            <c:idx val="6"/>
            <c:invertIfNegative val="0"/>
            <c:bubble3D val="0"/>
          </c:dPt>
          <c:dPt>
            <c:idx val="7"/>
            <c:invertIfNegative val="0"/>
            <c:bubble3D val="0"/>
          </c:dPt>
          <c:dPt>
            <c:idx val="8"/>
            <c:invertIfNegative val="0"/>
            <c:bubble3D val="0"/>
          </c:dPt>
          <c:dPt>
            <c:idx val="9"/>
            <c:invertIfNegative val="0"/>
            <c:bubble3D val="0"/>
          </c:dPt>
          <c:dLbls>
            <c:dLbl>
              <c:idx val="1"/>
              <c:layout>
                <c:manualLayout>
                  <c:x val="0"/>
                  <c:y val="-4.51652711072070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5.6615932285234185E-17"/>
                  <c:y val="-7.1805212203240017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7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7.3075834652492492E-17"/>
                  <c:y val="-4.51652711072070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0"/>
                  <c:y val="-3.387395333040527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(1.0)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GP'!$A$285:$A$290</c:f>
              <c:strCache>
                <c:ptCount val="6"/>
                <c:pt idx="0">
                  <c:v>Gross profit 2012</c:v>
                </c:pt>
                <c:pt idx="1">
                  <c:v>Launch of
produkt B</c:v>
                </c:pt>
                <c:pt idx="2">
                  <c:v>Price increase in segment C</c:v>
                </c:pt>
                <c:pt idx="3">
                  <c:v>Expansion in region Y</c:v>
                </c:pt>
                <c:pt idx="4">
                  <c:v>Cost increase of the produkt C</c:v>
                </c:pt>
                <c:pt idx="5">
                  <c:v>Gross profit 2015</c:v>
                </c:pt>
              </c:strCache>
            </c:strRef>
          </c:cat>
          <c:val>
            <c:numRef>
              <c:f>'10_Sales &amp; GP'!$E$285:$E$290</c:f>
              <c:numCache>
                <c:formatCode>#,##0.0\ ;\(#,##0.0\);</c:formatCode>
                <c:ptCount val="6"/>
                <c:pt idx="1">
                  <c:v>2</c:v>
                </c:pt>
                <c:pt idx="2">
                  <c:v>6.5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100"/>
        <c:axId val="578132768"/>
        <c:axId val="578133160"/>
      </c:barChart>
      <c:catAx>
        <c:axId val="578132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/>
            </a:pPr>
            <a:endParaRPr lang="en-US"/>
          </a:p>
        </c:txPr>
        <c:crossAx val="578133160"/>
        <c:crosses val="autoZero"/>
        <c:auto val="1"/>
        <c:lblAlgn val="ctr"/>
        <c:lblOffset val="100"/>
        <c:tickLblSkip val="1"/>
        <c:noMultiLvlLbl val="0"/>
      </c:catAx>
      <c:valAx>
        <c:axId val="578133160"/>
        <c:scaling>
          <c:orientation val="minMax"/>
        </c:scaling>
        <c:delete val="0"/>
        <c:axPos val="l"/>
        <c:title>
          <c:tx>
            <c:strRef>
              <c:f>'10_Sales &amp; GP'!$A$294</c:f>
              <c:strCache>
                <c:ptCount val="1"/>
                <c:pt idx="0">
                  <c:v>Gross profit (€m)</c:v>
                </c:pt>
              </c:strCache>
            </c:strRef>
          </c:tx>
          <c:layout>
            <c:manualLayout>
              <c:xMode val="edge"/>
              <c:yMode val="edge"/>
              <c:x val="6.2303218476709755E-2"/>
              <c:y val="0.16865549731243962"/>
            </c:manualLayout>
          </c:layout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crossAx val="57813276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 algn="ctr">
        <a:defRPr lang="de-DE" sz="800" b="0" i="0" u="none" strike="noStrike" kern="1200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88321640717294"/>
          <c:y val="7.0897637795276566E-2"/>
          <c:w val="0.76929151882203206"/>
          <c:h val="0.506215461703642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'10_Sales &amp; GP'!$A$301</c:f>
              <c:strCache>
                <c:ptCount val="1"/>
                <c:pt idx="0">
                  <c:v>Contracted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GP'!$B$300:$E$300</c:f>
              <c:strCache>
                <c:ptCount val="4"/>
                <c:pt idx="0">
                  <c:v>Order backlog 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'10_Sales &amp; GP'!$B$301:$E$301</c:f>
              <c:numCache>
                <c:formatCode>General</c:formatCode>
                <c:ptCount val="4"/>
                <c:pt idx="1">
                  <c:v>45</c:v>
                </c:pt>
                <c:pt idx="2">
                  <c:v>25</c:v>
                </c:pt>
                <c:pt idx="3">
                  <c:v>10</c:v>
                </c:pt>
              </c:numCache>
            </c:numRef>
          </c:val>
        </c:ser>
        <c:ser>
          <c:idx val="1"/>
          <c:order val="1"/>
          <c:tx>
            <c:strRef>
              <c:f>'10_Sales &amp; GP'!$A$302</c:f>
              <c:strCache>
                <c:ptCount val="1"/>
                <c:pt idx="0">
                  <c:v>Still to acquire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tx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GP'!$B$300:$E$300</c:f>
              <c:strCache>
                <c:ptCount val="4"/>
                <c:pt idx="0">
                  <c:v>Order backlog 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('10_Sales &amp; GP'!$B$303,'10_Sales &amp; GP'!$C$302:$E$302)</c:f>
              <c:numCache>
                <c:formatCode>General</c:formatCode>
                <c:ptCount val="4"/>
                <c:pt idx="0">
                  <c:v>80</c:v>
                </c:pt>
                <c:pt idx="1">
                  <c:v>14</c:v>
                </c:pt>
                <c:pt idx="2">
                  <c:v>36</c:v>
                </c:pt>
                <c:pt idx="3">
                  <c:v>57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578137080"/>
        <c:axId val="578135904"/>
      </c:barChart>
      <c:catAx>
        <c:axId val="578137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135904"/>
        <c:crosses val="autoZero"/>
        <c:auto val="1"/>
        <c:lblAlgn val="ctr"/>
        <c:lblOffset val="100"/>
        <c:noMultiLvlLbl val="0"/>
      </c:catAx>
      <c:valAx>
        <c:axId val="578135904"/>
        <c:scaling>
          <c:orientation val="minMax"/>
        </c:scaling>
        <c:delete val="0"/>
        <c:axPos val="l"/>
        <c:title>
          <c:tx>
            <c:strRef>
              <c:f>'10_Sales &amp; GP'!$A$306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1.6930762066652374E-3"/>
              <c:y val="0.18605880697549898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13708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6305517932707434"/>
          <c:y val="0.73567237497441562"/>
          <c:w val="0.48515298087739378"/>
          <c:h val="6.747995705082353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'10_Sales &amp; GP'!$A$320</c:f>
              <c:strCache>
                <c:ptCount val="1"/>
                <c:pt idx="0">
                  <c:v>Production volume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GP'!$B$318:$G$318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GP'!$B$320:$G$320</c:f>
              <c:numCache>
                <c:formatCode>General</c:formatCode>
                <c:ptCount val="6"/>
                <c:pt idx="0">
                  <c:v>10</c:v>
                </c:pt>
                <c:pt idx="1">
                  <c:v>11.5</c:v>
                </c:pt>
                <c:pt idx="2">
                  <c:v>12.5</c:v>
                </c:pt>
                <c:pt idx="3">
                  <c:v>14</c:v>
                </c:pt>
                <c:pt idx="4">
                  <c:v>15.5</c:v>
                </c:pt>
                <c:pt idx="5">
                  <c:v>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578135120"/>
        <c:axId val="578134728"/>
      </c:barChart>
      <c:lineChart>
        <c:grouping val="standard"/>
        <c:varyColors val="0"/>
        <c:ser>
          <c:idx val="1"/>
          <c:order val="1"/>
          <c:tx>
            <c:strRef>
              <c:f>'10_Sales &amp; GP'!$A$321</c:f>
              <c:strCache>
                <c:ptCount val="1"/>
                <c:pt idx="0">
                  <c:v>Capacity</c:v>
                </c:pt>
              </c:strCache>
            </c:strRef>
          </c:tx>
          <c:spPr>
            <a:ln w="15875">
              <a:solidFill>
                <a:srgbClr val="8E258D"/>
              </a:solidFill>
              <a:prstDash val="sysDash"/>
            </a:ln>
          </c:spPr>
          <c:marker>
            <c:symbol val="none"/>
          </c:marker>
          <c:val>
            <c:numRef>
              <c:f>'10_Sales &amp; GP'!$B$321:$G$321</c:f>
              <c:numCache>
                <c:formatCode>General</c:formatCode>
                <c:ptCount val="6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8135120"/>
        <c:axId val="578134728"/>
      </c:lineChart>
      <c:lineChart>
        <c:grouping val="standard"/>
        <c:varyColors val="0"/>
        <c:ser>
          <c:idx val="2"/>
          <c:order val="2"/>
          <c:tx>
            <c:strRef>
              <c:f>'10_Sales &amp; GP'!$A$322</c:f>
              <c:strCache>
                <c:ptCount val="1"/>
                <c:pt idx="0">
                  <c:v>Degree of utilisation</c:v>
                </c:pt>
              </c:strCache>
            </c:strRef>
          </c:tx>
          <c:spPr>
            <a:ln w="12700">
              <a:solidFill>
                <a:srgbClr val="0091DA"/>
              </a:solidFill>
            </a:ln>
          </c:spPr>
          <c:marker>
            <c:symbol val="triang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1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'10_Sales &amp; GP'!$B$322:$G$322</c:f>
              <c:numCache>
                <c:formatCode>0%</c:formatCode>
                <c:ptCount val="6"/>
                <c:pt idx="0">
                  <c:v>0.5</c:v>
                </c:pt>
                <c:pt idx="1">
                  <c:v>0.57499999999999996</c:v>
                </c:pt>
                <c:pt idx="2">
                  <c:v>0.625</c:v>
                </c:pt>
                <c:pt idx="3">
                  <c:v>0.7</c:v>
                </c:pt>
                <c:pt idx="4">
                  <c:v>0.77500000000000002</c:v>
                </c:pt>
                <c:pt idx="5">
                  <c:v>0.85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8077104"/>
        <c:axId val="578135512"/>
      </c:lineChart>
      <c:catAx>
        <c:axId val="578135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134728"/>
        <c:crosses val="autoZero"/>
        <c:auto val="1"/>
        <c:lblAlgn val="ctr"/>
        <c:lblOffset val="100"/>
        <c:noMultiLvlLbl val="0"/>
      </c:catAx>
      <c:valAx>
        <c:axId val="578134728"/>
        <c:scaling>
          <c:orientation val="minMax"/>
        </c:scaling>
        <c:delete val="0"/>
        <c:axPos val="l"/>
        <c:title>
          <c:tx>
            <c:strRef>
              <c:f>'10_Sales &amp; GP'!$A$319</c:f>
              <c:strCache>
                <c:ptCount val="1"/>
                <c:pt idx="0">
                  <c:v>t million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32011560486757556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135120"/>
        <c:crosses val="autoZero"/>
        <c:crossBetween val="between"/>
      </c:valAx>
      <c:valAx>
        <c:axId val="578135512"/>
        <c:scaling>
          <c:orientation val="minMax"/>
          <c:max val="1.25"/>
        </c:scaling>
        <c:delete val="0"/>
        <c:axPos val="r"/>
        <c:numFmt formatCode="0%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578077104"/>
        <c:crosses val="max"/>
        <c:crossBetween val="between"/>
        <c:majorUnit val="0.25"/>
      </c:valAx>
      <c:catAx>
        <c:axId val="578077104"/>
        <c:scaling>
          <c:orientation val="minMax"/>
        </c:scaling>
        <c:delete val="1"/>
        <c:axPos val="b"/>
        <c:majorTickMark val="out"/>
        <c:minorTickMark val="none"/>
        <c:tickLblPos val="none"/>
        <c:crossAx val="578135512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7.569988751406076E-2"/>
          <c:y val="0.70070186113099564"/>
          <c:w val="0.67717142857143575"/>
          <c:h val="0.11747995705082315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31"/>
          <c:w val="0.60285714285714287"/>
          <c:h val="0.5363636363636366"/>
        </c:manualLayout>
      </c:layout>
      <c:barChart>
        <c:barDir val="col"/>
        <c:grouping val="clustered"/>
        <c:varyColors val="0"/>
        <c:ser>
          <c:idx val="1"/>
          <c:order val="2"/>
          <c:tx>
            <c:strRef>
              <c:f>'10_Sales &amp; GP'!$A$343</c:f>
              <c:strCache>
                <c:ptCount val="1"/>
                <c:pt idx="0">
                  <c:v>Unit costs (€)</c:v>
                </c:pt>
              </c:strCache>
            </c:strRef>
          </c:tx>
          <c:spPr>
            <a:solidFill>
              <a:schemeClr val="tx2"/>
            </a:solidFill>
            <a:ln w="25400">
              <a:noFill/>
            </a:ln>
          </c:spPr>
          <c:invertIfNegative val="0"/>
          <c:val>
            <c:numRef>
              <c:f>'10_Sales &amp; GP'!$B$343:$G$343</c:f>
              <c:numCache>
                <c:formatCode>#,##0.0</c:formatCode>
                <c:ptCount val="6"/>
                <c:pt idx="0">
                  <c:v>2000</c:v>
                </c:pt>
                <c:pt idx="1">
                  <c:v>1833.3333333333333</c:v>
                </c:pt>
                <c:pt idx="2">
                  <c:v>1730.7692307692309</c:v>
                </c:pt>
                <c:pt idx="3">
                  <c:v>1642.8571428571429</c:v>
                </c:pt>
                <c:pt idx="4">
                  <c:v>1586.2068965517242</c:v>
                </c:pt>
                <c:pt idx="5">
                  <c:v>1562.5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578079848"/>
        <c:axId val="578077496"/>
      </c:barChart>
      <c:lineChart>
        <c:grouping val="standard"/>
        <c:varyColors val="0"/>
        <c:ser>
          <c:idx val="0"/>
          <c:order val="0"/>
          <c:tx>
            <c:strRef>
              <c:f>'10_Sales &amp; GP'!$A$341</c:f>
              <c:strCache>
                <c:ptCount val="1"/>
                <c:pt idx="0">
                  <c:v>Production costs (€'000)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cat>
            <c:numRef>
              <c:f>'10_Sales &amp; GP'!$B$339:$G$339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GP'!$B$341:$G$341</c:f>
              <c:numCache>
                <c:formatCode>#,##0.0</c:formatCode>
                <c:ptCount val="6"/>
                <c:pt idx="0">
                  <c:v>20000</c:v>
                </c:pt>
                <c:pt idx="1">
                  <c:v>22000</c:v>
                </c:pt>
                <c:pt idx="2">
                  <c:v>22500</c:v>
                </c:pt>
                <c:pt idx="3">
                  <c:v>23000</c:v>
                </c:pt>
                <c:pt idx="4">
                  <c:v>23000</c:v>
                </c:pt>
                <c:pt idx="5">
                  <c:v>25000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'10_Sales &amp; GP'!$A$342</c:f>
              <c:strCache>
                <c:ptCount val="1"/>
                <c:pt idx="0">
                  <c:v>Production volume (Piece)</c:v>
                </c:pt>
              </c:strCache>
            </c:strRef>
          </c:tx>
          <c:spPr>
            <a:ln w="12700">
              <a:solidFill>
                <a:schemeClr val="accent2"/>
              </a:solidFill>
            </a:ln>
          </c:spPr>
          <c:marker>
            <c:symbol val="squar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'10_Sales &amp; GP'!$B$342:$G$342</c:f>
              <c:numCache>
                <c:formatCode>#,##0</c:formatCode>
                <c:ptCount val="6"/>
                <c:pt idx="0">
                  <c:v>10000</c:v>
                </c:pt>
                <c:pt idx="1">
                  <c:v>12000</c:v>
                </c:pt>
                <c:pt idx="2">
                  <c:v>13000</c:v>
                </c:pt>
                <c:pt idx="3">
                  <c:v>14000</c:v>
                </c:pt>
                <c:pt idx="4">
                  <c:v>14500</c:v>
                </c:pt>
                <c:pt idx="5">
                  <c:v>16000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8081416"/>
        <c:axId val="578080632"/>
      </c:lineChart>
      <c:catAx>
        <c:axId val="578081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080632"/>
        <c:crosses val="autoZero"/>
        <c:auto val="1"/>
        <c:lblAlgn val="ctr"/>
        <c:lblOffset val="100"/>
        <c:noMultiLvlLbl val="0"/>
      </c:catAx>
      <c:valAx>
        <c:axId val="578080632"/>
        <c:scaling>
          <c:orientation val="minMax"/>
        </c:scaling>
        <c:delete val="0"/>
        <c:axPos val="l"/>
        <c:title>
          <c:tx>
            <c:strRef>
              <c:f>'10_Sales &amp; GP'!$A$346</c:f>
              <c:strCache>
                <c:ptCount val="1"/>
                <c:pt idx="0">
                  <c:v>Production volume (Piece)
&amp; Production costs (€'000)</c:v>
                </c:pt>
              </c:strCache>
            </c:strRef>
          </c:tx>
          <c:layout>
            <c:manualLayout>
              <c:xMode val="edge"/>
              <c:yMode val="edge"/>
              <c:x val="0"/>
              <c:y val="0.1110246957766645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081416"/>
        <c:crosses val="autoZero"/>
        <c:crossBetween val="between"/>
      </c:valAx>
      <c:valAx>
        <c:axId val="578077496"/>
        <c:scaling>
          <c:orientation val="minMax"/>
        </c:scaling>
        <c:delete val="0"/>
        <c:axPos val="r"/>
        <c:title>
          <c:tx>
            <c:strRef>
              <c:f>'10_Sales &amp; GP'!$A$343</c:f>
              <c:strCache>
                <c:ptCount val="1"/>
                <c:pt idx="0">
                  <c:v>Unit costs (€)</c:v>
                </c:pt>
              </c:strCache>
            </c:strRef>
          </c:tx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578079848"/>
        <c:crosses val="max"/>
        <c:crossBetween val="between"/>
      </c:valAx>
      <c:catAx>
        <c:axId val="578079848"/>
        <c:scaling>
          <c:orientation val="minMax"/>
        </c:scaling>
        <c:delete val="1"/>
        <c:axPos val="b"/>
        <c:majorTickMark val="out"/>
        <c:minorTickMark val="none"/>
        <c:tickLblPos val="none"/>
        <c:crossAx val="578077496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3.4471991001125003E-2"/>
          <c:y val="0.70454545454545703"/>
          <c:w val="0.70285714285714251"/>
          <c:h val="0.11747995705082315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'10_Sales &amp; GP'!$A$368</c:f>
              <c:strCache>
                <c:ptCount val="1"/>
                <c:pt idx="0">
                  <c:v>Still to acquire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GP'!$B$366:$E$366</c:f>
              <c:numCache>
                <c:formatCode>General</c:formatCod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numCache>
            </c:numRef>
          </c:cat>
          <c:val>
            <c:numRef>
              <c:f>'10_Sales &amp; GP'!$B$368:$E$368</c:f>
              <c:numCache>
                <c:formatCode>General</c:formatCode>
                <c:ptCount val="4"/>
                <c:pt idx="1">
                  <c:v>15</c:v>
                </c:pt>
                <c:pt idx="2">
                  <c:v>30</c:v>
                </c:pt>
                <c:pt idx="3">
                  <c:v>60</c:v>
                </c:pt>
              </c:numCache>
            </c:numRef>
          </c:val>
        </c:ser>
        <c:ser>
          <c:idx val="2"/>
          <c:order val="1"/>
          <c:tx>
            <c:strRef>
              <c:f>'10_Sales &amp; GP'!$A$370</c:f>
              <c:strCache>
                <c:ptCount val="1"/>
                <c:pt idx="0">
                  <c:v>Contracts without CoC-Clauses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GP'!$B$366:$E$366</c:f>
              <c:numCache>
                <c:formatCode>General</c:formatCod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numCache>
            </c:numRef>
          </c:cat>
          <c:val>
            <c:numRef>
              <c:f>'10_Sales &amp; GP'!$B$370:$E$370</c:f>
              <c:numCache>
                <c:formatCode>General</c:formatCode>
                <c:ptCount val="4"/>
                <c:pt idx="0">
                  <c:v>62</c:v>
                </c:pt>
                <c:pt idx="1">
                  <c:v>55</c:v>
                </c:pt>
                <c:pt idx="2">
                  <c:v>48</c:v>
                </c:pt>
                <c:pt idx="3">
                  <c:v>25.5</c:v>
                </c:pt>
              </c:numCache>
            </c:numRef>
          </c:val>
        </c:ser>
        <c:ser>
          <c:idx val="1"/>
          <c:order val="2"/>
          <c:tx>
            <c:strRef>
              <c:f>'10_Sales &amp; GP'!$A$369</c:f>
              <c:strCache>
                <c:ptCount val="1"/>
                <c:pt idx="0">
                  <c:v>Contracts with CoC-Clauses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2"/>
              <c:layout>
                <c:manualLayout>
                  <c:x val="0"/>
                  <c:y val="4.5454545454545504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GP'!$B$366:$E$366</c:f>
              <c:numCache>
                <c:formatCode>General</c:formatCod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numCache>
            </c:numRef>
          </c:cat>
          <c:val>
            <c:numRef>
              <c:f>'10_Sales &amp; GP'!$B$369:$E$369</c:f>
              <c:numCache>
                <c:formatCode>General</c:formatCode>
                <c:ptCount val="4"/>
                <c:pt idx="0">
                  <c:v>16</c:v>
                </c:pt>
                <c:pt idx="1">
                  <c:v>14</c:v>
                </c:pt>
                <c:pt idx="2">
                  <c:v>12</c:v>
                </c:pt>
                <c:pt idx="3">
                  <c:v>9.5</c:v>
                </c:pt>
              </c:numCache>
            </c:numRef>
          </c:val>
        </c:ser>
        <c:ser>
          <c:idx val="3"/>
          <c:order val="3"/>
          <c:tx>
            <c:v/>
          </c:tx>
          <c:spPr>
            <a:noFill/>
            <a:ln w="25400">
              <a:noFill/>
            </a:ln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 78 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 84 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 90 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 95 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vert="horz"/>
              <a:lstStyle/>
              <a:p>
                <a:pPr algn="ctr">
                  <a:defRPr sz="700" b="1">
                    <a:solidFill>
                      <a:srgbClr val="000000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4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</c:numLit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578078280"/>
        <c:axId val="578072400"/>
      </c:barChart>
      <c:catAx>
        <c:axId val="578078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072400"/>
        <c:crosses val="autoZero"/>
        <c:auto val="1"/>
        <c:lblAlgn val="ctr"/>
        <c:lblOffset val="100"/>
        <c:noMultiLvlLbl val="0"/>
      </c:catAx>
      <c:valAx>
        <c:axId val="578072400"/>
        <c:scaling>
          <c:orientation val="minMax"/>
        </c:scaling>
        <c:delete val="0"/>
        <c:axPos val="l"/>
        <c:title>
          <c:tx>
            <c:strRef>
              <c:f>'10_Sales &amp; GP'!$A$374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0.04"/>
              <c:y val="0.31018889459729859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07828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2851614783472215"/>
          <c:y val="0.69545437721155412"/>
          <c:w val="0.55445284278168749"/>
          <c:h val="0.1426913225648845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67416343574717"/>
          <c:y val="0.14828494484335394"/>
          <c:w val="0.77679986070981821"/>
          <c:h val="0.4440473790431842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'01_P&amp;L_small'!$A$46</c:f>
              <c:strCache>
                <c:ptCount val="1"/>
                <c:pt idx="0">
                  <c:v>COGS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'01_P&amp;L_small'!$B$46:$G$46</c:f>
              <c:numCache>
                <c:formatCode>#,##0.0</c:formatCode>
                <c:ptCount val="6"/>
                <c:pt idx="0">
                  <c:v>25</c:v>
                </c:pt>
                <c:pt idx="1">
                  <c:v>27</c:v>
                </c:pt>
                <c:pt idx="2">
                  <c:v>28</c:v>
                </c:pt>
                <c:pt idx="3">
                  <c:v>29</c:v>
                </c:pt>
                <c:pt idx="4">
                  <c:v>29.5</c:v>
                </c:pt>
                <c:pt idx="5">
                  <c:v>31.5</c:v>
                </c:pt>
              </c:numCache>
            </c:numRef>
          </c:val>
        </c:ser>
        <c:ser>
          <c:idx val="4"/>
          <c:order val="1"/>
          <c:tx>
            <c:strRef>
              <c:f>'01_P&amp;L_small'!$A$50</c:f>
              <c:strCache>
                <c:ptCount val="1"/>
                <c:pt idx="0">
                  <c:v>R&amp;D costs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bg1"/>
              </a:solidFill>
            </a:ln>
          </c:spPr>
          <c:invertIfNegative val="0"/>
          <c:dLbls>
            <c:delete val="1"/>
          </c:dLbls>
          <c:val>
            <c:numRef>
              <c:f>'01_P&amp;L_small'!$B$50:$G$50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1"/>
          <c:order val="2"/>
          <c:tx>
            <c:strRef>
              <c:f>'01_P&amp;L_small'!$A$52</c:f>
              <c:strCache>
                <c:ptCount val="1"/>
                <c:pt idx="0">
                  <c:v>Selling expenses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'01_P&amp;L_small'!$B$52:$G$52</c:f>
              <c:numCache>
                <c:formatCode>#,##0.0</c:formatCode>
                <c:ptCount val="6"/>
                <c:pt idx="0">
                  <c:v>7</c:v>
                </c:pt>
                <c:pt idx="1">
                  <c:v>8</c:v>
                </c:pt>
                <c:pt idx="2">
                  <c:v>8.5</c:v>
                </c:pt>
                <c:pt idx="3">
                  <c:v>9</c:v>
                </c:pt>
                <c:pt idx="4">
                  <c:v>9.5</c:v>
                </c:pt>
                <c:pt idx="5">
                  <c:v>10.5</c:v>
                </c:pt>
              </c:numCache>
            </c:numRef>
          </c:val>
        </c:ser>
        <c:ser>
          <c:idx val="2"/>
          <c:order val="3"/>
          <c:tx>
            <c:strRef>
              <c:f>'01_P&amp;L_small'!$A$54</c:f>
              <c:strCache>
                <c:ptCount val="1"/>
                <c:pt idx="0">
                  <c:v>G&amp;A expenses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'01_P&amp;L_small'!$B$54:$G$54</c:f>
              <c:numCache>
                <c:formatCode>#,##0.0</c:formatCode>
                <c:ptCount val="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ser>
          <c:idx val="3"/>
          <c:order val="4"/>
          <c:tx>
            <c:strRef>
              <c:f>'01_P&amp;L_small'!$A$56</c:f>
              <c:strCache>
                <c:ptCount val="1"/>
                <c:pt idx="0">
                  <c:v>Other operating result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'01_P&amp;L_small'!$B$56:$G$56</c:f>
              <c:numCache>
                <c:formatCode>#,##0.0;\(#,##0.0\)</c:formatCode>
                <c:ptCount val="6"/>
                <c:pt idx="0">
                  <c:v>-8</c:v>
                </c:pt>
                <c:pt idx="1">
                  <c:v>-8</c:v>
                </c:pt>
                <c:pt idx="2">
                  <c:v>-8</c:v>
                </c:pt>
                <c:pt idx="3">
                  <c:v>-8</c:v>
                </c:pt>
                <c:pt idx="4">
                  <c:v>-8</c:v>
                </c:pt>
                <c:pt idx="5">
                  <c:v>-8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578081024"/>
        <c:axId val="578075928"/>
      </c:barChart>
      <c:lineChart>
        <c:grouping val="standard"/>
        <c:varyColors val="0"/>
        <c:ser>
          <c:idx val="5"/>
          <c:order val="5"/>
          <c:tx>
            <c:strRef>
              <c:f>'01_P&amp;L_small'!$A$47</c:f>
              <c:strCache>
                <c:ptCount val="1"/>
                <c:pt idx="0">
                  <c:v>COGS ratio</c:v>
                </c:pt>
              </c:strCache>
            </c:strRef>
          </c:tx>
          <c:spPr>
            <a:ln w="12700">
              <a:solidFill>
                <a:schemeClr val="tx2"/>
              </a:solidFill>
            </a:ln>
          </c:spPr>
          <c:marker>
            <c:symbol val="square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val>
            <c:numRef>
              <c:f>'01_P&amp;L_small'!$B$47:$G$47</c:f>
              <c:numCache>
                <c:formatCode>0.0%</c:formatCode>
                <c:ptCount val="6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0.49152542372881358</c:v>
                </c:pt>
                <c:pt idx="4">
                  <c:v>0.48360655737704916</c:v>
                </c:pt>
                <c:pt idx="5">
                  <c:v>0.47014925373134331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'01_P&amp;L_small'!$A$51</c:f>
              <c:strCache>
                <c:ptCount val="1"/>
                <c:pt idx="0">
                  <c:v>R&amp;D ratio</c:v>
                </c:pt>
              </c:strCache>
            </c:strRef>
          </c:tx>
          <c:spPr>
            <a:ln w="12700">
              <a:solidFill>
                <a:schemeClr val="accent4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</c:marker>
          <c:val>
            <c:numRef>
              <c:f>'01_P&amp;L_small'!$B$51:$G$51</c:f>
              <c:numCache>
                <c:formatCode>0.0%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'01_P&amp;L_small'!$A$53</c:f>
              <c:strCache>
                <c:ptCount val="1"/>
                <c:pt idx="0">
                  <c:v>Selling expenses ratio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'01_P&amp;L_small'!$B$53:$G$53</c:f>
              <c:numCache>
                <c:formatCode>0.0%</c:formatCode>
                <c:ptCount val="6"/>
                <c:pt idx="0">
                  <c:v>0.14000000000000001</c:v>
                </c:pt>
                <c:pt idx="1">
                  <c:v>0.14814814814814814</c:v>
                </c:pt>
                <c:pt idx="2">
                  <c:v>0.15178571428571427</c:v>
                </c:pt>
                <c:pt idx="3">
                  <c:v>0.15254237288135594</c:v>
                </c:pt>
                <c:pt idx="4">
                  <c:v>0.15573770491803279</c:v>
                </c:pt>
                <c:pt idx="5">
                  <c:v>0.15671641791044777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'01_P&amp;L_small'!$A$55</c:f>
              <c:strCache>
                <c:ptCount val="1"/>
                <c:pt idx="0">
                  <c:v>G&amp;A ratio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'01_P&amp;L_small'!$B$55:$G$55</c:f>
              <c:numCache>
                <c:formatCode>0.0%</c:formatCode>
                <c:ptCount val="6"/>
                <c:pt idx="0">
                  <c:v>0.06</c:v>
                </c:pt>
                <c:pt idx="1">
                  <c:v>5.5555555555555552E-2</c:v>
                </c:pt>
                <c:pt idx="2">
                  <c:v>5.3571428571428568E-2</c:v>
                </c:pt>
                <c:pt idx="3">
                  <c:v>5.0847457627118647E-2</c:v>
                </c:pt>
                <c:pt idx="4">
                  <c:v>4.9180327868852458E-2</c:v>
                </c:pt>
                <c:pt idx="5">
                  <c:v>5.9701492537313432E-2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'01_P&amp;L_small'!$A$57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ln w="12700">
              <a:solidFill>
                <a:schemeClr val="accent3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'01_P&amp;L_small'!$B$57:$G$57</c:f>
              <c:numCache>
                <c:formatCode>0.0%;\(0.0\)%</c:formatCode>
                <c:ptCount val="6"/>
                <c:pt idx="0">
                  <c:v>-0.16</c:v>
                </c:pt>
                <c:pt idx="1">
                  <c:v>-0.14814814814814814</c:v>
                </c:pt>
                <c:pt idx="2">
                  <c:v>-0.14285714285714285</c:v>
                </c:pt>
                <c:pt idx="3">
                  <c:v>-0.13559322033898305</c:v>
                </c:pt>
                <c:pt idx="4">
                  <c:v>-0.13114754098360656</c:v>
                </c:pt>
                <c:pt idx="5">
                  <c:v>-0.11940298507462686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8075536"/>
        <c:axId val="578073184"/>
      </c:lineChart>
      <c:catAx>
        <c:axId val="578081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075928"/>
        <c:crosses val="autoZero"/>
        <c:auto val="1"/>
        <c:lblAlgn val="ctr"/>
        <c:lblOffset val="100"/>
        <c:noMultiLvlLbl val="0"/>
      </c:catAx>
      <c:valAx>
        <c:axId val="578075928"/>
        <c:scaling>
          <c:orientation val="minMax"/>
        </c:scaling>
        <c:delete val="0"/>
        <c:axPos val="l"/>
        <c:title>
          <c:tx>
            <c:strRef>
              <c:f>'01_P&amp;L_small'!$A$44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0303493502118195E-3"/>
              <c:y val="0.3201155652649636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;\(#,##0.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081024"/>
        <c:crosses val="autoZero"/>
        <c:crossBetween val="between"/>
      </c:valAx>
      <c:valAx>
        <c:axId val="578073184"/>
        <c:scaling>
          <c:orientation val="minMax"/>
        </c:scaling>
        <c:delete val="0"/>
        <c:axPos val="r"/>
        <c:numFmt formatCode="0%;\(0\)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578075536"/>
        <c:crosses val="max"/>
        <c:crossBetween val="between"/>
      </c:valAx>
      <c:catAx>
        <c:axId val="578075536"/>
        <c:scaling>
          <c:orientation val="minMax"/>
        </c:scaling>
        <c:delete val="1"/>
        <c:axPos val="b"/>
        <c:majorTickMark val="out"/>
        <c:minorTickMark val="none"/>
        <c:tickLblPos val="none"/>
        <c:crossAx val="578073184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2.8844499947450069E-2"/>
          <c:y val="0.69528791269989842"/>
          <c:w val="0.97115549989079264"/>
          <c:h val="0.253704598497722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'01_P&amp;L_small'!$A$27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numRef>
              <c:f>'01_P&amp;L_small'!$B$25:$G$25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'01_P&amp;L_small'!$B$27:$G$27</c:f>
              <c:numCache>
                <c:formatCode>#,##0.0;\-#,##0.0;\-;@</c:formatCode>
                <c:ptCount val="6"/>
                <c:pt idx="0">
                  <c:v>50</c:v>
                </c:pt>
                <c:pt idx="1">
                  <c:v>54</c:v>
                </c:pt>
                <c:pt idx="2">
                  <c:v>56</c:v>
                </c:pt>
                <c:pt idx="3">
                  <c:v>59</c:v>
                </c:pt>
                <c:pt idx="4">
                  <c:v>61</c:v>
                </c:pt>
                <c:pt idx="5">
                  <c:v>67</c:v>
                </c:pt>
              </c:numCache>
            </c:numRef>
          </c:val>
        </c:ser>
        <c:ser>
          <c:idx val="1"/>
          <c:order val="1"/>
          <c:tx>
            <c:strRef>
              <c:f>'01_P&amp;L_small'!$A$29</c:f>
              <c:strCache>
                <c:ptCount val="1"/>
                <c:pt idx="0">
                  <c:v>Gross profit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numRef>
              <c:f>'01_P&amp;L_small'!$B$25:$G$25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'01_P&amp;L_small'!$B$29:$G$29</c:f>
              <c:numCache>
                <c:formatCode>#,##0.0;\-#,##0.0;\-;@</c:formatCode>
                <c:ptCount val="6"/>
                <c:pt idx="0">
                  <c:v>25</c:v>
                </c:pt>
                <c:pt idx="1">
                  <c:v>27</c:v>
                </c:pt>
                <c:pt idx="2">
                  <c:v>28</c:v>
                </c:pt>
                <c:pt idx="3">
                  <c:v>30</c:v>
                </c:pt>
                <c:pt idx="4">
                  <c:v>31.5</c:v>
                </c:pt>
                <c:pt idx="5">
                  <c:v>35.5</c:v>
                </c:pt>
              </c:numCache>
            </c:numRef>
          </c:val>
        </c:ser>
        <c:ser>
          <c:idx val="2"/>
          <c:order val="2"/>
          <c:tx>
            <c:strRef>
              <c:f>'01_P&amp;L_small'!$A$33</c:f>
              <c:strCache>
                <c:ptCount val="1"/>
                <c:pt idx="0">
                  <c:v>EBIT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val>
            <c:numRef>
              <c:f>'01_P&amp;L_small'!$B$33:$G$33</c:f>
              <c:numCache>
                <c:formatCode>#,##0.0;\-#,##0.0;\-;@</c:formatCode>
                <c:ptCount val="6"/>
                <c:pt idx="0">
                  <c:v>7</c:v>
                </c:pt>
                <c:pt idx="1">
                  <c:v>8</c:v>
                </c:pt>
                <c:pt idx="2">
                  <c:v>8.5</c:v>
                </c:pt>
                <c:pt idx="3">
                  <c:v>10</c:v>
                </c:pt>
                <c:pt idx="4">
                  <c:v>11</c:v>
                </c:pt>
                <c:pt idx="5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578073576"/>
        <c:axId val="578079456"/>
      </c:barChart>
      <c:lineChart>
        <c:grouping val="standard"/>
        <c:varyColors val="0"/>
        <c:ser>
          <c:idx val="3"/>
          <c:order val="3"/>
          <c:tx>
            <c:strRef>
              <c:f>'01_P&amp;L_small'!$A$30</c:f>
              <c:strCache>
                <c:ptCount val="1"/>
                <c:pt idx="0">
                  <c:v>Gross profit margin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'01_P&amp;L_small'!$B$30:$G$30</c:f>
              <c:numCache>
                <c:formatCode>0.0%</c:formatCode>
                <c:ptCount val="6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0.50847457627118642</c:v>
                </c:pt>
                <c:pt idx="4">
                  <c:v>0.51639344262295084</c:v>
                </c:pt>
                <c:pt idx="5">
                  <c:v>0.52985074626865669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'01_P&amp;L_small'!$A$34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2"/>
              </a:solidFill>
              <a:ln w="6350">
                <a:solidFill>
                  <a:schemeClr val="accent2"/>
                </a:solidFill>
              </a:ln>
            </c:spPr>
          </c:marker>
          <c:val>
            <c:numRef>
              <c:f>'01_P&amp;L_small'!$B$34:$G$34</c:f>
              <c:numCache>
                <c:formatCode>0.0%</c:formatCode>
                <c:ptCount val="6"/>
                <c:pt idx="0">
                  <c:v>0.14000000000000001</c:v>
                </c:pt>
                <c:pt idx="1">
                  <c:v>0.14814814814814814</c:v>
                </c:pt>
                <c:pt idx="2">
                  <c:v>0.15178571428571427</c:v>
                </c:pt>
                <c:pt idx="3">
                  <c:v>0.16949152542372881</c:v>
                </c:pt>
                <c:pt idx="4">
                  <c:v>0.18032786885245902</c:v>
                </c:pt>
                <c:pt idx="5">
                  <c:v>0.19402985074626866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8081808"/>
        <c:axId val="578076320"/>
      </c:lineChart>
      <c:catAx>
        <c:axId val="578073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079456"/>
        <c:crosses val="autoZero"/>
        <c:auto val="1"/>
        <c:lblAlgn val="ctr"/>
        <c:lblOffset val="100"/>
        <c:noMultiLvlLbl val="0"/>
      </c:catAx>
      <c:valAx>
        <c:axId val="578079456"/>
        <c:scaling>
          <c:orientation val="minMax"/>
        </c:scaling>
        <c:delete val="0"/>
        <c:axPos val="l"/>
        <c:title>
          <c:tx>
            <c:strRef>
              <c:f>'01_P&amp;L_small'!$A$26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32011560486757584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;\-#,##0.0;\-;@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073576"/>
        <c:crosses val="autoZero"/>
        <c:crossBetween val="between"/>
      </c:valAx>
      <c:valAx>
        <c:axId val="578076320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578081808"/>
        <c:crosses val="max"/>
        <c:crossBetween val="between"/>
      </c:valAx>
      <c:catAx>
        <c:axId val="578081808"/>
        <c:scaling>
          <c:orientation val="minMax"/>
        </c:scaling>
        <c:delete val="1"/>
        <c:axPos val="b"/>
        <c:majorTickMark val="out"/>
        <c:minorTickMark val="none"/>
        <c:tickLblPos val="none"/>
        <c:crossAx val="578076320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5.2346011940274821E-2"/>
          <c:y val="0.69999992988154192"/>
          <c:w val="0.61021129448181965"/>
          <c:h val="0.12398310706106896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08073410982445"/>
          <c:y val="0.15363757408261286"/>
          <c:w val="0.74549257017061099"/>
          <c:h val="0.5939654186427424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'01_P&amp;L_small'!$A$63</c:f>
              <c:strCache>
                <c:ptCount val="1"/>
                <c:pt idx="0">
                  <c:v>EBIT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'01_P&amp;L_small'!$B$63:$G$63</c:f>
              <c:numCache>
                <c:formatCode>#,##0.0</c:formatCode>
                <c:ptCount val="6"/>
                <c:pt idx="0">
                  <c:v>7</c:v>
                </c:pt>
                <c:pt idx="1">
                  <c:v>8</c:v>
                </c:pt>
                <c:pt idx="2">
                  <c:v>8.5</c:v>
                </c:pt>
                <c:pt idx="3">
                  <c:v>10</c:v>
                </c:pt>
                <c:pt idx="4">
                  <c:v>11</c:v>
                </c:pt>
                <c:pt idx="5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578079064"/>
        <c:axId val="578083376"/>
      </c:barChart>
      <c:lineChart>
        <c:grouping val="standard"/>
        <c:varyColors val="0"/>
        <c:ser>
          <c:idx val="1"/>
          <c:order val="1"/>
          <c:tx>
            <c:strRef>
              <c:f>'01_P&amp;L_small'!$A$64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solidFill>
                <a:schemeClr val="accent1"/>
              </a:solidFill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1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'01_P&amp;L_small'!$B$64:$G$64</c:f>
              <c:numCache>
                <c:formatCode>0.0%</c:formatCode>
                <c:ptCount val="6"/>
                <c:pt idx="0">
                  <c:v>0.14000000000000001</c:v>
                </c:pt>
                <c:pt idx="1">
                  <c:v>0.14814814814814814</c:v>
                </c:pt>
                <c:pt idx="2">
                  <c:v>0.15178571428571427</c:v>
                </c:pt>
                <c:pt idx="3">
                  <c:v>0.16949152542372881</c:v>
                </c:pt>
                <c:pt idx="4">
                  <c:v>0.18032786885245902</c:v>
                </c:pt>
                <c:pt idx="5">
                  <c:v>0.19402985074626866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8072792"/>
        <c:axId val="578083768"/>
      </c:lineChart>
      <c:catAx>
        <c:axId val="578079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083376"/>
        <c:crosses val="autoZero"/>
        <c:auto val="1"/>
        <c:lblAlgn val="ctr"/>
        <c:lblOffset val="100"/>
        <c:noMultiLvlLbl val="0"/>
      </c:catAx>
      <c:valAx>
        <c:axId val="578083376"/>
        <c:scaling>
          <c:orientation val="minMax"/>
        </c:scaling>
        <c:delete val="0"/>
        <c:axPos val="l"/>
        <c:title>
          <c:tx>
            <c:strRef>
              <c:f>'01_P&amp;L_small'!$A$44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1.1847420063984591E-2"/>
              <c:y val="0.36700055265784526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079064"/>
        <c:crosses val="autoZero"/>
        <c:crossBetween val="between"/>
      </c:valAx>
      <c:valAx>
        <c:axId val="578083768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578072792"/>
        <c:crosses val="max"/>
        <c:crossBetween val="between"/>
      </c:valAx>
      <c:catAx>
        <c:axId val="5780727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578083768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7.1585951199362896E-2"/>
          <c:y val="0.8495788684379737"/>
          <c:w val="0.88354542367428768"/>
          <c:h val="6.7811441901752034E-2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87672733722336"/>
          <c:y val="0.15291353512493341"/>
          <c:w val="0.79687142886008777"/>
          <c:h val="0.4440473790431842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'01_P&amp;L_small'!$A$46</c:f>
              <c:strCache>
                <c:ptCount val="1"/>
                <c:pt idx="0">
                  <c:v>COGS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'01_P&amp;L_small'!$B$46:$G$46</c:f>
              <c:numCache>
                <c:formatCode>#,##0.0</c:formatCode>
                <c:ptCount val="6"/>
                <c:pt idx="0">
                  <c:v>25</c:v>
                </c:pt>
                <c:pt idx="1">
                  <c:v>27</c:v>
                </c:pt>
                <c:pt idx="2">
                  <c:v>28</c:v>
                </c:pt>
                <c:pt idx="3">
                  <c:v>29</c:v>
                </c:pt>
                <c:pt idx="4">
                  <c:v>29.5</c:v>
                </c:pt>
                <c:pt idx="5">
                  <c:v>31.5</c:v>
                </c:pt>
              </c:numCache>
            </c:numRef>
          </c:val>
        </c:ser>
        <c:ser>
          <c:idx val="1"/>
          <c:order val="1"/>
          <c:tx>
            <c:strRef>
              <c:f>'01_P&amp;L_small'!$A$52</c:f>
              <c:strCache>
                <c:ptCount val="1"/>
                <c:pt idx="0">
                  <c:v>Selling expenses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'01_P&amp;L_small'!$B$52:$G$52</c:f>
              <c:numCache>
                <c:formatCode>#,##0.0</c:formatCode>
                <c:ptCount val="6"/>
                <c:pt idx="0">
                  <c:v>7</c:v>
                </c:pt>
                <c:pt idx="1">
                  <c:v>8</c:v>
                </c:pt>
                <c:pt idx="2">
                  <c:v>8.5</c:v>
                </c:pt>
                <c:pt idx="3">
                  <c:v>9</c:v>
                </c:pt>
                <c:pt idx="4">
                  <c:v>9.5</c:v>
                </c:pt>
                <c:pt idx="5">
                  <c:v>10.5</c:v>
                </c:pt>
              </c:numCache>
            </c:numRef>
          </c:val>
        </c:ser>
        <c:ser>
          <c:idx val="2"/>
          <c:order val="2"/>
          <c:tx>
            <c:strRef>
              <c:f>'01_P&amp;L_small'!$A$54</c:f>
              <c:strCache>
                <c:ptCount val="1"/>
                <c:pt idx="0">
                  <c:v>G&amp;A expenses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'01_P&amp;L_small'!$B$54:$G$54</c:f>
              <c:numCache>
                <c:formatCode>#,##0.0</c:formatCode>
                <c:ptCount val="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ser>
          <c:idx val="3"/>
          <c:order val="3"/>
          <c:tx>
            <c:strRef>
              <c:f>'01_P&amp;L_small'!$A$56</c:f>
              <c:strCache>
                <c:ptCount val="1"/>
                <c:pt idx="0">
                  <c:v>Other operating result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;\(#,##0\)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'01_P&amp;L_small'!$B$56:$G$56</c:f>
              <c:numCache>
                <c:formatCode>#,##0.0;\(#,##0.0\)</c:formatCode>
                <c:ptCount val="6"/>
                <c:pt idx="0">
                  <c:v>-8</c:v>
                </c:pt>
                <c:pt idx="1">
                  <c:v>-8</c:v>
                </c:pt>
                <c:pt idx="2">
                  <c:v>-8</c:v>
                </c:pt>
                <c:pt idx="3">
                  <c:v>-8</c:v>
                </c:pt>
                <c:pt idx="4">
                  <c:v>-8</c:v>
                </c:pt>
                <c:pt idx="5">
                  <c:v>-8</c:v>
                </c:pt>
              </c:numCache>
            </c:numRef>
          </c:val>
        </c:ser>
        <c:ser>
          <c:idx val="4"/>
          <c:order val="4"/>
          <c:tx>
            <c:strRef>
              <c:f>'01_P&amp;L_small'!$A$50</c:f>
              <c:strCache>
                <c:ptCount val="1"/>
                <c:pt idx="0">
                  <c:v>R&amp;D costs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bg1"/>
              </a:solidFill>
            </a:ln>
          </c:spPr>
          <c:invertIfNegative val="0"/>
          <c:dLbls>
            <c:delete val="1"/>
          </c:dLbls>
          <c:val>
            <c:numRef>
              <c:f>'01_P&amp;L_small'!$B$50:$G$50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578072008"/>
        <c:axId val="578073968"/>
      </c:barChart>
      <c:catAx>
        <c:axId val="578072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073968"/>
        <c:crosses val="autoZero"/>
        <c:auto val="1"/>
        <c:lblAlgn val="ctr"/>
        <c:lblOffset val="100"/>
        <c:noMultiLvlLbl val="0"/>
      </c:catAx>
      <c:valAx>
        <c:axId val="578073968"/>
        <c:scaling>
          <c:orientation val="minMax"/>
        </c:scaling>
        <c:delete val="0"/>
        <c:axPos val="l"/>
        <c:title>
          <c:tx>
            <c:strRef>
              <c:f>'01_P&amp;L_small'!$A$44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1.2066112549525439E-2"/>
              <c:y val="0.32011564394325415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;\(#,##0.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07200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1645314373278499"/>
          <c:y val="0.70454549579850889"/>
          <c:w val="0.77977653913738521"/>
          <c:h val="0.171983618775314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16360844253971"/>
          <c:y val="0.15264102583305605"/>
          <c:w val="0.74550538715927561"/>
          <c:h val="0.4452406756957723"/>
        </c:manualLayout>
      </c:layout>
      <c:lineChart>
        <c:grouping val="standard"/>
        <c:varyColors val="0"/>
        <c:ser>
          <c:idx val="0"/>
          <c:order val="0"/>
          <c:tx>
            <c:strRef>
              <c:f>'01_P&amp;L_small'!$A$47</c:f>
              <c:strCache>
                <c:ptCount val="1"/>
                <c:pt idx="0">
                  <c:v>COGS ratio</c:v>
                </c:pt>
              </c:strCache>
            </c:strRef>
          </c:tx>
          <c:spPr>
            <a:ln w="12700">
              <a:solidFill>
                <a:schemeClr val="tx2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  <a:prstDash val="solid"/>
              </a:ln>
            </c:spPr>
          </c:marker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'01_P&amp;L_small'!$B$47:$G$47</c:f>
              <c:numCache>
                <c:formatCode>0.0%</c:formatCode>
                <c:ptCount val="6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0.49152542372881358</c:v>
                </c:pt>
                <c:pt idx="4">
                  <c:v>0.48360655737704916</c:v>
                </c:pt>
                <c:pt idx="5">
                  <c:v>0.47014925373134331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'01_P&amp;L_small'!$A$53</c:f>
              <c:strCache>
                <c:ptCount val="1"/>
                <c:pt idx="0">
                  <c:v>Selling expenses ratio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  <a:prstDash val="solid"/>
              </a:ln>
            </c:spPr>
          </c:marker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'01_P&amp;L_small'!$B$53:$G$53</c:f>
              <c:numCache>
                <c:formatCode>0.0%</c:formatCode>
                <c:ptCount val="6"/>
                <c:pt idx="0">
                  <c:v>0.14000000000000001</c:v>
                </c:pt>
                <c:pt idx="1">
                  <c:v>0.14814814814814814</c:v>
                </c:pt>
                <c:pt idx="2">
                  <c:v>0.15178571428571427</c:v>
                </c:pt>
                <c:pt idx="3">
                  <c:v>0.15254237288135594</c:v>
                </c:pt>
                <c:pt idx="4">
                  <c:v>0.15573770491803279</c:v>
                </c:pt>
                <c:pt idx="5">
                  <c:v>0.15671641791044777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'01_P&amp;L_small'!$A$55</c:f>
              <c:strCache>
                <c:ptCount val="1"/>
                <c:pt idx="0">
                  <c:v>G&amp;A ratio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  <a:prstDash val="solid"/>
              </a:ln>
            </c:spPr>
          </c:marker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'01_P&amp;L_small'!$B$55:$G$55</c:f>
              <c:numCache>
                <c:formatCode>0.0%</c:formatCode>
                <c:ptCount val="6"/>
                <c:pt idx="0">
                  <c:v>0.06</c:v>
                </c:pt>
                <c:pt idx="1">
                  <c:v>5.5555555555555552E-2</c:v>
                </c:pt>
                <c:pt idx="2">
                  <c:v>5.3571428571428568E-2</c:v>
                </c:pt>
                <c:pt idx="3">
                  <c:v>5.0847457627118647E-2</c:v>
                </c:pt>
                <c:pt idx="4">
                  <c:v>4.9180327868852458E-2</c:v>
                </c:pt>
                <c:pt idx="5">
                  <c:v>5.9701492537313432E-2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'01_P&amp;L_small'!$A$57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ln w="12700">
              <a:solidFill>
                <a:schemeClr val="accent4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4"/>
              </a:solidFill>
              <a:ln>
                <a:solidFill>
                  <a:schemeClr val="accent4"/>
                </a:solidFill>
                <a:prstDash val="solid"/>
              </a:ln>
            </c:spPr>
          </c:marker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'01_P&amp;L_small'!$B$57:$G$57</c:f>
              <c:numCache>
                <c:formatCode>0.0%;\(0.0\)%</c:formatCode>
                <c:ptCount val="6"/>
                <c:pt idx="0">
                  <c:v>-0.16</c:v>
                </c:pt>
                <c:pt idx="1">
                  <c:v>-0.14814814814814814</c:v>
                </c:pt>
                <c:pt idx="2">
                  <c:v>-0.14285714285714285</c:v>
                </c:pt>
                <c:pt idx="3">
                  <c:v>-0.13559322033898305</c:v>
                </c:pt>
                <c:pt idx="4">
                  <c:v>-0.13114754098360656</c:v>
                </c:pt>
                <c:pt idx="5">
                  <c:v>-0.11940298507462686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'01_P&amp;L_small'!$A$51</c:f>
              <c:strCache>
                <c:ptCount val="1"/>
                <c:pt idx="0">
                  <c:v>R&amp;D ratio</c:v>
                </c:pt>
              </c:strCache>
            </c:strRef>
          </c:tx>
          <c:spPr>
            <a:ln w="12700">
              <a:solidFill>
                <a:schemeClr val="accent3"/>
              </a:solidFill>
            </a:ln>
          </c:spPr>
          <c:marker>
            <c:symbol val="circl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'01_P&amp;L_small'!$B$51:$G$51</c:f>
              <c:numCache>
                <c:formatCode>0.0%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8074752"/>
        <c:axId val="578075144"/>
      </c:lineChart>
      <c:catAx>
        <c:axId val="578074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075144"/>
        <c:crosses val="autoZero"/>
        <c:auto val="1"/>
        <c:lblAlgn val="ctr"/>
        <c:lblOffset val="100"/>
        <c:noMultiLvlLbl val="0"/>
      </c:catAx>
      <c:valAx>
        <c:axId val="578075144"/>
        <c:scaling>
          <c:orientation val="minMax"/>
        </c:scaling>
        <c:delete val="0"/>
        <c:axPos val="l"/>
        <c:numFmt formatCode="0.0%;\(0.0\)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07475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3082351565381384"/>
          <c:y val="0.71336524365348775"/>
          <c:w val="0.80988809494538183"/>
          <c:h val="0.1359861254980992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37367829021214"/>
          <c:y val="9.3624910522550064E-2"/>
          <c:w val="0.75923685740437696"/>
          <c:h val="0.4771811023622081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'01_P&amp;L_small'!$A$82:$A$88</c:f>
              <c:strCache>
                <c:ptCount val="7"/>
                <c:pt idx="0">
                  <c:v>EBIT 2012</c:v>
                </c:pt>
                <c:pt idx="1">
                  <c:v>Scale effects</c:v>
                </c:pt>
                <c:pt idx="2">
                  <c:v>Procurement
conditions</c:v>
                </c:pt>
                <c:pt idx="3">
                  <c:v>Tariff Increas</c:v>
                </c:pt>
                <c:pt idx="4">
                  <c:v>Price reduction</c:v>
                </c:pt>
                <c:pt idx="5">
                  <c:v>Other</c:v>
                </c:pt>
                <c:pt idx="6">
                  <c:v>EBIT 2015</c:v>
                </c:pt>
              </c:strCache>
            </c:strRef>
          </c:cat>
          <c:val>
            <c:numRef>
              <c:f>'01_P&amp;L_small'!$C$82:$C$88</c:f>
              <c:numCache>
                <c:formatCode>#,##0.0</c:formatCode>
                <c:ptCount val="7"/>
                <c:pt idx="0">
                  <c:v>8.5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13</c:v>
                </c:pt>
              </c:numCache>
            </c:numRef>
          </c:val>
        </c:ser>
        <c:ser>
          <c:idx val="1"/>
          <c:order val="1"/>
          <c:spPr>
            <a:noFill/>
            <a:ln w="3175">
              <a:noFill/>
              <a:prstDash val="solid"/>
            </a:ln>
          </c:spPr>
          <c:invertIfNegative val="0"/>
          <c:dLbls>
            <c:delete val="1"/>
          </c:dLbls>
          <c:cat>
            <c:strRef>
              <c:f>'01_P&amp;L_small'!$A$82:$A$88</c:f>
              <c:strCache>
                <c:ptCount val="7"/>
                <c:pt idx="0">
                  <c:v>EBIT 2012</c:v>
                </c:pt>
                <c:pt idx="1">
                  <c:v>Scale effects</c:v>
                </c:pt>
                <c:pt idx="2">
                  <c:v>Procurement
conditions</c:v>
                </c:pt>
                <c:pt idx="3">
                  <c:v>Tariff Increas</c:v>
                </c:pt>
                <c:pt idx="4">
                  <c:v>Price reduction</c:v>
                </c:pt>
                <c:pt idx="5">
                  <c:v>Other</c:v>
                </c:pt>
                <c:pt idx="6">
                  <c:v>EBIT 2015</c:v>
                </c:pt>
              </c:strCache>
            </c:strRef>
          </c:cat>
          <c:val>
            <c:numRef>
              <c:f>'01_P&amp;L_small'!$D$82:$D$88</c:f>
              <c:numCache>
                <c:formatCode>#,##0.0</c:formatCode>
                <c:ptCount val="7"/>
                <c:pt idx="1">
                  <c:v>8.5</c:v>
                </c:pt>
                <c:pt idx="2">
                  <c:v>15.5</c:v>
                </c:pt>
                <c:pt idx="3">
                  <c:v>17</c:v>
                </c:pt>
                <c:pt idx="4">
                  <c:v>14</c:v>
                </c:pt>
                <c:pt idx="5">
                  <c:v>13</c:v>
                </c:pt>
              </c:numCache>
            </c:numRef>
          </c:val>
        </c:ser>
        <c:ser>
          <c:idx val="2"/>
          <c:order val="2"/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Pt>
            <c:idx val="3"/>
            <c:invertIfNegative val="0"/>
            <c:bubble3D val="0"/>
            <c:spPr>
              <a:solidFill>
                <a:schemeClr val="accent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Lbls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(</a:t>
                    </a:r>
                    <a:fld id="{D78C6C34-4128-4B54-A95E-6DDC23447A80}" type="VALUE">
                      <a:rPr lang="en-US"/>
                      <a:pPr/>
                      <a:t>[VALUE]</a:t>
                    </a:fld>
                    <a:r>
                      <a:rPr lang="en-US"/>
                      <a:t>)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(</a:t>
                    </a:r>
                    <a:fld id="{C95FCD95-501C-47C2-9E82-1470B7EDFDE1}" type="VALUE">
                      <a:rPr lang="en-US"/>
                      <a:pPr/>
                      <a:t>[VALUE]</a:t>
                    </a:fld>
                    <a:r>
                      <a:rPr lang="en-US"/>
                      <a:t>)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5"/>
              <c:layout>
                <c:manualLayout>
                  <c:x val="0"/>
                  <c:y val="2.1880654297033154E-2"/>
                </c:manualLayout>
              </c:layout>
              <c:tx>
                <c:rich>
                  <a:bodyPr/>
                  <a:lstStyle/>
                  <a:p>
                    <a:pPr>
                      <a:defRPr sz="700">
                        <a:solidFill>
                          <a:schemeClr val="tx1"/>
                        </a:solidFill>
                      </a:defRPr>
                    </a:pPr>
                    <a:r>
                      <a:rPr lang="en-US">
                        <a:solidFill>
                          <a:schemeClr val="tx1"/>
                        </a:solidFill>
                      </a:rPr>
                      <a:t>(</a:t>
                    </a:r>
                    <a:fld id="{F9856B91-ECD6-4110-8E6B-5EE2C7EFD62F}" type="VALUE">
                      <a:rPr lang="en-US">
                        <a:solidFill>
                          <a:schemeClr val="tx1"/>
                        </a:solidFill>
                      </a:rPr>
                      <a:pPr>
                        <a:defRPr sz="700">
                          <a:solidFill>
                            <a:schemeClr val="tx1"/>
                          </a:solidFill>
                        </a:defRPr>
                      </a:pPr>
                      <a:t>[VALUE]</a:t>
                    </a:fld>
                    <a:r>
                      <a:rPr lang="en-US">
                        <a:solidFill>
                          <a:schemeClr val="tx1"/>
                        </a:solidFill>
                      </a:rPr>
                      <a:t>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'01_P&amp;L_small'!$A$82:$A$88</c:f>
              <c:strCache>
                <c:ptCount val="7"/>
                <c:pt idx="0">
                  <c:v>EBIT 2012</c:v>
                </c:pt>
                <c:pt idx="1">
                  <c:v>Scale effects</c:v>
                </c:pt>
                <c:pt idx="2">
                  <c:v>Procurement
conditions</c:v>
                </c:pt>
                <c:pt idx="3">
                  <c:v>Tariff Increas</c:v>
                </c:pt>
                <c:pt idx="4">
                  <c:v>Price reduction</c:v>
                </c:pt>
                <c:pt idx="5">
                  <c:v>Other</c:v>
                </c:pt>
                <c:pt idx="6">
                  <c:v>EBIT 2015</c:v>
                </c:pt>
              </c:strCache>
            </c:strRef>
          </c:cat>
          <c:val>
            <c:numRef>
              <c:f>'01_P&amp;L_small'!$E$82:$E$88</c:f>
              <c:numCache>
                <c:formatCode>#,##0.0</c:formatCode>
                <c:ptCount val="7"/>
                <c:pt idx="1">
                  <c:v>7</c:v>
                </c:pt>
                <c:pt idx="2">
                  <c:v>4</c:v>
                </c:pt>
                <c:pt idx="3">
                  <c:v>2.5</c:v>
                </c:pt>
                <c:pt idx="4">
                  <c:v>3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100"/>
        <c:axId val="578088864"/>
        <c:axId val="578095136"/>
      </c:barChart>
      <c:catAx>
        <c:axId val="578088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095136"/>
        <c:crosses val="autoZero"/>
        <c:auto val="1"/>
        <c:lblAlgn val="ctr"/>
        <c:lblOffset val="100"/>
        <c:noMultiLvlLbl val="0"/>
      </c:catAx>
      <c:valAx>
        <c:axId val="578095136"/>
        <c:scaling>
          <c:orientation val="minMax"/>
        </c:scaling>
        <c:delete val="0"/>
        <c:axPos val="l"/>
        <c:title>
          <c:tx>
            <c:strRef>
              <c:f>'01_P&amp;L_small'!$A$81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0257714411050412E-2"/>
              <c:y val="0.28686954351098398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08886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749438834734476"/>
          <c:y val="0.15350237211316844"/>
          <c:w val="0.59496837746788012"/>
          <c:h val="0.4532095415389157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'01_P&amp;L_small'!$A$119</c:f>
              <c:strCache>
                <c:ptCount val="1"/>
                <c:pt idx="0">
                  <c:v>COGS ratio</c:v>
                </c:pt>
              </c:strCache>
            </c:strRef>
          </c:tx>
          <c:spPr>
            <a:solidFill>
              <a:schemeClr val="tx2"/>
            </a:solidFill>
            <a:ln w="6350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'01_P&amp;L_small'!$C$119:$G$119</c:f>
              <c:numCache>
                <c:formatCode>0.0%;\(0.0\)%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-8.4745762711864181E-3</c:v>
                </c:pt>
                <c:pt idx="3">
                  <c:v>-7.9188663517644198E-3</c:v>
                </c:pt>
                <c:pt idx="4">
                  <c:v>-1.3457303645705854E-2</c:v>
                </c:pt>
              </c:numCache>
            </c:numRef>
          </c:val>
        </c:ser>
        <c:ser>
          <c:idx val="4"/>
          <c:order val="1"/>
          <c:tx>
            <c:strRef>
              <c:f>'01_P&amp;L_small'!$A$120</c:f>
              <c:strCache>
                <c:ptCount val="1"/>
                <c:pt idx="0">
                  <c:v>R&amp;D ratio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'01_P&amp;L_small'!$C$120:$G$120</c:f>
              <c:numCache>
                <c:formatCode>0.0%;\(0.0\)%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2"/>
          <c:tx>
            <c:strRef>
              <c:f>'01_P&amp;L_small'!$A$121</c:f>
              <c:strCache>
                <c:ptCount val="1"/>
                <c:pt idx="0">
                  <c:v>Selling expenses ratio</c:v>
                </c:pt>
              </c:strCache>
            </c:strRef>
          </c:tx>
          <c:spPr>
            <a:solidFill>
              <a:schemeClr val="accent1"/>
            </a:solidFill>
            <a:ln w="6350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'01_P&amp;L_small'!$C$121:$G$121</c:f>
              <c:numCache>
                <c:formatCode>0.0%;\(0.0\)%</c:formatCode>
                <c:ptCount val="5"/>
                <c:pt idx="0">
                  <c:v>8.1481481481481266E-3</c:v>
                </c:pt>
                <c:pt idx="1">
                  <c:v>3.6375661375661339E-3</c:v>
                </c:pt>
                <c:pt idx="2">
                  <c:v>7.5665859564166826E-4</c:v>
                </c:pt>
                <c:pt idx="3">
                  <c:v>3.1953320366768512E-3</c:v>
                </c:pt>
                <c:pt idx="4">
                  <c:v>9.7871299241497622E-4</c:v>
                </c:pt>
              </c:numCache>
            </c:numRef>
          </c:val>
        </c:ser>
        <c:ser>
          <c:idx val="2"/>
          <c:order val="3"/>
          <c:tx>
            <c:strRef>
              <c:f>'01_P&amp;L_small'!$A$122</c:f>
              <c:strCache>
                <c:ptCount val="1"/>
                <c:pt idx="0">
                  <c:v>G&amp;A ratio</c:v>
                </c:pt>
              </c:strCache>
            </c:strRef>
          </c:tx>
          <c:spPr>
            <a:solidFill>
              <a:schemeClr val="accent2"/>
            </a:solidFill>
            <a:ln w="6350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'01_P&amp;L_small'!$C$122:$G$122</c:f>
              <c:numCache>
                <c:formatCode>0.0%;\(0.0\)%</c:formatCode>
                <c:ptCount val="5"/>
                <c:pt idx="0">
                  <c:v>-4.4444444444444453E-3</c:v>
                </c:pt>
                <c:pt idx="1">
                  <c:v>-1.984126984126984E-3</c:v>
                </c:pt>
                <c:pt idx="2">
                  <c:v>-2.7239709443099211E-3</c:v>
                </c:pt>
                <c:pt idx="3">
                  <c:v>-1.6671297582661893E-3</c:v>
                </c:pt>
                <c:pt idx="4">
                  <c:v>1.0521164668460974E-2</c:v>
                </c:pt>
              </c:numCache>
            </c:numRef>
          </c:val>
        </c:ser>
        <c:ser>
          <c:idx val="3"/>
          <c:order val="4"/>
          <c:tx>
            <c:strRef>
              <c:f>'01_P&amp;L_small'!$A$123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'01_P&amp;L_small'!$C$123:$G$123</c:f>
              <c:numCache>
                <c:formatCode>0.0%;\(0.0\)%</c:formatCode>
                <c:ptCount val="5"/>
                <c:pt idx="0">
                  <c:v>1.1851851851851863E-2</c:v>
                </c:pt>
                <c:pt idx="1">
                  <c:v>5.2910052910052907E-3</c:v>
                </c:pt>
                <c:pt idx="2">
                  <c:v>7.2639225181597988E-3</c:v>
                </c:pt>
                <c:pt idx="3">
                  <c:v>4.4456793553764862E-3</c:v>
                </c:pt>
                <c:pt idx="4">
                  <c:v>1.1744555908979701E-2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578090040"/>
        <c:axId val="578084944"/>
      </c:barChart>
      <c:lineChart>
        <c:grouping val="standard"/>
        <c:varyColors val="0"/>
        <c:ser>
          <c:idx val="5"/>
          <c:order val="5"/>
          <c:tx>
            <c:strRef>
              <c:f>'01_P&amp;L_small'!$A$124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noFill/>
            </a:ln>
          </c:spPr>
          <c:marker>
            <c:symbol val="square"/>
            <c:size val="4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dLbls>
            <c:dLbl>
              <c:idx val="2"/>
              <c:layout>
                <c:manualLayout>
                  <c:x val="-4.7515398184911094E-2"/>
                  <c:y val="4.93980348100207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accent5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'01_P&amp;L_small'!$C$124:$G$124</c:f>
              <c:numCache>
                <c:formatCode>0.0%;\(0.0\)%</c:formatCode>
                <c:ptCount val="5"/>
                <c:pt idx="0">
                  <c:v>8.1481481481481266E-3</c:v>
                </c:pt>
                <c:pt idx="1">
                  <c:v>3.6375661375661339E-3</c:v>
                </c:pt>
                <c:pt idx="2">
                  <c:v>1.7705811138014532E-2</c:v>
                </c:pt>
                <c:pt idx="3">
                  <c:v>1.0836343428730216E-2</c:v>
                </c:pt>
                <c:pt idx="4">
                  <c:v>1.3701981893809639E-2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8090040"/>
        <c:axId val="578084944"/>
      </c:lineChart>
      <c:catAx>
        <c:axId val="578090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084944"/>
        <c:crosses val="autoZero"/>
        <c:auto val="1"/>
        <c:lblAlgn val="ctr"/>
        <c:lblOffset val="100"/>
        <c:noMultiLvlLbl val="0"/>
      </c:catAx>
      <c:valAx>
        <c:axId val="578084944"/>
        <c:scaling>
          <c:orientation val="minMax"/>
        </c:scaling>
        <c:delete val="0"/>
        <c:axPos val="l"/>
        <c:numFmt formatCode="0.0%;\(0.0\)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09004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1726701746945412"/>
          <c:y val="0.73047249192852159"/>
          <c:w val="0.72631654887009278"/>
          <c:h val="0.12659212129096348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749438834734487"/>
          <c:y val="0.15350237211316844"/>
          <c:w val="0.58386278029062566"/>
          <c:h val="0.4532095415389157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'01_P&amp;L_small'!$A$131</c:f>
              <c:strCache>
                <c:ptCount val="1"/>
                <c:pt idx="0">
                  <c:v>Gross profit margin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'01_P&amp;L_small'!$C$131:$G$131</c:f>
              <c:numCache>
                <c:formatCode>0.0%;\(0.0\)%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8.4745762711864181E-3</c:v>
                </c:pt>
                <c:pt idx="3">
                  <c:v>7.9188663517644198E-3</c:v>
                </c:pt>
                <c:pt idx="4">
                  <c:v>1.3457303645705854E-2</c:v>
                </c:pt>
              </c:numCache>
            </c:numRef>
          </c:val>
        </c:ser>
        <c:ser>
          <c:idx val="1"/>
          <c:order val="1"/>
          <c:tx>
            <c:strRef>
              <c:f>'01_P&amp;L_small'!$A$132</c:f>
              <c:strCache>
                <c:ptCount val="1"/>
                <c:pt idx="0">
                  <c:v>R&amp;D ratio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'01_P&amp;L_small'!$C$132:$G$132</c:f>
              <c:numCache>
                <c:formatCode>0.0%;\(0.0\)%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strRef>
              <c:f>'01_P&amp;L_small'!$A$133</c:f>
              <c:strCache>
                <c:ptCount val="1"/>
                <c:pt idx="0">
                  <c:v>Selling expenses ratio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'01_P&amp;L_small'!$C$133:$G$133</c:f>
              <c:numCache>
                <c:formatCode>0.0%;\(0.0\)%</c:formatCode>
                <c:ptCount val="5"/>
                <c:pt idx="0">
                  <c:v>8.1481481481481266E-3</c:v>
                </c:pt>
                <c:pt idx="1">
                  <c:v>3.6375661375661339E-3</c:v>
                </c:pt>
                <c:pt idx="2">
                  <c:v>7.5665859564166826E-4</c:v>
                </c:pt>
                <c:pt idx="3">
                  <c:v>3.1953320366768512E-3</c:v>
                </c:pt>
                <c:pt idx="4">
                  <c:v>9.7871299241497622E-4</c:v>
                </c:pt>
              </c:numCache>
            </c:numRef>
          </c:val>
        </c:ser>
        <c:ser>
          <c:idx val="3"/>
          <c:order val="3"/>
          <c:tx>
            <c:strRef>
              <c:f>'01_P&amp;L_small'!$A$134</c:f>
              <c:strCache>
                <c:ptCount val="1"/>
                <c:pt idx="0">
                  <c:v>G&amp;A ratio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'01_P&amp;L_small'!$C$134:$G$134</c:f>
              <c:numCache>
                <c:formatCode>0.0%;\(0.0\)%</c:formatCode>
                <c:ptCount val="5"/>
                <c:pt idx="0">
                  <c:v>-4.4444444444444453E-3</c:v>
                </c:pt>
                <c:pt idx="1">
                  <c:v>-1.984126984126984E-3</c:v>
                </c:pt>
                <c:pt idx="2">
                  <c:v>-2.7239709443099211E-3</c:v>
                </c:pt>
                <c:pt idx="3">
                  <c:v>-1.6671297582661893E-3</c:v>
                </c:pt>
                <c:pt idx="4">
                  <c:v>1.0521164668460974E-2</c:v>
                </c:pt>
              </c:numCache>
            </c:numRef>
          </c:val>
        </c:ser>
        <c:ser>
          <c:idx val="4"/>
          <c:order val="4"/>
          <c:tx>
            <c:strRef>
              <c:f>'01_P&amp;L_small'!$A$135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'01_P&amp;L_small'!$C$135:$G$135</c:f>
              <c:numCache>
                <c:formatCode>0.0%;\(0.0\)%</c:formatCode>
                <c:ptCount val="5"/>
                <c:pt idx="0">
                  <c:v>1.1851851851851863E-2</c:v>
                </c:pt>
                <c:pt idx="1">
                  <c:v>5.2910052910052907E-3</c:v>
                </c:pt>
                <c:pt idx="2">
                  <c:v>7.2639225181597988E-3</c:v>
                </c:pt>
                <c:pt idx="3">
                  <c:v>4.4456793553764862E-3</c:v>
                </c:pt>
                <c:pt idx="4">
                  <c:v>1.1744555908979701E-2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578096704"/>
        <c:axId val="578092392"/>
      </c:barChart>
      <c:lineChart>
        <c:grouping val="standard"/>
        <c:varyColors val="0"/>
        <c:ser>
          <c:idx val="5"/>
          <c:order val="5"/>
          <c:tx>
            <c:strRef>
              <c:f>'01_P&amp;L_small'!$A$136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noFill/>
            </a:ln>
          </c:spPr>
          <c:marker>
            <c:symbol val="square"/>
            <c:size val="4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dLbls>
            <c:dLbl>
              <c:idx val="2"/>
              <c:layout>
                <c:manualLayout>
                  <c:x val="-4.7515398184911094E-2"/>
                  <c:y val="4.93980348100208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4.7624346277956933E-2"/>
                  <c:y val="-3.76302300596884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accent5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'01_P&amp;L_small'!$C$136:$G$136</c:f>
              <c:numCache>
                <c:formatCode>0.0%;\(0.0\)%</c:formatCode>
                <c:ptCount val="5"/>
                <c:pt idx="0">
                  <c:v>8.1481481481481266E-3</c:v>
                </c:pt>
                <c:pt idx="1">
                  <c:v>3.6375661375661339E-3</c:v>
                </c:pt>
                <c:pt idx="2">
                  <c:v>1.7705811138014532E-2</c:v>
                </c:pt>
                <c:pt idx="3">
                  <c:v>1.0836343428730216E-2</c:v>
                </c:pt>
                <c:pt idx="4">
                  <c:v>1.3701981893809639E-2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8096704"/>
        <c:axId val="578092392"/>
      </c:lineChart>
      <c:catAx>
        <c:axId val="578096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092392"/>
        <c:crosses val="autoZero"/>
        <c:auto val="1"/>
        <c:lblAlgn val="ctr"/>
        <c:lblOffset val="100"/>
        <c:noMultiLvlLbl val="0"/>
      </c:catAx>
      <c:valAx>
        <c:axId val="578092392"/>
        <c:scaling>
          <c:orientation val="minMax"/>
        </c:scaling>
        <c:delete val="0"/>
        <c:axPos val="l"/>
        <c:numFmt formatCode="0.0%;\(0.0\)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096704"/>
        <c:crosses val="autoZero"/>
        <c:crossBetween val="between"/>
        <c:majorUnit val="1.0000000000000005E-2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1726701746945412"/>
          <c:y val="0.71676748112413413"/>
          <c:w val="0.70132895522127026"/>
          <c:h val="0.1361356778920264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75556658517654"/>
          <c:y val="5.2822191187640324E-2"/>
          <c:w val="0.61620047050827298"/>
          <c:h val="0.46117883269566412"/>
        </c:manualLayout>
      </c:layout>
      <c:barChart>
        <c:barDir val="col"/>
        <c:grouping val="stacked"/>
        <c:varyColors val="0"/>
        <c:ser>
          <c:idx val="3"/>
          <c:order val="0"/>
          <c:tx>
            <c:strRef>
              <c:f>'01_P&amp;L_small'!$A$147</c:f>
              <c:strCache>
                <c:ptCount val="1"/>
                <c:pt idx="0">
                  <c:v>Not approved cost reductions measures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'01_P&amp;L_small'!$F$147:$I$147</c:f>
              <c:numCache>
                <c:formatCode>General</c:formatCode>
                <c:ptCount val="4"/>
                <c:pt idx="1">
                  <c:v>5.6660000000000004</c:v>
                </c:pt>
                <c:pt idx="2">
                  <c:v>7</c:v>
                </c:pt>
                <c:pt idx="3">
                  <c:v>7</c:v>
                </c:pt>
              </c:numCache>
            </c:numRef>
          </c:val>
        </c:ser>
        <c:ser>
          <c:idx val="0"/>
          <c:order val="1"/>
          <c:tx>
            <c:strRef>
              <c:f>'01_P&amp;L_small'!$A$144</c:f>
              <c:strCache>
                <c:ptCount val="1"/>
                <c:pt idx="0">
                  <c:v>Negotiations with vendors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'01_P&amp;L_small'!$F$143:$I$143</c:f>
              <c:strCache>
                <c:ptCount val="4"/>
                <c:pt idx="0">
                  <c:v>Total planning period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'01_P&amp;L_small'!$F$144:$I$144</c:f>
              <c:numCache>
                <c:formatCode>General</c:formatCode>
                <c:ptCount val="4"/>
                <c:pt idx="1">
                  <c:v>4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</c:ser>
        <c:ser>
          <c:idx val="1"/>
          <c:order val="2"/>
          <c:tx>
            <c:strRef>
              <c:f>'01_P&amp;L_small'!$A$145</c:f>
              <c:strCache>
                <c:ptCount val="1"/>
                <c:pt idx="0">
                  <c:v>Reduction of the personnel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'01_P&amp;L_small'!$F$143:$I$143</c:f>
              <c:strCache>
                <c:ptCount val="4"/>
                <c:pt idx="0">
                  <c:v>Total planning period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'01_P&amp;L_small'!$F$145:$I$145</c:f>
              <c:numCache>
                <c:formatCode>General</c:formatCode>
                <c:ptCount val="4"/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val>
        </c:ser>
        <c:ser>
          <c:idx val="2"/>
          <c:order val="3"/>
          <c:tx>
            <c:strRef>
              <c:f>'01_P&amp;L_small'!$A$146</c:f>
              <c:strCache>
                <c:ptCount val="1"/>
                <c:pt idx="0">
                  <c:v>Higher capacity utilization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'01_P&amp;L_small'!$F$146:$I$146</c:f>
              <c:numCache>
                <c:formatCode>General</c:formatCode>
                <c:ptCount val="4"/>
                <c:pt idx="1">
                  <c:v>2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</c:ser>
        <c:ser>
          <c:idx val="4"/>
          <c:order val="4"/>
          <c:tx>
            <c:strRef>
              <c:f>'01_P&amp;L_small'!$A$148</c:f>
              <c:strCache>
                <c:ptCount val="1"/>
                <c:pt idx="0">
                  <c:v>Approved cost reductions measures (total planning period)</c:v>
                </c:pt>
              </c:strCache>
            </c:strRef>
          </c:tx>
          <c:spPr>
            <a:solidFill>
              <a:schemeClr val="tx2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'01_P&amp;L_small'!$F$148</c:f>
              <c:numCache>
                <c:formatCode>General</c:formatCode>
                <c:ptCount val="1"/>
                <c:pt idx="0">
                  <c:v>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578093960"/>
        <c:axId val="578085728"/>
      </c:barChart>
      <c:catAx>
        <c:axId val="578093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085728"/>
        <c:crosses val="autoZero"/>
        <c:auto val="1"/>
        <c:lblAlgn val="ctr"/>
        <c:lblOffset val="100"/>
        <c:noMultiLvlLbl val="0"/>
      </c:catAx>
      <c:valAx>
        <c:axId val="578085728"/>
        <c:scaling>
          <c:orientation val="minMax"/>
        </c:scaling>
        <c:delete val="0"/>
        <c:axPos val="l"/>
        <c:title>
          <c:tx>
            <c:strRef>
              <c:f>'01_P&amp;L_small'!$A$143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1.5132394652852547E-2"/>
              <c:y val="0.2088547852359639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09396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6.2133300436475393E-2"/>
          <c:y val="0.62559011913926743"/>
          <c:w val="0.72942534341295617"/>
          <c:h val="0.28433651975101842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749438834734501"/>
          <c:y val="0.15350237211316844"/>
          <c:w val="0.56445168627794062"/>
          <c:h val="0.4532095415389157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'01_P&amp;L_small'!$A$190</c:f>
              <c:strCache>
                <c:ptCount val="1"/>
                <c:pt idx="0">
                  <c:v>Gross profit margin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'01_P&amp;L_small'!$C$190:$G$190</c:f>
              <c:numCache>
                <c:formatCode>0.0%;\(0.0\)%</c:formatCode>
                <c:ptCount val="5"/>
                <c:pt idx="0">
                  <c:v>-7.4074074074074181E-3</c:v>
                </c:pt>
                <c:pt idx="1">
                  <c:v>5.6216931216931387E-3</c:v>
                </c:pt>
                <c:pt idx="2">
                  <c:v>1.195520581113807E-2</c:v>
                </c:pt>
                <c:pt idx="3">
                  <c:v>1.2781328146707405E-2</c:v>
                </c:pt>
                <c:pt idx="4">
                  <c:v>3.9148519696599049E-3</c:v>
                </c:pt>
              </c:numCache>
            </c:numRef>
          </c:val>
        </c:ser>
        <c:ser>
          <c:idx val="1"/>
          <c:order val="1"/>
          <c:tx>
            <c:strRef>
              <c:f>'01_P&amp;L_small'!$A$191</c:f>
              <c:strCache>
                <c:ptCount val="1"/>
                <c:pt idx="0">
                  <c:v>Personnel expenses ratio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'01_P&amp;L_small'!$C$191:$G$191</c:f>
              <c:numCache>
                <c:formatCode>0.0%;\(0.0\)%</c:formatCode>
                <c:ptCount val="5"/>
                <c:pt idx="0">
                  <c:v>-3.703703703703709E-3</c:v>
                </c:pt>
                <c:pt idx="1">
                  <c:v>7.2751322751322678E-3</c:v>
                </c:pt>
                <c:pt idx="2">
                  <c:v>1.5133171912833365E-3</c:v>
                </c:pt>
                <c:pt idx="3">
                  <c:v>6.3906640733537023E-3</c:v>
                </c:pt>
                <c:pt idx="4">
                  <c:v>-1.2967947149498449E-2</c:v>
                </c:pt>
              </c:numCache>
            </c:numRef>
          </c:val>
        </c:ser>
        <c:ser>
          <c:idx val="2"/>
          <c:order val="2"/>
          <c:tx>
            <c:strRef>
              <c:f>'01_P&amp;L_small'!$A$192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'01_P&amp;L_small'!$C$192:$G$192</c:f>
              <c:numCache>
                <c:formatCode>0.0%;\(0.0\)%</c:formatCode>
                <c:ptCount val="5"/>
                <c:pt idx="0">
                  <c:v>-4.4444444444444453E-3</c:v>
                </c:pt>
                <c:pt idx="1">
                  <c:v>-1.984126984126984E-3</c:v>
                </c:pt>
                <c:pt idx="2">
                  <c:v>-2.7239709443099211E-3</c:v>
                </c:pt>
                <c:pt idx="3">
                  <c:v>-1.6671297582661893E-3</c:v>
                </c:pt>
                <c:pt idx="4">
                  <c:v>1.0521164668460974E-2</c:v>
                </c:pt>
              </c:numCache>
            </c:numRef>
          </c:val>
        </c:ser>
        <c:ser>
          <c:idx val="3"/>
          <c:order val="3"/>
          <c:tx>
            <c:strRef>
              <c:f>'01_P&amp;L_small'!$A$193</c:f>
              <c:strCache>
                <c:ptCount val="1"/>
                <c:pt idx="0">
                  <c:v>Depreciation ratio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'01_P&amp;L_small'!$C$193:$G$193</c:f>
              <c:numCache>
                <c:formatCode>0.0%;\(0.0\)%</c:formatCode>
                <c:ptCount val="5"/>
                <c:pt idx="0">
                  <c:v>-7.4074074074074181E-3</c:v>
                </c:pt>
                <c:pt idx="1">
                  <c:v>-3.3068783068782998E-3</c:v>
                </c:pt>
                <c:pt idx="2">
                  <c:v>-4.5399515738498847E-3</c:v>
                </c:pt>
                <c:pt idx="3">
                  <c:v>-2.7785495971103108E-3</c:v>
                </c:pt>
                <c:pt idx="4">
                  <c:v>-7.3403474431123078E-3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578086120"/>
        <c:axId val="578087296"/>
      </c:barChart>
      <c:lineChart>
        <c:grouping val="standard"/>
        <c:varyColors val="0"/>
        <c:ser>
          <c:idx val="5"/>
          <c:order val="4"/>
          <c:tx>
            <c:strRef>
              <c:f>'01_P&amp;L_small'!$A$194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noFill/>
            </a:ln>
          </c:spPr>
          <c:marker>
            <c:symbol val="square"/>
            <c:size val="4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dLbls>
            <c:dLbl>
              <c:idx val="2"/>
              <c:layout>
                <c:manualLayout>
                  <c:x val="-4.7515398184911094E-2"/>
                  <c:y val="4.939803481002085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4.7624346277956933E-2"/>
                  <c:y val="4.60185242105694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accent5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'01_P&amp;L_small'!$C$194:$G$194</c:f>
              <c:numCache>
                <c:formatCode>0.0%;\(0.0\)%</c:formatCode>
                <c:ptCount val="5"/>
                <c:pt idx="0">
                  <c:v>-7.4074074074076401E-4</c:v>
                </c:pt>
                <c:pt idx="1">
                  <c:v>-3.3068783068779251E-4</c:v>
                </c:pt>
                <c:pt idx="2">
                  <c:v>1.2257869249394648E-2</c:v>
                </c:pt>
                <c:pt idx="3">
                  <c:v>7.50208391219781E-3</c:v>
                </c:pt>
                <c:pt idx="4">
                  <c:v>3.4744311230731628E-2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8086120"/>
        <c:axId val="578087296"/>
      </c:lineChart>
      <c:catAx>
        <c:axId val="578086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087296"/>
        <c:crosses val="autoZero"/>
        <c:auto val="1"/>
        <c:lblAlgn val="ctr"/>
        <c:lblOffset val="100"/>
        <c:noMultiLvlLbl val="0"/>
      </c:catAx>
      <c:valAx>
        <c:axId val="578087296"/>
        <c:scaling>
          <c:orientation val="minMax"/>
        </c:scaling>
        <c:delete val="0"/>
        <c:axPos val="l"/>
        <c:numFmt formatCode="0.0%;\(0.0\)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08612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2564017322076901"/>
          <c:y val="0.768109067118115"/>
          <c:w val="0.6041549748856172"/>
          <c:h val="0.14562942363459383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749438834734487"/>
          <c:y val="0.15350237211316844"/>
          <c:w val="0.56182335207376477"/>
          <c:h val="0.4532095415389157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'01_P&amp;L_small'!$A$179</c:f>
              <c:strCache>
                <c:ptCount val="1"/>
                <c:pt idx="0">
                  <c:v>Cost of material ratio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'01_P&amp;L_small'!$C$176:$G$176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'01_P&amp;L_small'!$C$179:$G$179</c:f>
              <c:numCache>
                <c:formatCode>0.0%;\(0.0\)%</c:formatCode>
                <c:ptCount val="5"/>
                <c:pt idx="0">
                  <c:v>7.4074074074073626E-3</c:v>
                </c:pt>
                <c:pt idx="1">
                  <c:v>-5.6216931216930832E-3</c:v>
                </c:pt>
                <c:pt idx="2">
                  <c:v>-1.1955205811138014E-2</c:v>
                </c:pt>
                <c:pt idx="3">
                  <c:v>-1.278132814670746E-2</c:v>
                </c:pt>
                <c:pt idx="4">
                  <c:v>-3.9148519696598494E-3</c:v>
                </c:pt>
              </c:numCache>
            </c:numRef>
          </c:val>
        </c:ser>
        <c:ser>
          <c:idx val="4"/>
          <c:order val="1"/>
          <c:tx>
            <c:strRef>
              <c:f>'01_P&amp;L_small'!$A$180</c:f>
              <c:strCache>
                <c:ptCount val="1"/>
                <c:pt idx="0">
                  <c:v>Personnel expenses ratio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'01_P&amp;L_small'!$C$176:$G$176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'01_P&amp;L_small'!$C$180:$G$180</c:f>
              <c:numCache>
                <c:formatCode>0.0%;\(0.0\)%</c:formatCode>
                <c:ptCount val="5"/>
                <c:pt idx="0">
                  <c:v>-3.703703703703709E-3</c:v>
                </c:pt>
                <c:pt idx="1">
                  <c:v>7.2751322751322678E-3</c:v>
                </c:pt>
                <c:pt idx="2">
                  <c:v>1.5133171912833365E-3</c:v>
                </c:pt>
                <c:pt idx="3">
                  <c:v>6.3906640733537023E-3</c:v>
                </c:pt>
                <c:pt idx="4">
                  <c:v>-1.2967947149498449E-2</c:v>
                </c:pt>
              </c:numCache>
            </c:numRef>
          </c:val>
        </c:ser>
        <c:ser>
          <c:idx val="1"/>
          <c:order val="2"/>
          <c:tx>
            <c:strRef>
              <c:f>'01_P&amp;L_small'!$A$181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'01_P&amp;L_small'!$C$176:$G$176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'01_P&amp;L_small'!$C$181:$G$181</c:f>
              <c:numCache>
                <c:formatCode>0.0%;\(0.0\)%</c:formatCode>
                <c:ptCount val="5"/>
                <c:pt idx="0">
                  <c:v>-4.4444444444444453E-3</c:v>
                </c:pt>
                <c:pt idx="1">
                  <c:v>-1.984126984126984E-3</c:v>
                </c:pt>
                <c:pt idx="2">
                  <c:v>-2.7239709443099211E-3</c:v>
                </c:pt>
                <c:pt idx="3">
                  <c:v>-1.6671297582661893E-3</c:v>
                </c:pt>
                <c:pt idx="4">
                  <c:v>1.0521164668460974E-2</c:v>
                </c:pt>
              </c:numCache>
            </c:numRef>
          </c:val>
        </c:ser>
        <c:ser>
          <c:idx val="2"/>
          <c:order val="3"/>
          <c:tx>
            <c:strRef>
              <c:f>'01_P&amp;L_small'!$A$182</c:f>
              <c:strCache>
                <c:ptCount val="1"/>
                <c:pt idx="0">
                  <c:v>Depreciation ratio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'01_P&amp;L_small'!$C$176:$G$176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'01_P&amp;L_small'!$C$182:$G$182</c:f>
              <c:numCache>
                <c:formatCode>0.0%;\(0.0\)%</c:formatCode>
                <c:ptCount val="5"/>
                <c:pt idx="0">
                  <c:v>-7.4074074074074181E-3</c:v>
                </c:pt>
                <c:pt idx="1">
                  <c:v>-3.3068783068782998E-3</c:v>
                </c:pt>
                <c:pt idx="2">
                  <c:v>-4.5399515738498847E-3</c:v>
                </c:pt>
                <c:pt idx="3">
                  <c:v>-2.7785495971103108E-3</c:v>
                </c:pt>
                <c:pt idx="4">
                  <c:v>-7.3403474431123078E-3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578085336"/>
        <c:axId val="578086512"/>
      </c:barChart>
      <c:lineChart>
        <c:grouping val="standard"/>
        <c:varyColors val="0"/>
        <c:ser>
          <c:idx val="5"/>
          <c:order val="4"/>
          <c:tx>
            <c:strRef>
              <c:f>'01_P&amp;L_small'!$A$183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noFill/>
            </a:ln>
          </c:spPr>
          <c:marker>
            <c:symbol val="square"/>
            <c:size val="4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dLbls>
            <c:dLbl>
              <c:idx val="2"/>
              <c:layout>
                <c:manualLayout>
                  <c:x val="-4.7515398184911094E-2"/>
                  <c:y val="4.93980348100208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4.7624346277956933E-2"/>
                  <c:y val="4.132387572062395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accent5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'01_P&amp;L_small'!$C$183:$G$183</c:f>
              <c:numCache>
                <c:formatCode>0.0%;\(0.0\)%</c:formatCode>
                <c:ptCount val="5"/>
                <c:pt idx="0">
                  <c:v>-7.4074074074076401E-4</c:v>
                </c:pt>
                <c:pt idx="1">
                  <c:v>-3.3068783068779251E-4</c:v>
                </c:pt>
                <c:pt idx="2">
                  <c:v>1.2257869249394648E-2</c:v>
                </c:pt>
                <c:pt idx="3">
                  <c:v>7.50208391219781E-3</c:v>
                </c:pt>
                <c:pt idx="4">
                  <c:v>3.4744311230731628E-2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8085336"/>
        <c:axId val="578086512"/>
      </c:lineChart>
      <c:catAx>
        <c:axId val="578085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086512"/>
        <c:crosses val="autoZero"/>
        <c:auto val="1"/>
        <c:lblAlgn val="ctr"/>
        <c:lblOffset val="100"/>
        <c:noMultiLvlLbl val="0"/>
      </c:catAx>
      <c:valAx>
        <c:axId val="578086512"/>
        <c:scaling>
          <c:orientation val="minMax"/>
        </c:scaling>
        <c:delete val="0"/>
        <c:axPos val="l"/>
        <c:numFmt formatCode="0.0%;\(0.0\)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08533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2820734832384404"/>
          <c:y val="0.75524627162255842"/>
          <c:w val="0.62355861541520596"/>
          <c:h val="0.1413439738628985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08073410982445"/>
          <c:y val="0.15363757408261286"/>
          <c:w val="0.74549257017061099"/>
          <c:h val="0.5939654186427424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'01_P&amp;L_small'!$A$221</c:f>
              <c:strCache>
                <c:ptCount val="1"/>
                <c:pt idx="0">
                  <c:v>EBIT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'01_P&amp;L_small'!$B$221:$G$221</c:f>
              <c:numCache>
                <c:formatCode>#,##0.0</c:formatCode>
                <c:ptCount val="6"/>
                <c:pt idx="0">
                  <c:v>13</c:v>
                </c:pt>
                <c:pt idx="1">
                  <c:v>14</c:v>
                </c:pt>
                <c:pt idx="2">
                  <c:v>14.5</c:v>
                </c:pt>
                <c:pt idx="3">
                  <c:v>16</c:v>
                </c:pt>
                <c:pt idx="4">
                  <c:v>17</c:v>
                </c:pt>
                <c:pt idx="5">
                  <c:v>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578087688"/>
        <c:axId val="578095920"/>
      </c:barChart>
      <c:lineChart>
        <c:grouping val="standard"/>
        <c:varyColors val="0"/>
        <c:ser>
          <c:idx val="1"/>
          <c:order val="1"/>
          <c:tx>
            <c:strRef>
              <c:f>'01_P&amp;L_small'!$A$222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solidFill>
                <a:schemeClr val="tx2"/>
              </a:solidFill>
            </a:ln>
          </c:spPr>
          <c:marker>
            <c:symbol val="square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rgbClr val="8E258D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'01_P&amp;L_small'!$B$222:$G$222</c:f>
              <c:numCache>
                <c:formatCode>0.0%</c:formatCode>
                <c:ptCount val="6"/>
                <c:pt idx="0">
                  <c:v>0.26</c:v>
                </c:pt>
                <c:pt idx="1">
                  <c:v>0.25925925925925924</c:v>
                </c:pt>
                <c:pt idx="2">
                  <c:v>0.25892857142857145</c:v>
                </c:pt>
                <c:pt idx="3">
                  <c:v>0.2711864406779661</c:v>
                </c:pt>
                <c:pt idx="4">
                  <c:v>0.27868852459016391</c:v>
                </c:pt>
                <c:pt idx="5">
                  <c:v>0.31343283582089554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8091216"/>
        <c:axId val="578093176"/>
      </c:lineChart>
      <c:catAx>
        <c:axId val="57808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095920"/>
        <c:crosses val="autoZero"/>
        <c:auto val="1"/>
        <c:lblAlgn val="ctr"/>
        <c:lblOffset val="100"/>
        <c:noMultiLvlLbl val="0"/>
      </c:catAx>
      <c:valAx>
        <c:axId val="578095920"/>
        <c:scaling>
          <c:orientation val="minMax"/>
        </c:scaling>
        <c:delete val="0"/>
        <c:axPos val="l"/>
        <c:title>
          <c:tx>
            <c:strRef>
              <c:f>'01_P&amp;L_small'!$A$207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1.1847420063984598E-2"/>
              <c:y val="0.36700055265784542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087688"/>
        <c:crosses val="autoZero"/>
        <c:crossBetween val="between"/>
      </c:valAx>
      <c:valAx>
        <c:axId val="578093176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578091216"/>
        <c:crosses val="max"/>
        <c:crossBetween val="between"/>
      </c:valAx>
      <c:catAx>
        <c:axId val="5780912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578093176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7.1585951199362896E-2"/>
          <c:y val="0.8495788684379737"/>
          <c:w val="0.8835454236742879"/>
          <c:h val="6.7811441901752034E-2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87672733722336"/>
          <c:y val="0.15291353512493347"/>
          <c:w val="0.79687142886008799"/>
          <c:h val="0.4440473790431842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'01_P&amp;L_small'!$A$209</c:f>
              <c:strCache>
                <c:ptCount val="1"/>
                <c:pt idx="0">
                  <c:v>Cost of material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'01_P&amp;L_small'!$B$209:$G$209</c:f>
              <c:numCache>
                <c:formatCode>#,##0.0</c:formatCode>
                <c:ptCount val="6"/>
                <c:pt idx="0">
                  <c:v>20</c:v>
                </c:pt>
                <c:pt idx="1">
                  <c:v>22</c:v>
                </c:pt>
                <c:pt idx="2">
                  <c:v>22.5</c:v>
                </c:pt>
                <c:pt idx="3">
                  <c:v>23</c:v>
                </c:pt>
                <c:pt idx="4">
                  <c:v>23</c:v>
                </c:pt>
                <c:pt idx="5">
                  <c:v>25</c:v>
                </c:pt>
              </c:numCache>
            </c:numRef>
          </c:val>
        </c:ser>
        <c:ser>
          <c:idx val="1"/>
          <c:order val="1"/>
          <c:tx>
            <c:strRef>
              <c:f>'01_P&amp;L_small'!$A$213</c:f>
              <c:strCache>
                <c:ptCount val="1"/>
                <c:pt idx="0">
                  <c:v>Personnel expenses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'01_P&amp;L_small'!$B$213:$G$213</c:f>
              <c:numCache>
                <c:formatCode>#,##0.0</c:formatCode>
                <c:ptCount val="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</c:numCache>
            </c:numRef>
          </c:val>
        </c:ser>
        <c:ser>
          <c:idx val="2"/>
          <c:order val="2"/>
          <c:tx>
            <c:strRef>
              <c:f>'01_P&amp;L_small'!$A$215</c:f>
              <c:strCache>
                <c:ptCount val="1"/>
                <c:pt idx="0">
                  <c:v>Other operating result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'01_P&amp;L_small'!$B$215:$G$215</c:f>
              <c:numCache>
                <c:formatCode>#,##0.0</c:formatCode>
                <c:ptCount val="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ser>
          <c:idx val="3"/>
          <c:order val="3"/>
          <c:tx>
            <c:strRef>
              <c:f>'01_P&amp;L_small'!$A$219</c:f>
              <c:strCache>
                <c:ptCount val="1"/>
                <c:pt idx="0">
                  <c:v>Depreciation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'01_P&amp;L_small'!$B$219:$G$219</c:f>
              <c:numCache>
                <c:formatCode>#,##0.0</c:formatCode>
                <c:ptCount val="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578090824"/>
        <c:axId val="578088080"/>
      </c:barChart>
      <c:catAx>
        <c:axId val="578090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088080"/>
        <c:crosses val="autoZero"/>
        <c:auto val="1"/>
        <c:lblAlgn val="ctr"/>
        <c:lblOffset val="100"/>
        <c:noMultiLvlLbl val="0"/>
      </c:catAx>
      <c:valAx>
        <c:axId val="578088080"/>
        <c:scaling>
          <c:orientation val="minMax"/>
        </c:scaling>
        <c:delete val="0"/>
        <c:axPos val="l"/>
        <c:title>
          <c:tx>
            <c:strRef>
              <c:f>'01_P&amp;L_small'!$A$207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1.2066112549525439E-2"/>
              <c:y val="0.32011564394325437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09082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8.5714285714285715E-2"/>
          <c:y val="0.70454545454545836"/>
          <c:w val="0.85757038341764558"/>
          <c:h val="9.020722977809626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16360844253971"/>
          <c:y val="0.15264102583305605"/>
          <c:w val="0.74550538715927561"/>
          <c:h val="0.4452406756957723"/>
        </c:manualLayout>
      </c:layout>
      <c:lineChart>
        <c:grouping val="standard"/>
        <c:varyColors val="0"/>
        <c:ser>
          <c:idx val="0"/>
          <c:order val="0"/>
          <c:tx>
            <c:strRef>
              <c:f>'01_P&amp;L_small'!$A$210</c:f>
              <c:strCache>
                <c:ptCount val="1"/>
                <c:pt idx="0">
                  <c:v>Cost of material ratio</c:v>
                </c:pt>
              </c:strCache>
            </c:strRef>
          </c:tx>
          <c:spPr>
            <a:ln w="12700">
              <a:solidFill>
                <a:schemeClr val="tx2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  <a:prstDash val="solid"/>
              </a:ln>
            </c:spPr>
          </c:marker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'01_P&amp;L_small'!$B$210:$G$210</c:f>
              <c:numCache>
                <c:formatCode>0.0%</c:formatCode>
                <c:ptCount val="6"/>
                <c:pt idx="0">
                  <c:v>0.4</c:v>
                </c:pt>
                <c:pt idx="1">
                  <c:v>0.40740740740740738</c:v>
                </c:pt>
                <c:pt idx="2">
                  <c:v>0.4017857142857143</c:v>
                </c:pt>
                <c:pt idx="3">
                  <c:v>0.38983050847457629</c:v>
                </c:pt>
                <c:pt idx="4">
                  <c:v>0.37704918032786883</c:v>
                </c:pt>
                <c:pt idx="5">
                  <c:v>0.37313432835820898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'01_P&amp;L_small'!$A$214</c:f>
              <c:strCache>
                <c:ptCount val="1"/>
                <c:pt idx="0">
                  <c:v>Personnel expenses ratio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  <a:prstDash val="solid"/>
              </a:ln>
            </c:spPr>
          </c:marker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'01_P&amp;L_small'!$B$214:$G$214</c:f>
              <c:numCache>
                <c:formatCode>0.0%</c:formatCode>
                <c:ptCount val="6"/>
                <c:pt idx="0">
                  <c:v>0.3</c:v>
                </c:pt>
                <c:pt idx="1">
                  <c:v>0.29629629629629628</c:v>
                </c:pt>
                <c:pt idx="2">
                  <c:v>0.30357142857142855</c:v>
                </c:pt>
                <c:pt idx="3">
                  <c:v>0.30508474576271188</c:v>
                </c:pt>
                <c:pt idx="4">
                  <c:v>0.31147540983606559</c:v>
                </c:pt>
                <c:pt idx="5">
                  <c:v>0.29850746268656714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'01_P&amp;L_small'!$A$216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  <a:prstDash val="solid"/>
              </a:ln>
            </c:spPr>
          </c:marker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'01_P&amp;L_small'!$B$216:$G$216</c:f>
              <c:numCache>
                <c:formatCode>0.0%</c:formatCode>
                <c:ptCount val="6"/>
                <c:pt idx="0">
                  <c:v>0.06</c:v>
                </c:pt>
                <c:pt idx="1">
                  <c:v>5.5555555555555552E-2</c:v>
                </c:pt>
                <c:pt idx="2">
                  <c:v>5.3571428571428568E-2</c:v>
                </c:pt>
                <c:pt idx="3">
                  <c:v>5.0847457627118647E-2</c:v>
                </c:pt>
                <c:pt idx="4">
                  <c:v>4.9180327868852458E-2</c:v>
                </c:pt>
                <c:pt idx="5">
                  <c:v>5.9701492537313432E-2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'01_P&amp;L_small'!$A$220</c:f>
              <c:strCache>
                <c:ptCount val="1"/>
                <c:pt idx="0">
                  <c:v>Depreciation ratio</c:v>
                </c:pt>
              </c:strCache>
            </c:strRef>
          </c:tx>
          <c:spPr>
            <a:ln w="12700">
              <a:solidFill>
                <a:schemeClr val="accent3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  <a:prstDash val="solid"/>
              </a:ln>
            </c:spPr>
          </c:marker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'01_P&amp;L_small'!$B$220:$G$220</c:f>
              <c:numCache>
                <c:formatCode>0.0%</c:formatCode>
                <c:ptCount val="6"/>
                <c:pt idx="0">
                  <c:v>0.1</c:v>
                </c:pt>
                <c:pt idx="1">
                  <c:v>9.2592592592592587E-2</c:v>
                </c:pt>
                <c:pt idx="2">
                  <c:v>8.9285714285714288E-2</c:v>
                </c:pt>
                <c:pt idx="3">
                  <c:v>8.4745762711864403E-2</c:v>
                </c:pt>
                <c:pt idx="4">
                  <c:v>8.1967213114754092E-2</c:v>
                </c:pt>
                <c:pt idx="5">
                  <c:v>7.4626865671641784E-2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8088472"/>
        <c:axId val="578089256"/>
      </c:lineChart>
      <c:catAx>
        <c:axId val="578088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089256"/>
        <c:crosses val="autoZero"/>
        <c:auto val="1"/>
        <c:lblAlgn val="ctr"/>
        <c:lblOffset val="100"/>
        <c:noMultiLvlLbl val="0"/>
      </c:catAx>
      <c:valAx>
        <c:axId val="578089256"/>
        <c:scaling>
          <c:orientation val="minMax"/>
        </c:scaling>
        <c:delete val="0"/>
        <c:axPos val="l"/>
        <c:numFmt formatCode="0.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08847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2.6099887514060977E-2"/>
          <c:y val="0.69545454545454544"/>
          <c:w val="0.92574952934545762"/>
          <c:h val="9.1778095919828204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64071061173618"/>
          <c:y val="0.15291367849107695"/>
          <c:w val="0.7834904255120192"/>
          <c:h val="0.4440473790431842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'01_P&amp;L_small'!$A$209</c:f>
              <c:strCache>
                <c:ptCount val="1"/>
                <c:pt idx="0">
                  <c:v>Cost of material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'01_P&amp;L_small'!$B$209:$G$209</c:f>
              <c:numCache>
                <c:formatCode>#,##0.0</c:formatCode>
                <c:ptCount val="6"/>
                <c:pt idx="0">
                  <c:v>20</c:v>
                </c:pt>
                <c:pt idx="1">
                  <c:v>22</c:v>
                </c:pt>
                <c:pt idx="2">
                  <c:v>22.5</c:v>
                </c:pt>
                <c:pt idx="3">
                  <c:v>23</c:v>
                </c:pt>
                <c:pt idx="4">
                  <c:v>23</c:v>
                </c:pt>
                <c:pt idx="5">
                  <c:v>25</c:v>
                </c:pt>
              </c:numCache>
            </c:numRef>
          </c:val>
        </c:ser>
        <c:ser>
          <c:idx val="1"/>
          <c:order val="1"/>
          <c:tx>
            <c:strRef>
              <c:f>'01_P&amp;L_small'!$A$213</c:f>
              <c:strCache>
                <c:ptCount val="1"/>
                <c:pt idx="0">
                  <c:v>Personnel expenses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'01_P&amp;L_small'!$B$213:$G$213</c:f>
              <c:numCache>
                <c:formatCode>#,##0.0</c:formatCode>
                <c:ptCount val="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</c:numCache>
            </c:numRef>
          </c:val>
        </c:ser>
        <c:ser>
          <c:idx val="2"/>
          <c:order val="2"/>
          <c:tx>
            <c:strRef>
              <c:f>'01_P&amp;L_small'!$A$215</c:f>
              <c:strCache>
                <c:ptCount val="1"/>
                <c:pt idx="0">
                  <c:v>Other operating result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'01_P&amp;L_small'!$B$215:$G$215</c:f>
              <c:numCache>
                <c:formatCode>#,##0.0</c:formatCode>
                <c:ptCount val="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ser>
          <c:idx val="3"/>
          <c:order val="3"/>
          <c:tx>
            <c:strRef>
              <c:f>'01_P&amp;L_small'!$A$219</c:f>
              <c:strCache>
                <c:ptCount val="1"/>
                <c:pt idx="0">
                  <c:v>Depreciation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'01_P&amp;L_small'!$B$219:$G$219</c:f>
              <c:numCache>
                <c:formatCode>#,##0.0</c:formatCode>
                <c:ptCount val="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578090432"/>
        <c:axId val="578092784"/>
      </c:barChart>
      <c:lineChart>
        <c:grouping val="standard"/>
        <c:varyColors val="0"/>
        <c:ser>
          <c:idx val="5"/>
          <c:order val="4"/>
          <c:tx>
            <c:strRef>
              <c:f>'01_P&amp;L_small'!$A$210</c:f>
              <c:strCache>
                <c:ptCount val="1"/>
                <c:pt idx="0">
                  <c:v>Cost of material ratio</c:v>
                </c:pt>
              </c:strCache>
            </c:strRef>
          </c:tx>
          <c:spPr>
            <a:ln w="12700">
              <a:solidFill>
                <a:schemeClr val="tx2"/>
              </a:solidFill>
            </a:ln>
          </c:spPr>
          <c:marker>
            <c:symbol val="square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val>
            <c:numRef>
              <c:f>'01_P&amp;L_small'!$B$210:$G$210</c:f>
              <c:numCache>
                <c:formatCode>0.0%</c:formatCode>
                <c:ptCount val="6"/>
                <c:pt idx="0">
                  <c:v>0.4</c:v>
                </c:pt>
                <c:pt idx="1">
                  <c:v>0.40740740740740738</c:v>
                </c:pt>
                <c:pt idx="2">
                  <c:v>0.4017857142857143</c:v>
                </c:pt>
                <c:pt idx="3">
                  <c:v>0.38983050847457629</c:v>
                </c:pt>
                <c:pt idx="4">
                  <c:v>0.37704918032786883</c:v>
                </c:pt>
                <c:pt idx="5">
                  <c:v>0.37313432835820898</c:v>
                </c:pt>
              </c:numCache>
            </c:numRef>
          </c:val>
          <c:smooth val="0"/>
        </c:ser>
        <c:ser>
          <c:idx val="7"/>
          <c:order val="5"/>
          <c:tx>
            <c:strRef>
              <c:f>'01_P&amp;L_small'!$A$214</c:f>
              <c:strCache>
                <c:ptCount val="1"/>
                <c:pt idx="0">
                  <c:v>Personnel expenses ratio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</c:spPr>
          </c:marker>
          <c:val>
            <c:numRef>
              <c:f>'01_P&amp;L_small'!$B$214:$G$214</c:f>
              <c:numCache>
                <c:formatCode>0.0%</c:formatCode>
                <c:ptCount val="6"/>
                <c:pt idx="0">
                  <c:v>0.3</c:v>
                </c:pt>
                <c:pt idx="1">
                  <c:v>0.29629629629629628</c:v>
                </c:pt>
                <c:pt idx="2">
                  <c:v>0.30357142857142855</c:v>
                </c:pt>
                <c:pt idx="3">
                  <c:v>0.30508474576271188</c:v>
                </c:pt>
                <c:pt idx="4">
                  <c:v>0.31147540983606559</c:v>
                </c:pt>
                <c:pt idx="5">
                  <c:v>0.29850746268656714</c:v>
                </c:pt>
              </c:numCache>
            </c:numRef>
          </c:val>
          <c:smooth val="0"/>
        </c:ser>
        <c:ser>
          <c:idx val="8"/>
          <c:order val="6"/>
          <c:tx>
            <c:strRef>
              <c:f>'01_P&amp;L_small'!$A$216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3"/>
            <c:spPr>
              <a:solidFill>
                <a:srgbClr val="8E258D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'01_P&amp;L_small'!$B$216:$G$216</c:f>
              <c:numCache>
                <c:formatCode>0.0%</c:formatCode>
                <c:ptCount val="6"/>
                <c:pt idx="0">
                  <c:v>0.06</c:v>
                </c:pt>
                <c:pt idx="1">
                  <c:v>5.5555555555555552E-2</c:v>
                </c:pt>
                <c:pt idx="2">
                  <c:v>5.3571428571428568E-2</c:v>
                </c:pt>
                <c:pt idx="3">
                  <c:v>5.0847457627118647E-2</c:v>
                </c:pt>
                <c:pt idx="4">
                  <c:v>4.9180327868852458E-2</c:v>
                </c:pt>
                <c:pt idx="5">
                  <c:v>5.9701492537313432E-2</c:v>
                </c:pt>
              </c:numCache>
            </c:numRef>
          </c:val>
          <c:smooth val="0"/>
        </c:ser>
        <c:ser>
          <c:idx val="9"/>
          <c:order val="7"/>
          <c:tx>
            <c:strRef>
              <c:f>'01_P&amp;L_small'!$A$220</c:f>
              <c:strCache>
                <c:ptCount val="1"/>
                <c:pt idx="0">
                  <c:v>Depreciation ratio</c:v>
                </c:pt>
              </c:strCache>
            </c:strRef>
          </c:tx>
          <c:spPr>
            <a:ln w="12700">
              <a:solidFill>
                <a:schemeClr val="accent3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'01_P&amp;L_small'!$B$220:$G$220</c:f>
              <c:numCache>
                <c:formatCode>0.0%</c:formatCode>
                <c:ptCount val="6"/>
                <c:pt idx="0">
                  <c:v>0.1</c:v>
                </c:pt>
                <c:pt idx="1">
                  <c:v>9.2592592592592587E-2</c:v>
                </c:pt>
                <c:pt idx="2">
                  <c:v>8.9285714285714288E-2</c:v>
                </c:pt>
                <c:pt idx="3">
                  <c:v>8.4745762711864403E-2</c:v>
                </c:pt>
                <c:pt idx="4">
                  <c:v>8.1967213114754092E-2</c:v>
                </c:pt>
                <c:pt idx="5">
                  <c:v>7.4626865671641784E-2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8106896"/>
        <c:axId val="578094352"/>
      </c:lineChart>
      <c:catAx>
        <c:axId val="578090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092784"/>
        <c:crosses val="autoZero"/>
        <c:auto val="1"/>
        <c:lblAlgn val="ctr"/>
        <c:lblOffset val="100"/>
        <c:noMultiLvlLbl val="0"/>
      </c:catAx>
      <c:valAx>
        <c:axId val="578092784"/>
        <c:scaling>
          <c:orientation val="minMax"/>
        </c:scaling>
        <c:delete val="0"/>
        <c:axPos val="l"/>
        <c:title>
          <c:tx>
            <c:strRef>
              <c:f>'01_P&amp;L_small'!$A$207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0303493502118195E-3"/>
              <c:y val="0.3201155652649636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090432"/>
        <c:crosses val="autoZero"/>
        <c:crossBetween val="between"/>
      </c:valAx>
      <c:valAx>
        <c:axId val="578094352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578106896"/>
        <c:crosses val="max"/>
        <c:crossBetween val="between"/>
      </c:valAx>
      <c:catAx>
        <c:axId val="578106896"/>
        <c:scaling>
          <c:orientation val="minMax"/>
        </c:scaling>
        <c:delete val="1"/>
        <c:axPos val="b"/>
        <c:majorTickMark val="out"/>
        <c:minorTickMark val="none"/>
        <c:tickLblPos val="none"/>
        <c:crossAx val="578094352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1.2118087941942754E-2"/>
          <c:y val="0.69528791269989876"/>
          <c:w val="0.95953209245306914"/>
          <c:h val="0.2213948816410939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67416343574717"/>
          <c:y val="0.14828494484335394"/>
          <c:w val="0.77679986070981821"/>
          <c:h val="0.4440473790431842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'01_P&amp;L_small'!$A$46</c:f>
              <c:strCache>
                <c:ptCount val="1"/>
                <c:pt idx="0">
                  <c:v>COGS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'01_P&amp;L_small'!$B$46:$G$46</c:f>
              <c:numCache>
                <c:formatCode>#,##0.0</c:formatCode>
                <c:ptCount val="6"/>
                <c:pt idx="0">
                  <c:v>25</c:v>
                </c:pt>
                <c:pt idx="1">
                  <c:v>27</c:v>
                </c:pt>
                <c:pt idx="2">
                  <c:v>28</c:v>
                </c:pt>
                <c:pt idx="3">
                  <c:v>29</c:v>
                </c:pt>
                <c:pt idx="4">
                  <c:v>29.5</c:v>
                </c:pt>
                <c:pt idx="5">
                  <c:v>31.5</c:v>
                </c:pt>
              </c:numCache>
            </c:numRef>
          </c:val>
        </c:ser>
        <c:ser>
          <c:idx val="4"/>
          <c:order val="1"/>
          <c:tx>
            <c:strRef>
              <c:f>'01_P&amp;L_small'!$A$50</c:f>
              <c:strCache>
                <c:ptCount val="1"/>
                <c:pt idx="0">
                  <c:v>R&amp;D costs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bg1"/>
              </a:solidFill>
            </a:ln>
          </c:spPr>
          <c:invertIfNegative val="0"/>
          <c:dLbls>
            <c:delete val="1"/>
          </c:dLbls>
          <c:val>
            <c:numRef>
              <c:f>'01_P&amp;L_small'!$B$50:$G$50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1"/>
          <c:order val="2"/>
          <c:tx>
            <c:strRef>
              <c:f>'01_P&amp;L_small'!$A$52</c:f>
              <c:strCache>
                <c:ptCount val="1"/>
                <c:pt idx="0">
                  <c:v>Selling expenses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'01_P&amp;L_small'!$B$52:$G$52</c:f>
              <c:numCache>
                <c:formatCode>#,##0.0</c:formatCode>
                <c:ptCount val="6"/>
                <c:pt idx="0">
                  <c:v>7</c:v>
                </c:pt>
                <c:pt idx="1">
                  <c:v>8</c:v>
                </c:pt>
                <c:pt idx="2">
                  <c:v>8.5</c:v>
                </c:pt>
                <c:pt idx="3">
                  <c:v>9</c:v>
                </c:pt>
                <c:pt idx="4">
                  <c:v>9.5</c:v>
                </c:pt>
                <c:pt idx="5">
                  <c:v>10.5</c:v>
                </c:pt>
              </c:numCache>
            </c:numRef>
          </c:val>
        </c:ser>
        <c:ser>
          <c:idx val="2"/>
          <c:order val="3"/>
          <c:tx>
            <c:strRef>
              <c:f>'01_P&amp;L_small'!$A$54</c:f>
              <c:strCache>
                <c:ptCount val="1"/>
                <c:pt idx="0">
                  <c:v>G&amp;A expenses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'01_P&amp;L_small'!$B$54:$G$54</c:f>
              <c:numCache>
                <c:formatCode>#,##0.0</c:formatCode>
                <c:ptCount val="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ser>
          <c:idx val="3"/>
          <c:order val="4"/>
          <c:tx>
            <c:strRef>
              <c:f>'01_P&amp;L_small'!$A$56</c:f>
              <c:strCache>
                <c:ptCount val="1"/>
                <c:pt idx="0">
                  <c:v>Other operating result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'01_P&amp;L_small'!$B$56:$G$56</c:f>
              <c:numCache>
                <c:formatCode>#,##0.0;\(#,##0.0\)</c:formatCode>
                <c:ptCount val="6"/>
                <c:pt idx="0">
                  <c:v>-8</c:v>
                </c:pt>
                <c:pt idx="1">
                  <c:v>-8</c:v>
                </c:pt>
                <c:pt idx="2">
                  <c:v>-8</c:v>
                </c:pt>
                <c:pt idx="3">
                  <c:v>-8</c:v>
                </c:pt>
                <c:pt idx="4">
                  <c:v>-8</c:v>
                </c:pt>
                <c:pt idx="5">
                  <c:v>-8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578102584"/>
        <c:axId val="578106112"/>
      </c:barChart>
      <c:lineChart>
        <c:grouping val="standard"/>
        <c:varyColors val="0"/>
        <c:ser>
          <c:idx val="5"/>
          <c:order val="5"/>
          <c:tx>
            <c:strRef>
              <c:f>'01_P&amp;L_small'!$A$47</c:f>
              <c:strCache>
                <c:ptCount val="1"/>
                <c:pt idx="0">
                  <c:v>COGS ratio</c:v>
                </c:pt>
              </c:strCache>
            </c:strRef>
          </c:tx>
          <c:spPr>
            <a:ln w="12700">
              <a:solidFill>
                <a:schemeClr val="tx2"/>
              </a:solidFill>
            </a:ln>
          </c:spPr>
          <c:marker>
            <c:symbol val="square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val>
            <c:numRef>
              <c:f>'01_P&amp;L_small'!$B$47:$G$47</c:f>
              <c:numCache>
                <c:formatCode>0.0%</c:formatCode>
                <c:ptCount val="6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0.49152542372881358</c:v>
                </c:pt>
                <c:pt idx="4">
                  <c:v>0.48360655737704916</c:v>
                </c:pt>
                <c:pt idx="5">
                  <c:v>0.47014925373134331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'01_P&amp;L_small'!$A$51</c:f>
              <c:strCache>
                <c:ptCount val="1"/>
                <c:pt idx="0">
                  <c:v>R&amp;D ratio</c:v>
                </c:pt>
              </c:strCache>
            </c:strRef>
          </c:tx>
          <c:spPr>
            <a:ln w="12700">
              <a:solidFill>
                <a:schemeClr val="accent4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</c:marker>
          <c:val>
            <c:numRef>
              <c:f>'01_P&amp;L_small'!$B$51:$G$51</c:f>
              <c:numCache>
                <c:formatCode>0.0%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'01_P&amp;L_small'!$A$53</c:f>
              <c:strCache>
                <c:ptCount val="1"/>
                <c:pt idx="0">
                  <c:v>Selling expenses ratio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'01_P&amp;L_small'!$B$53:$G$53</c:f>
              <c:numCache>
                <c:formatCode>0.0%</c:formatCode>
                <c:ptCount val="6"/>
                <c:pt idx="0">
                  <c:v>0.14000000000000001</c:v>
                </c:pt>
                <c:pt idx="1">
                  <c:v>0.14814814814814814</c:v>
                </c:pt>
                <c:pt idx="2">
                  <c:v>0.15178571428571427</c:v>
                </c:pt>
                <c:pt idx="3">
                  <c:v>0.15254237288135594</c:v>
                </c:pt>
                <c:pt idx="4">
                  <c:v>0.15573770491803279</c:v>
                </c:pt>
                <c:pt idx="5">
                  <c:v>0.15671641791044777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'01_P&amp;L_small'!$A$55</c:f>
              <c:strCache>
                <c:ptCount val="1"/>
                <c:pt idx="0">
                  <c:v>G&amp;A ratio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'01_P&amp;L_small'!$B$55:$G$55</c:f>
              <c:numCache>
                <c:formatCode>0.0%</c:formatCode>
                <c:ptCount val="6"/>
                <c:pt idx="0">
                  <c:v>0.06</c:v>
                </c:pt>
                <c:pt idx="1">
                  <c:v>5.5555555555555552E-2</c:v>
                </c:pt>
                <c:pt idx="2">
                  <c:v>5.3571428571428568E-2</c:v>
                </c:pt>
                <c:pt idx="3">
                  <c:v>5.0847457627118647E-2</c:v>
                </c:pt>
                <c:pt idx="4">
                  <c:v>4.9180327868852458E-2</c:v>
                </c:pt>
                <c:pt idx="5">
                  <c:v>5.9701492537313432E-2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'01_P&amp;L_small'!$A$57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ln w="12700">
              <a:solidFill>
                <a:schemeClr val="accent3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'01_P&amp;L_small'!$B$57:$G$57</c:f>
              <c:numCache>
                <c:formatCode>0.0%;\(0.0\)%</c:formatCode>
                <c:ptCount val="6"/>
                <c:pt idx="0">
                  <c:v>-0.16</c:v>
                </c:pt>
                <c:pt idx="1">
                  <c:v>-0.14814814814814814</c:v>
                </c:pt>
                <c:pt idx="2">
                  <c:v>-0.14285714285714285</c:v>
                </c:pt>
                <c:pt idx="3">
                  <c:v>-0.13559322033898305</c:v>
                </c:pt>
                <c:pt idx="4">
                  <c:v>-0.13114754098360656</c:v>
                </c:pt>
                <c:pt idx="5">
                  <c:v>-0.11940298507462686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8097488"/>
        <c:axId val="578106504"/>
      </c:lineChart>
      <c:catAx>
        <c:axId val="578102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106112"/>
        <c:crosses val="autoZero"/>
        <c:auto val="1"/>
        <c:lblAlgn val="ctr"/>
        <c:lblOffset val="100"/>
        <c:noMultiLvlLbl val="0"/>
      </c:catAx>
      <c:valAx>
        <c:axId val="578106112"/>
        <c:scaling>
          <c:orientation val="minMax"/>
        </c:scaling>
        <c:delete val="0"/>
        <c:axPos val="l"/>
        <c:title>
          <c:tx>
            <c:strRef>
              <c:f>'01_P&amp;L_small'!$A$44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0303493502118195E-3"/>
              <c:y val="0.3201155652649636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;\(#,##0.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102584"/>
        <c:crosses val="autoZero"/>
        <c:crossBetween val="between"/>
      </c:valAx>
      <c:valAx>
        <c:axId val="578106504"/>
        <c:scaling>
          <c:orientation val="minMax"/>
        </c:scaling>
        <c:delete val="0"/>
        <c:axPos val="r"/>
        <c:numFmt formatCode="0%;\(0\)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578097488"/>
        <c:crosses val="max"/>
        <c:crossBetween val="between"/>
      </c:valAx>
      <c:catAx>
        <c:axId val="578097488"/>
        <c:scaling>
          <c:orientation val="minMax"/>
        </c:scaling>
        <c:delete val="1"/>
        <c:axPos val="b"/>
        <c:majorTickMark val="out"/>
        <c:minorTickMark val="none"/>
        <c:tickLblPos val="none"/>
        <c:crossAx val="578106504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2.8844499947450069E-2"/>
          <c:y val="0.69528791269989842"/>
          <c:w val="0.97115549989079264"/>
          <c:h val="0.253704598497722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08073410982445"/>
          <c:y val="0.28142964732909631"/>
          <c:w val="0.74549257017061099"/>
          <c:h val="0.4661733778864514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'01_P&amp;L_small'!$A$63</c:f>
              <c:strCache>
                <c:ptCount val="1"/>
                <c:pt idx="0">
                  <c:v>EBIT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'01_P&amp;L_small'!$B$63:$G$63</c:f>
              <c:numCache>
                <c:formatCode>#,##0.0</c:formatCode>
                <c:ptCount val="6"/>
                <c:pt idx="0">
                  <c:v>7</c:v>
                </c:pt>
                <c:pt idx="1">
                  <c:v>8</c:v>
                </c:pt>
                <c:pt idx="2">
                  <c:v>8.5</c:v>
                </c:pt>
                <c:pt idx="3">
                  <c:v>10</c:v>
                </c:pt>
                <c:pt idx="4">
                  <c:v>11</c:v>
                </c:pt>
                <c:pt idx="5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578107288"/>
        <c:axId val="578107680"/>
      </c:barChart>
      <c:lineChart>
        <c:grouping val="standard"/>
        <c:varyColors val="0"/>
        <c:ser>
          <c:idx val="1"/>
          <c:order val="1"/>
          <c:tx>
            <c:strRef>
              <c:f>'01_P&amp;L_small'!$A$64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solidFill>
                <a:schemeClr val="accent1"/>
              </a:solidFill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1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'01_P&amp;L_small'!$B$64:$G$64</c:f>
              <c:numCache>
                <c:formatCode>0.0%</c:formatCode>
                <c:ptCount val="6"/>
                <c:pt idx="0">
                  <c:v>0.14000000000000001</c:v>
                </c:pt>
                <c:pt idx="1">
                  <c:v>0.14814814814814814</c:v>
                </c:pt>
                <c:pt idx="2">
                  <c:v>0.15178571428571427</c:v>
                </c:pt>
                <c:pt idx="3">
                  <c:v>0.16949152542372881</c:v>
                </c:pt>
                <c:pt idx="4">
                  <c:v>0.18032786885245902</c:v>
                </c:pt>
                <c:pt idx="5">
                  <c:v>0.19402985074626866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8100624"/>
        <c:axId val="578108464"/>
      </c:lineChart>
      <c:catAx>
        <c:axId val="578107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107680"/>
        <c:crosses val="autoZero"/>
        <c:auto val="1"/>
        <c:lblAlgn val="ctr"/>
        <c:lblOffset val="100"/>
        <c:noMultiLvlLbl val="0"/>
      </c:catAx>
      <c:valAx>
        <c:axId val="578107680"/>
        <c:scaling>
          <c:orientation val="minMax"/>
        </c:scaling>
        <c:delete val="0"/>
        <c:axPos val="l"/>
        <c:title>
          <c:tx>
            <c:strRef>
              <c:f>'01_P&amp;L_small'!$A$44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1.5002947965978015E-2"/>
              <c:y val="0.45055695267817958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107288"/>
        <c:crosses val="autoZero"/>
        <c:crossBetween val="between"/>
      </c:valAx>
      <c:valAx>
        <c:axId val="578108464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578100624"/>
        <c:crosses val="max"/>
        <c:crossBetween val="between"/>
      </c:valAx>
      <c:catAx>
        <c:axId val="5781006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578108464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5.3219916771205782E-3"/>
          <c:y val="0.26468391358428905"/>
          <c:w val="0.88354542367428768"/>
          <c:h val="6.7811441901752034E-2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37367829021214"/>
          <c:y val="0.28979004226957533"/>
          <c:w val="0.75923685740437696"/>
          <c:h val="0.28101597228975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'01_P&amp;L_small'!$A$82:$A$88</c:f>
              <c:strCache>
                <c:ptCount val="7"/>
                <c:pt idx="0">
                  <c:v>EBIT 2012</c:v>
                </c:pt>
                <c:pt idx="1">
                  <c:v>Scale effects</c:v>
                </c:pt>
                <c:pt idx="2">
                  <c:v>Procurement
conditions</c:v>
                </c:pt>
                <c:pt idx="3">
                  <c:v>Tariff Increas</c:v>
                </c:pt>
                <c:pt idx="4">
                  <c:v>Price reduction</c:v>
                </c:pt>
                <c:pt idx="5">
                  <c:v>Other</c:v>
                </c:pt>
                <c:pt idx="6">
                  <c:v>EBIT 2015</c:v>
                </c:pt>
              </c:strCache>
            </c:strRef>
          </c:cat>
          <c:val>
            <c:numRef>
              <c:f>'01_P&amp;L_small'!$C$82:$C$88</c:f>
              <c:numCache>
                <c:formatCode>#,##0.0</c:formatCode>
                <c:ptCount val="7"/>
                <c:pt idx="0">
                  <c:v>8.5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13</c:v>
                </c:pt>
              </c:numCache>
            </c:numRef>
          </c:val>
        </c:ser>
        <c:ser>
          <c:idx val="1"/>
          <c:order val="1"/>
          <c:spPr>
            <a:noFill/>
            <a:ln w="3175">
              <a:noFill/>
              <a:prstDash val="solid"/>
            </a:ln>
          </c:spPr>
          <c:invertIfNegative val="0"/>
          <c:dLbls>
            <c:delete val="1"/>
          </c:dLbls>
          <c:cat>
            <c:strRef>
              <c:f>'01_P&amp;L_small'!$A$82:$A$88</c:f>
              <c:strCache>
                <c:ptCount val="7"/>
                <c:pt idx="0">
                  <c:v>EBIT 2012</c:v>
                </c:pt>
                <c:pt idx="1">
                  <c:v>Scale effects</c:v>
                </c:pt>
                <c:pt idx="2">
                  <c:v>Procurement
conditions</c:v>
                </c:pt>
                <c:pt idx="3">
                  <c:v>Tariff Increas</c:v>
                </c:pt>
                <c:pt idx="4">
                  <c:v>Price reduction</c:v>
                </c:pt>
                <c:pt idx="5">
                  <c:v>Other</c:v>
                </c:pt>
                <c:pt idx="6">
                  <c:v>EBIT 2015</c:v>
                </c:pt>
              </c:strCache>
            </c:strRef>
          </c:cat>
          <c:val>
            <c:numRef>
              <c:f>'01_P&amp;L_small'!$D$82:$D$88</c:f>
              <c:numCache>
                <c:formatCode>#,##0.0</c:formatCode>
                <c:ptCount val="7"/>
                <c:pt idx="1">
                  <c:v>8.5</c:v>
                </c:pt>
                <c:pt idx="2">
                  <c:v>15.5</c:v>
                </c:pt>
                <c:pt idx="3">
                  <c:v>17</c:v>
                </c:pt>
                <c:pt idx="4">
                  <c:v>14</c:v>
                </c:pt>
                <c:pt idx="5">
                  <c:v>13</c:v>
                </c:pt>
              </c:numCache>
            </c:numRef>
          </c:val>
        </c:ser>
        <c:ser>
          <c:idx val="2"/>
          <c:order val="2"/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Pt>
            <c:idx val="3"/>
            <c:invertIfNegative val="0"/>
            <c:bubble3D val="0"/>
            <c:spPr>
              <a:solidFill>
                <a:schemeClr val="accent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Lbls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(</a:t>
                    </a:r>
                    <a:fld id="{D78C6C34-4128-4B54-A95E-6DDC23447A80}" type="VALUE">
                      <a:rPr lang="en-US"/>
                      <a:pPr/>
                      <a:t>[VALUE]</a:t>
                    </a:fld>
                    <a:r>
                      <a:rPr lang="en-US"/>
                      <a:t>)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(</a:t>
                    </a:r>
                    <a:fld id="{C95FCD95-501C-47C2-9E82-1470B7EDFDE1}" type="VALUE">
                      <a:rPr lang="en-US"/>
                      <a:pPr/>
                      <a:t>[VALUE]</a:t>
                    </a:fld>
                    <a:r>
                      <a:rPr lang="en-US"/>
                      <a:t>)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5"/>
              <c:layout>
                <c:manualLayout>
                  <c:x val="0"/>
                  <c:y val="2.1880654297033154E-2"/>
                </c:manualLayout>
              </c:layout>
              <c:tx>
                <c:rich>
                  <a:bodyPr/>
                  <a:lstStyle/>
                  <a:p>
                    <a:pPr>
                      <a:defRPr sz="700">
                        <a:solidFill>
                          <a:schemeClr val="tx1"/>
                        </a:solidFill>
                      </a:defRPr>
                    </a:pPr>
                    <a:r>
                      <a:rPr lang="en-US">
                        <a:solidFill>
                          <a:schemeClr val="tx1"/>
                        </a:solidFill>
                      </a:rPr>
                      <a:t>(</a:t>
                    </a:r>
                    <a:fld id="{F9856B91-ECD6-4110-8E6B-5EE2C7EFD62F}" type="VALUE">
                      <a:rPr lang="en-US">
                        <a:solidFill>
                          <a:schemeClr val="tx1"/>
                        </a:solidFill>
                      </a:rPr>
                      <a:pPr>
                        <a:defRPr sz="700">
                          <a:solidFill>
                            <a:schemeClr val="tx1"/>
                          </a:solidFill>
                        </a:defRPr>
                      </a:pPr>
                      <a:t>[VALUE]</a:t>
                    </a:fld>
                    <a:r>
                      <a:rPr lang="en-US">
                        <a:solidFill>
                          <a:schemeClr val="tx1"/>
                        </a:solidFill>
                      </a:rPr>
                      <a:t>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'01_P&amp;L_small'!$A$82:$A$88</c:f>
              <c:strCache>
                <c:ptCount val="7"/>
                <c:pt idx="0">
                  <c:v>EBIT 2012</c:v>
                </c:pt>
                <c:pt idx="1">
                  <c:v>Scale effects</c:v>
                </c:pt>
                <c:pt idx="2">
                  <c:v>Procurement
conditions</c:v>
                </c:pt>
                <c:pt idx="3">
                  <c:v>Tariff Increas</c:v>
                </c:pt>
                <c:pt idx="4">
                  <c:v>Price reduction</c:v>
                </c:pt>
                <c:pt idx="5">
                  <c:v>Other</c:v>
                </c:pt>
                <c:pt idx="6">
                  <c:v>EBIT 2015</c:v>
                </c:pt>
              </c:strCache>
            </c:strRef>
          </c:cat>
          <c:val>
            <c:numRef>
              <c:f>'01_P&amp;L_small'!$E$82:$E$88</c:f>
              <c:numCache>
                <c:formatCode>#,##0.0</c:formatCode>
                <c:ptCount val="7"/>
                <c:pt idx="1">
                  <c:v>7</c:v>
                </c:pt>
                <c:pt idx="2">
                  <c:v>4</c:v>
                </c:pt>
                <c:pt idx="3">
                  <c:v>2.5</c:v>
                </c:pt>
                <c:pt idx="4">
                  <c:v>3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100"/>
        <c:axId val="578108072"/>
        <c:axId val="578104152"/>
      </c:barChart>
      <c:catAx>
        <c:axId val="578108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104152"/>
        <c:crosses val="autoZero"/>
        <c:auto val="1"/>
        <c:lblAlgn val="ctr"/>
        <c:lblOffset val="100"/>
        <c:noMultiLvlLbl val="0"/>
      </c:catAx>
      <c:valAx>
        <c:axId val="578104152"/>
        <c:scaling>
          <c:orientation val="minMax"/>
        </c:scaling>
        <c:delete val="0"/>
        <c:axPos val="l"/>
        <c:title>
          <c:tx>
            <c:strRef>
              <c:f>'01_P&amp;L_small'!$A$81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7003769579944017E-2"/>
              <c:y val="0.39832712038561807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10807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1"/>
          <c:order val="0"/>
          <c:tx>
            <c:strRef>
              <c:f>'02_Comparison'!$A$26</c:f>
              <c:strCache>
                <c:ptCount val="1"/>
                <c:pt idx="0">
                  <c:v>Analyst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'02_Comparison'!$E$31:$G$31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'02_Comparison'!$E$38:$G$38</c:f>
              <c:numCache>
                <c:formatCode>0.0%</c:formatCode>
                <c:ptCount val="3"/>
                <c:pt idx="0">
                  <c:v>0.2</c:v>
                </c:pt>
                <c:pt idx="1">
                  <c:v>0.21</c:v>
                </c:pt>
                <c:pt idx="2">
                  <c:v>0.22</c:v>
                </c:pt>
              </c:numCache>
            </c:numRef>
          </c:val>
        </c:ser>
        <c:ser>
          <c:idx val="0"/>
          <c:order val="3"/>
          <c:tx>
            <c:strRef>
              <c:f>'02_Comparison'!$A$37</c:f>
              <c:strCache>
                <c:ptCount val="1"/>
                <c:pt idx="0">
                  <c:v>Analyst Min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'02_Comparison'!$E$31:$G$31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'02_Comparison'!$E$37:$G$37</c:f>
              <c:numCache>
                <c:formatCode>0.0%</c:formatCode>
                <c:ptCount val="3"/>
                <c:pt idx="0">
                  <c:v>0.13</c:v>
                </c:pt>
                <c:pt idx="1">
                  <c:v>0.13</c:v>
                </c:pt>
                <c:pt idx="2">
                  <c:v>0.12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098272"/>
        <c:axId val="578104544"/>
      </c:areaChart>
      <c:lineChart>
        <c:grouping val="standard"/>
        <c:varyColors val="0"/>
        <c:ser>
          <c:idx val="2"/>
          <c:order val="1"/>
          <c:tx>
            <c:strRef>
              <c:f>'02_Comparison'!$A$39</c:f>
              <c:strCache>
                <c:ptCount val="1"/>
                <c:pt idx="0">
                  <c:v>Analyst Consensus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'02_Comparison'!$E$39:$G$39</c:f>
              <c:numCache>
                <c:formatCode>0.0%</c:formatCode>
                <c:ptCount val="3"/>
                <c:pt idx="0">
                  <c:v>0.16</c:v>
                </c:pt>
                <c:pt idx="1">
                  <c:v>0.16500000000000001</c:v>
                </c:pt>
                <c:pt idx="2">
                  <c:v>0.16666666666666666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'02_Comparison'!$A$32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'02_Comparison'!$E$32:$G$32</c:f>
              <c:numCache>
                <c:formatCode>0.0%</c:formatCode>
                <c:ptCount val="3"/>
                <c:pt idx="0">
                  <c:v>0.16949152542372881</c:v>
                </c:pt>
                <c:pt idx="1">
                  <c:v>0.18032786885245902</c:v>
                </c:pt>
                <c:pt idx="2">
                  <c:v>0.19402985074626866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8098272"/>
        <c:axId val="578104544"/>
      </c:lineChart>
      <c:catAx>
        <c:axId val="578098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104544"/>
        <c:crosses val="autoZero"/>
        <c:auto val="1"/>
        <c:lblAlgn val="ctr"/>
        <c:lblOffset val="100"/>
        <c:noMultiLvlLbl val="0"/>
      </c:catAx>
      <c:valAx>
        <c:axId val="578104544"/>
        <c:scaling>
          <c:orientation val="minMax"/>
        </c:scaling>
        <c:delete val="0"/>
        <c:axPos val="l"/>
        <c:title>
          <c:tx>
            <c:strRef>
              <c:f>'02_Comparison'!$A$18</c:f>
              <c:strCache>
                <c:ptCount val="1"/>
                <c:pt idx="0">
                  <c:v>EBIT margin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2110246957766644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098272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2.2557705286839213E-2"/>
          <c:y val="0.68636363636363662"/>
          <c:w val="0.67469156355457571"/>
          <c:h val="0.12202541159627776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zero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'02_Comparison'!$A$57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'02_Comparison'!$B$63:$G$63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'02_Comparison'!$B$72:$G$72</c:f>
              <c:numCache>
                <c:formatCode>0.0%</c:formatCode>
                <c:ptCount val="6"/>
                <c:pt idx="0">
                  <c:v>0.15</c:v>
                </c:pt>
                <c:pt idx="1">
                  <c:v>0.16400000000000001</c:v>
                </c:pt>
                <c:pt idx="2">
                  <c:v>0.17699999999999999</c:v>
                </c:pt>
                <c:pt idx="3">
                  <c:v>0.18</c:v>
                </c:pt>
                <c:pt idx="4">
                  <c:v>0.193</c:v>
                </c:pt>
                <c:pt idx="5">
                  <c:v>0.22</c:v>
                </c:pt>
              </c:numCache>
            </c:numRef>
          </c:val>
        </c:ser>
        <c:ser>
          <c:idx val="1"/>
          <c:order val="1"/>
          <c:tx>
            <c:strRef>
              <c:f>'02_Comparison'!$A$71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'02_Comparison'!$B$63:$G$63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'02_Comparison'!$B$71:$G$71</c:f>
              <c:numCache>
                <c:formatCode>0.0%</c:formatCode>
                <c:ptCount val="6"/>
                <c:pt idx="0">
                  <c:v>0.09</c:v>
                </c:pt>
                <c:pt idx="1">
                  <c:v>9.5000000000000001E-2</c:v>
                </c:pt>
                <c:pt idx="2">
                  <c:v>0.105</c:v>
                </c:pt>
                <c:pt idx="3">
                  <c:v>0.1</c:v>
                </c:pt>
                <c:pt idx="4">
                  <c:v>0.09</c:v>
                </c:pt>
                <c:pt idx="5">
                  <c:v>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098664"/>
        <c:axId val="578099056"/>
      </c:areaChart>
      <c:lineChart>
        <c:grouping val="standard"/>
        <c:varyColors val="0"/>
        <c:ser>
          <c:idx val="2"/>
          <c:order val="2"/>
          <c:tx>
            <c:strRef>
              <c:f>'02_Comparison'!$A$66</c:f>
              <c:strCache>
                <c:ptCount val="1"/>
                <c:pt idx="0">
                  <c:v>Market study YYY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cat>
            <c:numRef>
              <c:f>'02_Comparison'!$B$63:$G$63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'02_Comparison'!$B$66:$G$66</c:f>
              <c:numCache>
                <c:formatCode>0.0%</c:formatCode>
                <c:ptCount val="6"/>
                <c:pt idx="0">
                  <c:v>0.115</c:v>
                </c:pt>
                <c:pt idx="1">
                  <c:v>0.12</c:v>
                </c:pt>
                <c:pt idx="2">
                  <c:v>0.13300000000000001</c:v>
                </c:pt>
                <c:pt idx="3">
                  <c:v>0.15</c:v>
                </c:pt>
                <c:pt idx="4">
                  <c:v>0.153</c:v>
                </c:pt>
                <c:pt idx="5">
                  <c:v>0.17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'02_Comparison'!$A$73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5EB8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cat>
            <c:numRef>
              <c:f>'02_Comparison'!$B$63:$G$63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'02_Comparison'!$B$73:$G$73</c:f>
              <c:numCache>
                <c:formatCode>0.0%</c:formatCode>
                <c:ptCount val="6"/>
                <c:pt idx="0">
                  <c:v>0.11333333333333333</c:v>
                </c:pt>
                <c:pt idx="1">
                  <c:v>0.11966666666666666</c:v>
                </c:pt>
                <c:pt idx="2">
                  <c:v>0.12899999999999998</c:v>
                </c:pt>
                <c:pt idx="3">
                  <c:v>0.13166666666666668</c:v>
                </c:pt>
                <c:pt idx="4">
                  <c:v>0.13600000000000001</c:v>
                </c:pt>
                <c:pt idx="5">
                  <c:v>0.15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'02_Comparison'!$A$65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cat>
            <c:numRef>
              <c:f>'02_Comparison'!$B$63:$G$63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'02_Comparison'!$B$65:$G$65</c:f>
              <c:numCache>
                <c:formatCode>0.0%</c:formatCode>
                <c:ptCount val="6"/>
                <c:pt idx="0">
                  <c:v>0.14000000000000001</c:v>
                </c:pt>
                <c:pt idx="1">
                  <c:v>0.14814814814814814</c:v>
                </c:pt>
                <c:pt idx="2">
                  <c:v>0.15178571428571427</c:v>
                </c:pt>
                <c:pt idx="3">
                  <c:v>0.16949152542372881</c:v>
                </c:pt>
                <c:pt idx="4">
                  <c:v>0.18032786885245902</c:v>
                </c:pt>
                <c:pt idx="5">
                  <c:v>0.19402985074626866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8098664"/>
        <c:axId val="578099056"/>
      </c:lineChart>
      <c:catAx>
        <c:axId val="578098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099056"/>
        <c:crosses val="autoZero"/>
        <c:auto val="1"/>
        <c:lblAlgn val="ctr"/>
        <c:lblOffset val="100"/>
        <c:noMultiLvlLbl val="0"/>
      </c:catAx>
      <c:valAx>
        <c:axId val="578099056"/>
        <c:scaling>
          <c:orientation val="minMax"/>
          <c:min val="6.0000000000000032E-2"/>
        </c:scaling>
        <c:delete val="0"/>
        <c:axPos val="l"/>
        <c:title>
          <c:tx>
            <c:strRef>
              <c:f>'02_Comparison'!$A$48</c:f>
              <c:strCache>
                <c:ptCount val="1"/>
                <c:pt idx="0">
                  <c:v>EBIT margin</c:v>
                </c:pt>
              </c:strCache>
            </c:strRef>
          </c:tx>
          <c:layout>
            <c:manualLayout>
              <c:xMode val="edge"/>
              <c:yMode val="edge"/>
              <c:x val="2.5714318346060441E-2"/>
              <c:y val="0.2659829669755451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098664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9.6292013498312692E-2"/>
          <c:y val="0.69545454545454544"/>
          <c:w val="0.67648571428572413"/>
          <c:h val="0.1281417322834645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27379077615298"/>
          <c:y val="0.15185428950072144"/>
          <c:w val="0.5305833520809895"/>
          <c:h val="0.44868404707768528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'02_Comparison'!$A$111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'02_Comparison'!$B$98:$G$98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'02_Comparison'!$B$107:$G$107</c:f>
              <c:numCache>
                <c:formatCode>0.0%</c:formatCode>
                <c:ptCount val="6"/>
                <c:pt idx="0">
                  <c:v>0.2</c:v>
                </c:pt>
                <c:pt idx="1">
                  <c:v>0.20499999999999999</c:v>
                </c:pt>
                <c:pt idx="2">
                  <c:v>0.21</c:v>
                </c:pt>
                <c:pt idx="3">
                  <c:v>0.215</c:v>
                </c:pt>
                <c:pt idx="4">
                  <c:v>0.22</c:v>
                </c:pt>
                <c:pt idx="5">
                  <c:v>0.22500000000000001</c:v>
                </c:pt>
              </c:numCache>
            </c:numRef>
          </c:val>
        </c:ser>
        <c:ser>
          <c:idx val="1"/>
          <c:order val="1"/>
          <c:tx>
            <c:strRef>
              <c:f>'02_Comparison'!$A$106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'02_Comparison'!$B$98:$G$98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'02_Comparison'!$B$106:$G$106</c:f>
              <c:numCache>
                <c:formatCode>0.0%</c:formatCode>
                <c:ptCount val="6"/>
                <c:pt idx="0">
                  <c:v>0.12</c:v>
                </c:pt>
                <c:pt idx="1">
                  <c:v>0.122</c:v>
                </c:pt>
                <c:pt idx="2">
                  <c:v>0.124</c:v>
                </c:pt>
                <c:pt idx="3">
                  <c:v>0.125</c:v>
                </c:pt>
                <c:pt idx="4">
                  <c:v>0.13</c:v>
                </c:pt>
                <c:pt idx="5">
                  <c:v>0.13500000000000001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099840"/>
        <c:axId val="578100232"/>
      </c:areaChart>
      <c:lineChart>
        <c:grouping val="standard"/>
        <c:varyColors val="0"/>
        <c:ser>
          <c:idx val="2"/>
          <c:order val="2"/>
          <c:tx>
            <c:strRef>
              <c:f>'02_Comparison'!$A$101</c:f>
              <c:strCache>
                <c:ptCount val="1"/>
                <c:pt idx="0">
                  <c:v>Market study YYY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'02_Comparison'!$B$101:$G$101</c:f>
              <c:numCache>
                <c:formatCode>0.0%</c:formatCode>
                <c:ptCount val="6"/>
                <c:pt idx="0">
                  <c:v>0.21</c:v>
                </c:pt>
                <c:pt idx="1">
                  <c:v>0.21199999999999999</c:v>
                </c:pt>
                <c:pt idx="2">
                  <c:v>0.20899999999999999</c:v>
                </c:pt>
                <c:pt idx="3">
                  <c:v>0.215</c:v>
                </c:pt>
                <c:pt idx="4">
                  <c:v>0.218</c:v>
                </c:pt>
                <c:pt idx="5">
                  <c:v>0.218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'02_Comparison'!$A$108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5EB8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'02_Comparison'!$B$108:$G$108</c:f>
              <c:numCache>
                <c:formatCode>0.0%</c:formatCode>
                <c:ptCount val="6"/>
                <c:pt idx="0">
                  <c:v>0.16333333333333333</c:v>
                </c:pt>
                <c:pt idx="1">
                  <c:v>0.16733333333333333</c:v>
                </c:pt>
                <c:pt idx="2">
                  <c:v>0.17133333333333334</c:v>
                </c:pt>
                <c:pt idx="3">
                  <c:v>0.17466666666666666</c:v>
                </c:pt>
                <c:pt idx="4">
                  <c:v>0.17966666666666667</c:v>
                </c:pt>
                <c:pt idx="5">
                  <c:v>0.18500000000000003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'02_Comparison'!$A$100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'02_Comparison'!$B$100:$G$100</c:f>
              <c:numCache>
                <c:formatCode>0.0%</c:formatCode>
                <c:ptCount val="6"/>
                <c:pt idx="0">
                  <c:v>0.14000000000000001</c:v>
                </c:pt>
                <c:pt idx="1">
                  <c:v>0.14814814814814814</c:v>
                </c:pt>
                <c:pt idx="2">
                  <c:v>0.15178571428571427</c:v>
                </c:pt>
                <c:pt idx="3">
                  <c:v>0.15254237288135594</c:v>
                </c:pt>
                <c:pt idx="4">
                  <c:v>0.15573770491803279</c:v>
                </c:pt>
                <c:pt idx="5">
                  <c:v>0.15671641791044777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8099840"/>
        <c:axId val="578100232"/>
      </c:lineChart>
      <c:catAx>
        <c:axId val="578099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100232"/>
        <c:crosses val="autoZero"/>
        <c:auto val="1"/>
        <c:lblAlgn val="ctr"/>
        <c:lblOffset val="100"/>
        <c:noMultiLvlLbl val="0"/>
      </c:catAx>
      <c:valAx>
        <c:axId val="578100232"/>
        <c:scaling>
          <c:orientation val="minMax"/>
          <c:min val="0.05"/>
        </c:scaling>
        <c:delete val="0"/>
        <c:axPos val="l"/>
        <c:title>
          <c:tx>
            <c:strRef>
              <c:f>'02_Comparison'!$A$83</c:f>
              <c:strCache>
                <c:ptCount val="1"/>
                <c:pt idx="0">
                  <c:v>Selling expenses ratio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1865280653580687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099840"/>
        <c:crosses val="autoZero"/>
        <c:crossBetween val="midCat"/>
        <c:majorUnit val="4.0000000000000022E-2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5.6592350956130598E-2"/>
          <c:y val="0.677145616861484"/>
          <c:w val="0.6828571428571425"/>
          <c:h val="0.1257098953318314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255950506186726"/>
          <c:y val="0.12999907477260783"/>
          <c:w val="0.49058335208098985"/>
          <c:h val="0.46803446116180164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'02_Comparison'!$A$132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'02_Comparison'!$B$139:$G$139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'02_Comparison'!$B$148:$G$148</c:f>
              <c:numCache>
                <c:formatCode>0.0%</c:formatCode>
                <c:ptCount val="6"/>
                <c:pt idx="0">
                  <c:v>7.0000000000000007E-2</c:v>
                </c:pt>
                <c:pt idx="1">
                  <c:v>7.4999999999999997E-2</c:v>
                </c:pt>
                <c:pt idx="2">
                  <c:v>7.9000000000000001E-2</c:v>
                </c:pt>
                <c:pt idx="3">
                  <c:v>8.8999999999999996E-2</c:v>
                </c:pt>
                <c:pt idx="4">
                  <c:v>9.5000000000000001E-2</c:v>
                </c:pt>
                <c:pt idx="5">
                  <c:v>0.105</c:v>
                </c:pt>
              </c:numCache>
            </c:numRef>
          </c:val>
        </c:ser>
        <c:ser>
          <c:idx val="1"/>
          <c:order val="1"/>
          <c:tx>
            <c:strRef>
              <c:f>'02_Comparison'!$A$147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'02_Comparison'!$B$139:$G$139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'02_Comparison'!$B$147:$G$147</c:f>
              <c:numCache>
                <c:formatCode>0.0%</c:formatCode>
                <c:ptCount val="6"/>
                <c:pt idx="0">
                  <c:v>0.04</c:v>
                </c:pt>
                <c:pt idx="1">
                  <c:v>4.1000000000000002E-2</c:v>
                </c:pt>
                <c:pt idx="2">
                  <c:v>4.4999999999999998E-2</c:v>
                </c:pt>
                <c:pt idx="3">
                  <c:v>0.05</c:v>
                </c:pt>
                <c:pt idx="4">
                  <c:v>5.3999999999999999E-2</c:v>
                </c:pt>
                <c:pt idx="5">
                  <c:v>5.3999999999999999E-2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101800"/>
        <c:axId val="578102192"/>
      </c:areaChart>
      <c:lineChart>
        <c:grouping val="standard"/>
        <c:varyColors val="0"/>
        <c:ser>
          <c:idx val="2"/>
          <c:order val="2"/>
          <c:tx>
            <c:strRef>
              <c:f>'02_Comparison'!$A$142</c:f>
              <c:strCache>
                <c:ptCount val="1"/>
                <c:pt idx="0">
                  <c:v>Market study YYY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'02_Comparison'!$B$142:$G$142</c:f>
              <c:numCache>
                <c:formatCode>0.0%</c:formatCode>
                <c:ptCount val="6"/>
                <c:pt idx="0">
                  <c:v>0.06</c:v>
                </c:pt>
                <c:pt idx="1">
                  <c:v>5.8999999999999997E-2</c:v>
                </c:pt>
                <c:pt idx="2">
                  <c:v>5.8000000000000003E-2</c:v>
                </c:pt>
                <c:pt idx="3">
                  <c:v>6.8000000000000005E-2</c:v>
                </c:pt>
                <c:pt idx="4">
                  <c:v>8.4000000000000005E-2</c:v>
                </c:pt>
                <c:pt idx="5">
                  <c:v>0.08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'02_Comparison'!$A$149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5EB8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'02_Comparison'!$B$149:$G$149</c:f>
              <c:numCache>
                <c:formatCode>0.0%</c:formatCode>
                <c:ptCount val="6"/>
                <c:pt idx="0">
                  <c:v>5.6333333333333339E-2</c:v>
                </c:pt>
                <c:pt idx="1">
                  <c:v>5.7666666666666672E-2</c:v>
                </c:pt>
                <c:pt idx="2">
                  <c:v>6.0999999999999999E-2</c:v>
                </c:pt>
                <c:pt idx="3">
                  <c:v>6.5000000000000002E-2</c:v>
                </c:pt>
                <c:pt idx="4">
                  <c:v>6.7999999999999991E-2</c:v>
                </c:pt>
                <c:pt idx="5">
                  <c:v>7.2999999999999995E-2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'02_Comparison'!$A$141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'02_Comparison'!$B$141:$G$141</c:f>
              <c:numCache>
                <c:formatCode>0.0%</c:formatCode>
                <c:ptCount val="6"/>
                <c:pt idx="0">
                  <c:v>0.1</c:v>
                </c:pt>
                <c:pt idx="1">
                  <c:v>9.2592592592592587E-2</c:v>
                </c:pt>
                <c:pt idx="2">
                  <c:v>8.9285714285714288E-2</c:v>
                </c:pt>
                <c:pt idx="3">
                  <c:v>8.4745762711864403E-2</c:v>
                </c:pt>
                <c:pt idx="4">
                  <c:v>8.1967213114754092E-2</c:v>
                </c:pt>
                <c:pt idx="5">
                  <c:v>7.4626865671641784E-2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8101800"/>
        <c:axId val="578102192"/>
      </c:lineChart>
      <c:catAx>
        <c:axId val="578101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102192"/>
        <c:crosses val="autoZero"/>
        <c:auto val="1"/>
        <c:lblAlgn val="ctr"/>
        <c:lblOffset val="100"/>
        <c:noMultiLvlLbl val="0"/>
      </c:catAx>
      <c:valAx>
        <c:axId val="578102192"/>
        <c:scaling>
          <c:orientation val="minMax"/>
        </c:scaling>
        <c:delete val="0"/>
        <c:axPos val="l"/>
        <c:title>
          <c:tx>
            <c:strRef>
              <c:f>'02_Comparison'!$A$123</c:f>
              <c:strCache>
                <c:ptCount val="1"/>
                <c:pt idx="0">
                  <c:v>Depreciation ratio</c:v>
                </c:pt>
              </c:strCache>
            </c:strRef>
          </c:tx>
          <c:layout>
            <c:manualLayout>
              <c:xMode val="edge"/>
              <c:yMode val="edge"/>
              <c:x val="6.002675229087398E-2"/>
              <c:y val="0.17443841948547514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8101800"/>
        <c:crosses val="autoZero"/>
        <c:crossBetween val="midCat"/>
        <c:majorUnit val="2.0000000000000011E-2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7.6579302587176476E-2"/>
          <c:y val="0.68172283672299894"/>
          <c:w val="0.62857142857142978"/>
          <c:h val="0.1439223236018392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67516590395881"/>
          <c:y val="0.15287423165234224"/>
          <c:w val="0.49171856100842132"/>
          <c:h val="0.44337691091861775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'02_Comparison'!$A$170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'02_Comparison'!$B$139:$G$139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'02_Comparison'!$B$184:$G$184</c:f>
              <c:numCache>
                <c:formatCode>0.0%</c:formatCode>
                <c:ptCount val="6"/>
                <c:pt idx="0">
                  <c:v>0.1</c:v>
                </c:pt>
                <c:pt idx="1">
                  <c:v>0.11</c:v>
                </c:pt>
                <c:pt idx="2">
                  <c:v>0.12</c:v>
                </c:pt>
                <c:pt idx="3">
                  <c:v>0.14000000000000001</c:v>
                </c:pt>
                <c:pt idx="4">
                  <c:v>0.16</c:v>
                </c:pt>
                <c:pt idx="5">
                  <c:v>0.18</c:v>
                </c:pt>
              </c:numCache>
            </c:numRef>
          </c:val>
        </c:ser>
        <c:ser>
          <c:idx val="1"/>
          <c:order val="1"/>
          <c:tx>
            <c:strRef>
              <c:f>'02_Comparison'!$A$183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'02_Comparison'!$B$139:$G$139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'02_Comparison'!$B$183:$G$183</c:f>
              <c:numCache>
                <c:formatCode>0.0%</c:formatCode>
                <c:ptCount val="6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525072"/>
        <c:axId val="435528600"/>
      </c:areaChart>
      <c:lineChart>
        <c:grouping val="standard"/>
        <c:varyColors val="0"/>
        <c:ser>
          <c:idx val="2"/>
          <c:order val="2"/>
          <c:tx>
            <c:strRef>
              <c:f>'02_Comparison'!$A$178</c:f>
              <c:strCache>
                <c:ptCount val="1"/>
                <c:pt idx="0">
                  <c:v>Market study YYY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'02_Comparison'!$B$178:$G$178</c:f>
              <c:numCache>
                <c:formatCode>0.0%</c:formatCode>
                <c:ptCount val="6"/>
                <c:pt idx="0">
                  <c:v>0.06</c:v>
                </c:pt>
                <c:pt idx="1">
                  <c:v>5.8999999999999997E-2</c:v>
                </c:pt>
                <c:pt idx="2">
                  <c:v>5.8000000000000003E-2</c:v>
                </c:pt>
                <c:pt idx="3">
                  <c:v>6.8000000000000005E-2</c:v>
                </c:pt>
                <c:pt idx="4">
                  <c:v>8.4000000000000005E-2</c:v>
                </c:pt>
                <c:pt idx="5">
                  <c:v>0.08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'02_Comparison'!$A$185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5EB8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'02_Comparison'!$B$185:$G$185</c:f>
              <c:numCache>
                <c:formatCode>0.0%</c:formatCode>
                <c:ptCount val="6"/>
                <c:pt idx="0">
                  <c:v>7.3333333333333348E-2</c:v>
                </c:pt>
                <c:pt idx="1">
                  <c:v>8.3333333333333329E-2</c:v>
                </c:pt>
                <c:pt idx="2">
                  <c:v>9.3333333333333338E-2</c:v>
                </c:pt>
                <c:pt idx="3">
                  <c:v>0.10666666666666667</c:v>
                </c:pt>
                <c:pt idx="4">
                  <c:v>0.12</c:v>
                </c:pt>
                <c:pt idx="5">
                  <c:v>0.13333333333333333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'02_Comparison'!$A$177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'02_Comparison'!$B$177:$G$177</c:f>
              <c:numCache>
                <c:formatCode>0.0%</c:formatCode>
                <c:ptCount val="6"/>
                <c:pt idx="0">
                  <c:v>0.06</c:v>
                </c:pt>
                <c:pt idx="1">
                  <c:v>7.407407407407407E-2</c:v>
                </c:pt>
                <c:pt idx="2">
                  <c:v>8.0357142857142863E-2</c:v>
                </c:pt>
                <c:pt idx="3">
                  <c:v>0.13559322033898305</c:v>
                </c:pt>
                <c:pt idx="4">
                  <c:v>0.14754098360655737</c:v>
                </c:pt>
                <c:pt idx="5">
                  <c:v>0.14925373134328357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525072"/>
        <c:axId val="435528600"/>
      </c:lineChart>
      <c:catAx>
        <c:axId val="435525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528600"/>
        <c:crosses val="autoZero"/>
        <c:auto val="1"/>
        <c:lblAlgn val="ctr"/>
        <c:lblOffset val="100"/>
        <c:noMultiLvlLbl val="0"/>
      </c:catAx>
      <c:valAx>
        <c:axId val="435528600"/>
        <c:scaling>
          <c:orientation val="minMax"/>
        </c:scaling>
        <c:delete val="0"/>
        <c:axPos val="l"/>
        <c:title>
          <c:tx>
            <c:strRef>
              <c:f>'02_Comparison'!$A$161</c:f>
              <c:strCache>
                <c:ptCount val="1"/>
                <c:pt idx="0">
                  <c:v>Investment ratio</c:v>
                </c:pt>
              </c:strCache>
            </c:strRef>
          </c:tx>
          <c:layout>
            <c:manualLayout>
              <c:xMode val="edge"/>
              <c:yMode val="edge"/>
              <c:x val="2.8558380202474688E-2"/>
              <c:y val="0.2288445007586331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525072"/>
        <c:crosses val="autoZero"/>
        <c:crossBetween val="midCat"/>
        <c:majorUnit val="0.05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6.2162922964985934E-2"/>
          <c:y val="0.69545449630759615"/>
          <c:w val="0.60571428571428576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1"/>
          <c:order val="0"/>
          <c:tx>
            <c:strRef>
              <c:f>'02_Comparison'!$A$202</c:f>
              <c:strCache>
                <c:ptCount val="1"/>
                <c:pt idx="0">
                  <c:v>Analyst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'02_Comparison'!$E$31:$G$31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'02_Comparison'!$E$213:$G$213</c:f>
              <c:numCache>
                <c:formatCode>0.0%</c:formatCode>
                <c:ptCount val="3"/>
                <c:pt idx="0">
                  <c:v>8.8999999999999996E-2</c:v>
                </c:pt>
                <c:pt idx="1">
                  <c:v>9.5000000000000001E-2</c:v>
                </c:pt>
                <c:pt idx="2">
                  <c:v>0.105</c:v>
                </c:pt>
              </c:numCache>
            </c:numRef>
          </c:val>
        </c:ser>
        <c:ser>
          <c:idx val="0"/>
          <c:order val="3"/>
          <c:tx>
            <c:strRef>
              <c:f>'02_Comparison'!$A$212</c:f>
              <c:strCache>
                <c:ptCount val="1"/>
                <c:pt idx="0">
                  <c:v>Analyst Min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'02_Comparison'!$E$31:$G$31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'02_Comparison'!$E$212:$G$212</c:f>
              <c:numCache>
                <c:formatCode>0.0%</c:formatCode>
                <c:ptCount val="3"/>
                <c:pt idx="0">
                  <c:v>0.05</c:v>
                </c:pt>
                <c:pt idx="1">
                  <c:v>5.3999999999999999E-2</c:v>
                </c:pt>
                <c:pt idx="2">
                  <c:v>5.3999999999999999E-2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524288"/>
        <c:axId val="435526248"/>
      </c:areaChart>
      <c:lineChart>
        <c:grouping val="standard"/>
        <c:varyColors val="0"/>
        <c:ser>
          <c:idx val="2"/>
          <c:order val="1"/>
          <c:tx>
            <c:strRef>
              <c:f>'02_Comparison'!$A$214</c:f>
              <c:strCache>
                <c:ptCount val="1"/>
                <c:pt idx="0">
                  <c:v>Analyst Consensus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'02_Comparison'!$E$214:$G$214</c:f>
              <c:numCache>
                <c:formatCode>0.0%</c:formatCode>
                <c:ptCount val="3"/>
                <c:pt idx="0">
                  <c:v>6.5000000000000002E-2</c:v>
                </c:pt>
                <c:pt idx="1">
                  <c:v>6.7999999999999991E-2</c:v>
                </c:pt>
                <c:pt idx="2">
                  <c:v>7.2999999999999995E-2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'02_Comparison'!$A$207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'02_Comparison'!$E$207:$G$207</c:f>
              <c:numCache>
                <c:formatCode>0.0%</c:formatCode>
                <c:ptCount val="3"/>
                <c:pt idx="0">
                  <c:v>8.4745762711864403E-2</c:v>
                </c:pt>
                <c:pt idx="1">
                  <c:v>8.1967213114754092E-2</c:v>
                </c:pt>
                <c:pt idx="2">
                  <c:v>7.4626865671641784E-2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524288"/>
        <c:axId val="435526248"/>
      </c:lineChart>
      <c:catAx>
        <c:axId val="435524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526248"/>
        <c:crosses val="autoZero"/>
        <c:auto val="1"/>
        <c:lblAlgn val="ctr"/>
        <c:lblOffset val="100"/>
        <c:noMultiLvlLbl val="0"/>
      </c:catAx>
      <c:valAx>
        <c:axId val="435526248"/>
        <c:scaling>
          <c:orientation val="minMax"/>
        </c:scaling>
        <c:delete val="0"/>
        <c:axPos val="l"/>
        <c:title>
          <c:tx>
            <c:strRef>
              <c:f>'02_Comparison'!$A$194</c:f>
              <c:strCache>
                <c:ptCount val="1"/>
                <c:pt idx="0">
                  <c:v>Depreciation ratio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2110246957766644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524288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2.2557705286839227E-2"/>
          <c:y val="0.68636363636363662"/>
          <c:w val="0.67469156355457638"/>
          <c:h val="0.12202541159627776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zero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60997812443415"/>
          <c:y val="0.15255191144403366"/>
          <c:w val="0.5359764556790908"/>
          <c:h val="0.44479924456565634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'02_Comparison'!$A$231</c:f>
              <c:strCache>
                <c:ptCount val="1"/>
                <c:pt idx="0">
                  <c:v>Analyst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'02_Comparison'!$E$237:$G$237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'02_Comparison'!$E$244:$G$244</c:f>
              <c:numCache>
                <c:formatCode>0.0%</c:formatCode>
                <c:ptCount val="3"/>
                <c:pt idx="0">
                  <c:v>0.14000000000000001</c:v>
                </c:pt>
                <c:pt idx="1">
                  <c:v>0.16</c:v>
                </c:pt>
                <c:pt idx="2">
                  <c:v>0.18</c:v>
                </c:pt>
              </c:numCache>
            </c:numRef>
          </c:val>
        </c:ser>
        <c:ser>
          <c:idx val="1"/>
          <c:order val="1"/>
          <c:tx>
            <c:strRef>
              <c:f>'02_Comparison'!$A$243</c:f>
              <c:strCache>
                <c:ptCount val="1"/>
                <c:pt idx="0">
                  <c:v>Analyst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'02_Comparison'!$E$237:$G$237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'02_Comparison'!$E$243:$G$243</c:f>
              <c:numCache>
                <c:formatCode>0.0%</c:formatCode>
                <c:ptCount val="3"/>
                <c:pt idx="0">
                  <c:v>0.08</c:v>
                </c:pt>
                <c:pt idx="1">
                  <c:v>0.09</c:v>
                </c:pt>
                <c:pt idx="2">
                  <c:v>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526640"/>
        <c:axId val="435525464"/>
      </c:areaChart>
      <c:lineChart>
        <c:grouping val="standard"/>
        <c:varyColors val="0"/>
        <c:ser>
          <c:idx val="4"/>
          <c:order val="2"/>
          <c:tx>
            <c:strRef>
              <c:f>'02_Comparison'!$A$245</c:f>
              <c:strCache>
                <c:ptCount val="1"/>
                <c:pt idx="0">
                  <c:v>Analyst Consensus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'02_Comparison'!$E$245:$G$245</c:f>
              <c:numCache>
                <c:formatCode>0.0%</c:formatCode>
                <c:ptCount val="3"/>
                <c:pt idx="0">
                  <c:v>0.10666666666666667</c:v>
                </c:pt>
                <c:pt idx="1">
                  <c:v>0.12</c:v>
                </c:pt>
                <c:pt idx="2">
                  <c:v>0.13333333333333333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'02_Comparison'!$A$238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'02_Comparison'!$E$238:$G$238</c:f>
              <c:numCache>
                <c:formatCode>0.0%</c:formatCode>
                <c:ptCount val="3"/>
                <c:pt idx="0">
                  <c:v>0.13559322033898305</c:v>
                </c:pt>
                <c:pt idx="1">
                  <c:v>0.14754098360655737</c:v>
                </c:pt>
                <c:pt idx="2">
                  <c:v>0.14925373134328357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526640"/>
        <c:axId val="435525464"/>
      </c:lineChart>
      <c:catAx>
        <c:axId val="435526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525464"/>
        <c:crosses val="autoZero"/>
        <c:auto val="1"/>
        <c:lblAlgn val="ctr"/>
        <c:lblOffset val="100"/>
        <c:noMultiLvlLbl val="0"/>
      </c:catAx>
      <c:valAx>
        <c:axId val="435525464"/>
        <c:scaling>
          <c:orientation val="minMax"/>
        </c:scaling>
        <c:delete val="0"/>
        <c:axPos val="l"/>
        <c:title>
          <c:tx>
            <c:strRef>
              <c:f>'02_Comparison'!$A$223</c:f>
              <c:strCache>
                <c:ptCount val="1"/>
                <c:pt idx="0">
                  <c:v>Investment ratio</c:v>
                </c:pt>
              </c:strCache>
            </c:strRef>
          </c:tx>
          <c:layout>
            <c:manualLayout>
              <c:xMode val="edge"/>
              <c:yMode val="edge"/>
              <c:x val="2.8558380202474688E-2"/>
              <c:y val="0.22873008434699157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526640"/>
        <c:crosses val="autoZero"/>
        <c:crossBetween val="midCat"/>
        <c:majorUnit val="0.05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3.6448593925759346E-2"/>
          <c:y val="0.69545444463260953"/>
          <c:w val="0.6764857142857249"/>
          <c:h val="0.1006782935259369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'02_Comparison'!$A$272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'02_Comparison'!$B$277:$G$277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'02_Comparison'!$B$286:$G$286</c:f>
              <c:numCache>
                <c:formatCode>#,##0</c:formatCode>
                <c:ptCount val="6"/>
                <c:pt idx="0">
                  <c:v>129</c:v>
                </c:pt>
                <c:pt idx="1">
                  <c:v>131</c:v>
                </c:pt>
                <c:pt idx="2">
                  <c:v>132</c:v>
                </c:pt>
                <c:pt idx="3">
                  <c:v>131</c:v>
                </c:pt>
                <c:pt idx="4">
                  <c:v>131.5</c:v>
                </c:pt>
                <c:pt idx="5">
                  <c:v>136</c:v>
                </c:pt>
              </c:numCache>
            </c:numRef>
          </c:val>
        </c:ser>
        <c:ser>
          <c:idx val="1"/>
          <c:order val="1"/>
          <c:tx>
            <c:strRef>
              <c:f>'02_Comparison'!$A$285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'02_Comparison'!$B$277:$G$277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'02_Comparison'!$B$285:$G$285</c:f>
              <c:numCache>
                <c:formatCode>#,##0</c:formatCode>
                <c:ptCount val="6"/>
                <c:pt idx="0">
                  <c:v>112</c:v>
                </c:pt>
                <c:pt idx="1">
                  <c:v>113</c:v>
                </c:pt>
                <c:pt idx="2">
                  <c:v>113.5</c:v>
                </c:pt>
                <c:pt idx="3">
                  <c:v>114.8</c:v>
                </c:pt>
                <c:pt idx="4">
                  <c:v>115.9</c:v>
                </c:pt>
                <c:pt idx="5">
                  <c:v>117.8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527816"/>
        <c:axId val="435523896"/>
      </c:areaChart>
      <c:lineChart>
        <c:grouping val="standard"/>
        <c:varyColors val="0"/>
        <c:ser>
          <c:idx val="2"/>
          <c:order val="2"/>
          <c:tx>
            <c:strRef>
              <c:f>'02_Comparison'!$A$280</c:f>
              <c:strCache>
                <c:ptCount val="1"/>
                <c:pt idx="0">
                  <c:v>Market study YYY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'02_Comparison'!$B$280:$G$280</c:f>
              <c:numCache>
                <c:formatCode>#,##0</c:formatCode>
                <c:ptCount val="6"/>
                <c:pt idx="0">
                  <c:v>120</c:v>
                </c:pt>
                <c:pt idx="1">
                  <c:v>122</c:v>
                </c:pt>
                <c:pt idx="2">
                  <c:v>122</c:v>
                </c:pt>
                <c:pt idx="3">
                  <c:v>123</c:v>
                </c:pt>
                <c:pt idx="4">
                  <c:v>123</c:v>
                </c:pt>
                <c:pt idx="5">
                  <c:v>124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'02_Comparison'!$A$287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5EB8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'02_Comparison'!$B$287:$G$287</c:f>
              <c:numCache>
                <c:formatCode>#,##0</c:formatCode>
                <c:ptCount val="6"/>
                <c:pt idx="0">
                  <c:v>121</c:v>
                </c:pt>
                <c:pt idx="1">
                  <c:v>122.33333333333333</c:v>
                </c:pt>
                <c:pt idx="2">
                  <c:v>123</c:v>
                </c:pt>
                <c:pt idx="3">
                  <c:v>123.26666666666667</c:v>
                </c:pt>
                <c:pt idx="4">
                  <c:v>123.96666666666665</c:v>
                </c:pt>
                <c:pt idx="5">
                  <c:v>126.60000000000001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'02_Comparison'!$A$279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'02_Comparison'!$B$279:$G$279</c:f>
              <c:numCache>
                <c:formatCode>#,##0</c:formatCode>
                <c:ptCount val="6"/>
                <c:pt idx="0">
                  <c:v>126.58227848101266</c:v>
                </c:pt>
                <c:pt idx="1">
                  <c:v>129.49640287769785</c:v>
                </c:pt>
                <c:pt idx="2">
                  <c:v>127.56264236902051</c:v>
                </c:pt>
                <c:pt idx="3">
                  <c:v>127.70562770562771</c:v>
                </c:pt>
                <c:pt idx="4">
                  <c:v>126.03305785123966</c:v>
                </c:pt>
                <c:pt idx="5">
                  <c:v>132.4110671936759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527816"/>
        <c:axId val="435523896"/>
      </c:lineChart>
      <c:catAx>
        <c:axId val="435527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523896"/>
        <c:crosses val="autoZero"/>
        <c:auto val="1"/>
        <c:lblAlgn val="ctr"/>
        <c:lblOffset val="100"/>
        <c:noMultiLvlLbl val="0"/>
      </c:catAx>
      <c:valAx>
        <c:axId val="435523896"/>
        <c:scaling>
          <c:orientation val="minMax"/>
          <c:max val="140"/>
          <c:min val="100"/>
        </c:scaling>
        <c:delete val="0"/>
        <c:axPos val="l"/>
        <c:title>
          <c:tx>
            <c:strRef>
              <c:f>'02_Comparison'!$A$273</c:f>
              <c:strCache>
                <c:ptCount val="1"/>
                <c:pt idx="0">
                  <c:v>Sales per FTE (in €'000)</c:v>
                </c:pt>
              </c:strCache>
            </c:strRef>
          </c:tx>
          <c:layout>
            <c:manualLayout>
              <c:xMode val="edge"/>
              <c:yMode val="edge"/>
              <c:x val="2.5701275728963763E-2"/>
              <c:y val="0.1769479631976085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527816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6.2162922964985934E-2"/>
          <c:y val="0.69545449630759648"/>
          <c:w val="0.60571428571428576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'02_Comparison'!$A$320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'02_Comparison'!$B$325:$G$325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'02_Comparison'!$B$334:$G$334</c:f>
              <c:numCache>
                <c:formatCode>#,##0</c:formatCode>
                <c:ptCount val="6"/>
                <c:pt idx="0">
                  <c:v>42</c:v>
                </c:pt>
                <c:pt idx="1">
                  <c:v>42</c:v>
                </c:pt>
                <c:pt idx="2">
                  <c:v>42</c:v>
                </c:pt>
                <c:pt idx="3">
                  <c:v>43</c:v>
                </c:pt>
                <c:pt idx="4">
                  <c:v>43</c:v>
                </c:pt>
                <c:pt idx="5">
                  <c:v>43</c:v>
                </c:pt>
              </c:numCache>
            </c:numRef>
          </c:val>
        </c:ser>
        <c:ser>
          <c:idx val="1"/>
          <c:order val="1"/>
          <c:tx>
            <c:strRef>
              <c:f>'02_Comparison'!$A$333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'02_Comparison'!$B$325:$G$325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'02_Comparison'!$B$333:$G$333</c:f>
              <c:numCache>
                <c:formatCode>#,##0</c:formatCode>
                <c:ptCount val="6"/>
                <c:pt idx="0">
                  <c:v>35</c:v>
                </c:pt>
                <c:pt idx="1">
                  <c:v>35</c:v>
                </c:pt>
                <c:pt idx="2">
                  <c:v>36</c:v>
                </c:pt>
                <c:pt idx="3">
                  <c:v>36</c:v>
                </c:pt>
                <c:pt idx="4">
                  <c:v>36</c:v>
                </c:pt>
                <c:pt idx="5">
                  <c:v>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524680"/>
        <c:axId val="435529776"/>
      </c:areaChart>
      <c:lineChart>
        <c:grouping val="standard"/>
        <c:varyColors val="0"/>
        <c:ser>
          <c:idx val="2"/>
          <c:order val="2"/>
          <c:tx>
            <c:strRef>
              <c:f>'02_Comparison'!$A$328</c:f>
              <c:strCache>
                <c:ptCount val="1"/>
                <c:pt idx="0">
                  <c:v>Market study YYY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'02_Comparison'!$B$328:$G$328</c:f>
              <c:numCache>
                <c:formatCode>#,##0</c:formatCode>
                <c:ptCount val="6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41</c:v>
                </c:pt>
                <c:pt idx="4">
                  <c:v>41</c:v>
                </c:pt>
                <c:pt idx="5">
                  <c:v>42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'02_Comparison'!$A$335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5EB8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'02_Comparison'!$B$335:$G$335</c:f>
              <c:numCache>
                <c:formatCode>#,##0</c:formatCode>
                <c:ptCount val="6"/>
                <c:pt idx="0">
                  <c:v>38.666666666666664</c:v>
                </c:pt>
                <c:pt idx="1">
                  <c:v>38.666666666666664</c:v>
                </c:pt>
                <c:pt idx="2">
                  <c:v>39</c:v>
                </c:pt>
                <c:pt idx="3">
                  <c:v>39.333333333333336</c:v>
                </c:pt>
                <c:pt idx="4">
                  <c:v>39.333333333333336</c:v>
                </c:pt>
                <c:pt idx="5">
                  <c:v>39.333333333333336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'02_Comparison'!$A$327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'02_Comparison'!$B$327:$G$327</c:f>
              <c:numCache>
                <c:formatCode>#,##0</c:formatCode>
                <c:ptCount val="6"/>
                <c:pt idx="0">
                  <c:v>37.974683544303801</c:v>
                </c:pt>
                <c:pt idx="1">
                  <c:v>38.369304556354912</c:v>
                </c:pt>
                <c:pt idx="2">
                  <c:v>38.724373576309794</c:v>
                </c:pt>
                <c:pt idx="3">
                  <c:v>38.961038961038959</c:v>
                </c:pt>
                <c:pt idx="4">
                  <c:v>39.256198347107436</c:v>
                </c:pt>
                <c:pt idx="5">
                  <c:v>39.525691699604742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524680"/>
        <c:axId val="435529776"/>
      </c:lineChart>
      <c:catAx>
        <c:axId val="435524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529776"/>
        <c:crosses val="autoZero"/>
        <c:auto val="1"/>
        <c:lblAlgn val="ctr"/>
        <c:lblOffset val="100"/>
        <c:noMultiLvlLbl val="0"/>
      </c:catAx>
      <c:valAx>
        <c:axId val="435529776"/>
        <c:scaling>
          <c:orientation val="minMax"/>
          <c:max val="45"/>
          <c:min val="30"/>
        </c:scaling>
        <c:delete val="0"/>
        <c:axPos val="l"/>
        <c:title>
          <c:tx>
            <c:strRef>
              <c:f>'02_Comparison'!$A$321</c:f>
              <c:strCache>
                <c:ptCount val="1"/>
                <c:pt idx="0">
                  <c:v>Personnel expenses per FTE (in €'000)</c:v>
                </c:pt>
              </c:strCache>
            </c:strRef>
          </c:tx>
          <c:layout>
            <c:manualLayout>
              <c:xMode val="edge"/>
              <c:yMode val="edge"/>
              <c:x val="2.5701237345331841E-2"/>
              <c:y val="6.0890786890824167E-2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524680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6.2162922964985934E-2"/>
          <c:y val="0.69545449630759681"/>
          <c:w val="0.60571428571428576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835123770683141"/>
          <c:y val="0.16059802022396938"/>
          <c:w val="0.76087155096991621"/>
          <c:h val="0.6614453193350946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'02_Comparison'!$A$342</c:f>
              <c:strCache>
                <c:ptCount val="1"/>
                <c:pt idx="0">
                  <c:v>Personnel expenses per FTE (in €'000)</c:v>
                </c:pt>
              </c:strCache>
            </c:strRef>
          </c:tx>
          <c:spPr>
            <a:solidFill>
              <a:srgbClr val="6D2077"/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6D2077"/>
              </a:solidFill>
              <a:ln w="25400">
                <a:noFill/>
              </a:ln>
            </c:spPr>
          </c:dPt>
          <c:dPt>
            <c:idx val="1"/>
            <c:invertIfNegative val="0"/>
            <c:bubble3D val="0"/>
            <c:spPr>
              <a:solidFill>
                <a:srgbClr val="00338D"/>
              </a:solidFill>
              <a:ln w="25400">
                <a:noFill/>
              </a:ln>
            </c:spPr>
          </c:dPt>
          <c:dPt>
            <c:idx val="2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3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5"/>
            <c:invertIfNegative val="0"/>
            <c:bubble3D val="0"/>
          </c:dPt>
          <c:dPt>
            <c:idx val="6"/>
            <c:invertIfNegative val="0"/>
            <c:bubble3D val="0"/>
            <c:spPr>
              <a:solidFill>
                <a:srgbClr val="00338D"/>
              </a:solidFill>
              <a:ln w="25400">
                <a:noFill/>
              </a:ln>
            </c:spPr>
          </c:dPt>
          <c:dPt>
            <c:idx val="7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8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10"/>
            <c:invertIfNegative val="0"/>
            <c:bubble3D val="0"/>
          </c:dPt>
          <c:dPt>
            <c:idx val="11"/>
            <c:invertIfNegative val="0"/>
            <c:bubble3D val="0"/>
            <c:spPr>
              <a:solidFill>
                <a:srgbClr val="00338D"/>
              </a:solidFill>
              <a:ln w="25400">
                <a:noFill/>
              </a:ln>
            </c:spPr>
          </c:dPt>
          <c:dPt>
            <c:idx val="12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13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15"/>
            <c:invertIfNegative val="0"/>
            <c:bubble3D val="0"/>
          </c:dPt>
          <c:dPt>
            <c:idx val="16"/>
            <c:invertIfNegative val="0"/>
            <c:bubble3D val="0"/>
            <c:spPr>
              <a:solidFill>
                <a:srgbClr val="00338D"/>
              </a:solidFill>
              <a:ln w="25400">
                <a:noFill/>
              </a:ln>
            </c:spPr>
          </c:dPt>
          <c:dPt>
            <c:idx val="17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18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20"/>
            <c:invertIfNegative val="0"/>
            <c:bubble3D val="0"/>
          </c:dPt>
          <c:dPt>
            <c:idx val="21"/>
            <c:invertIfNegative val="0"/>
            <c:bubble3D val="0"/>
            <c:spPr>
              <a:solidFill>
                <a:srgbClr val="00338D"/>
              </a:solidFill>
              <a:ln w="25400">
                <a:noFill/>
              </a:ln>
            </c:spPr>
          </c:dPt>
          <c:dPt>
            <c:idx val="22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23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25"/>
            <c:invertIfNegative val="0"/>
            <c:bubble3D val="0"/>
          </c:dPt>
          <c:dPt>
            <c:idx val="26"/>
            <c:invertIfNegative val="0"/>
            <c:bubble3D val="0"/>
            <c:spPr>
              <a:solidFill>
                <a:srgbClr val="00338D"/>
              </a:solidFill>
              <a:ln w="25400">
                <a:noFill/>
              </a:ln>
            </c:spPr>
          </c:dPt>
          <c:dPt>
            <c:idx val="27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28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cat>
            <c:numRef>
              <c:f>'02_Comparison'!$B$340:$AD$340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'02_Comparison'!$B$342:$AD$342</c:f>
              <c:numCache>
                <c:formatCode>#,##0</c:formatCode>
                <c:ptCount val="29"/>
                <c:pt idx="0">
                  <c:v>37.974683544303801</c:v>
                </c:pt>
                <c:pt idx="1">
                  <c:v>42</c:v>
                </c:pt>
                <c:pt idx="2">
                  <c:v>39</c:v>
                </c:pt>
                <c:pt idx="3">
                  <c:v>35</c:v>
                </c:pt>
                <c:pt idx="5">
                  <c:v>38.369304556354912</c:v>
                </c:pt>
                <c:pt idx="6">
                  <c:v>42</c:v>
                </c:pt>
                <c:pt idx="7">
                  <c:v>39</c:v>
                </c:pt>
                <c:pt idx="8">
                  <c:v>35</c:v>
                </c:pt>
                <c:pt idx="10">
                  <c:v>38.724373576309794</c:v>
                </c:pt>
                <c:pt idx="11">
                  <c:v>42</c:v>
                </c:pt>
                <c:pt idx="12">
                  <c:v>39</c:v>
                </c:pt>
                <c:pt idx="13">
                  <c:v>36</c:v>
                </c:pt>
                <c:pt idx="15">
                  <c:v>38.961038961038959</c:v>
                </c:pt>
                <c:pt idx="16">
                  <c:v>43</c:v>
                </c:pt>
                <c:pt idx="17">
                  <c:v>39</c:v>
                </c:pt>
                <c:pt idx="18">
                  <c:v>36</c:v>
                </c:pt>
                <c:pt idx="20">
                  <c:v>39.256198347107436</c:v>
                </c:pt>
                <c:pt idx="21">
                  <c:v>43</c:v>
                </c:pt>
                <c:pt idx="22">
                  <c:v>39</c:v>
                </c:pt>
                <c:pt idx="23">
                  <c:v>36</c:v>
                </c:pt>
                <c:pt idx="25">
                  <c:v>39.525691699604742</c:v>
                </c:pt>
                <c:pt idx="26">
                  <c:v>43</c:v>
                </c:pt>
                <c:pt idx="27">
                  <c:v>39</c:v>
                </c:pt>
                <c:pt idx="28">
                  <c:v>36</c:v>
                </c:pt>
              </c:numCache>
            </c:numRef>
          </c:val>
        </c:ser>
        <c:ser>
          <c:idx val="3"/>
          <c:order val="1"/>
          <c:tx>
            <c:strRef>
              <c:f>'02_Comparison'!$A$327</c:f>
              <c:strCache>
                <c:ptCount val="1"/>
                <c:pt idx="0">
                  <c:v>XXX AG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cat>
            <c:numRef>
              <c:f>'02_Comparison'!$B$340:$AD$340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'02_Comparison'!$H$327</c:f>
              <c:numCache>
                <c:formatCode>General</c:formatCode>
                <c:ptCount val="1"/>
              </c:numCache>
            </c:numRef>
          </c:val>
        </c:ser>
        <c:ser>
          <c:idx val="1"/>
          <c:order val="2"/>
          <c:tx>
            <c:strRef>
              <c:f>'02_Comparison'!$A$329</c:f>
              <c:strCache>
                <c:ptCount val="1"/>
                <c:pt idx="0">
                  <c:v>Peer 1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numRef>
              <c:f>'02_Comparison'!$B$340:$AD$340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'02_Comparison'!$H$329</c:f>
              <c:numCache>
                <c:formatCode>General</c:formatCode>
                <c:ptCount val="1"/>
              </c:numCache>
            </c:numRef>
          </c:val>
        </c:ser>
        <c:ser>
          <c:idx val="4"/>
          <c:order val="3"/>
          <c:tx>
            <c:strRef>
              <c:f>'02_Comparison'!$A$330</c:f>
              <c:strCache>
                <c:ptCount val="1"/>
                <c:pt idx="0">
                  <c:v>Peer 2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numRef>
              <c:f>'02_Comparison'!$B$340:$AD$340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'02_Comparison'!$H$330</c:f>
              <c:numCache>
                <c:formatCode>General</c:formatCode>
                <c:ptCount val="1"/>
              </c:numCache>
            </c:numRef>
          </c:val>
        </c:ser>
        <c:ser>
          <c:idx val="5"/>
          <c:order val="4"/>
          <c:tx>
            <c:strRef>
              <c:f>'02_Comparison'!$A$331</c:f>
              <c:strCache>
                <c:ptCount val="1"/>
                <c:pt idx="0">
                  <c:v>Peer 3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cat>
            <c:numRef>
              <c:f>'02_Comparison'!$B$340:$AD$340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'02_Comparison'!$H$331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435528208"/>
        <c:axId val="435530168"/>
      </c:barChart>
      <c:catAx>
        <c:axId val="435528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530168"/>
        <c:crosses val="autoZero"/>
        <c:auto val="1"/>
        <c:lblAlgn val="ctr"/>
        <c:lblOffset val="100"/>
        <c:noMultiLvlLbl val="0"/>
      </c:catAx>
      <c:valAx>
        <c:axId val="435530168"/>
        <c:scaling>
          <c:orientation val="minMax"/>
        </c:scaling>
        <c:delete val="0"/>
        <c:axPos val="l"/>
        <c:title>
          <c:tx>
            <c:strRef>
              <c:f>'02_Comparison'!$A$321</c:f>
              <c:strCache>
                <c:ptCount val="1"/>
                <c:pt idx="0">
                  <c:v>Personnel expenses per FTE (in €'000)</c:v>
                </c:pt>
              </c:strCache>
            </c:strRef>
          </c:tx>
          <c:layout>
            <c:manualLayout>
              <c:xMode val="edge"/>
              <c:yMode val="edge"/>
              <c:x val="7.4610205282889169E-2"/>
              <c:y val="0.11332468055289178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52820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17115836292081213"/>
          <c:y val="0.90695364121346678"/>
          <c:w val="0.39271466573650887"/>
          <c:h val="6.7596642307031787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835123770683141"/>
          <c:y val="0.16059802022396938"/>
          <c:w val="0.76087155096991643"/>
          <c:h val="0.6614453193350949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'02_Comparison'!$A$294</c:f>
              <c:strCache>
                <c:ptCount val="1"/>
                <c:pt idx="0">
                  <c:v>Sales per FTE (in €'000)</c:v>
                </c:pt>
              </c:strCache>
            </c:strRef>
          </c:tx>
          <c:spPr>
            <a:solidFill>
              <a:srgbClr val="00338D"/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6D2077"/>
              </a:solidFill>
              <a:ln w="25400">
                <a:noFill/>
              </a:ln>
            </c:spPr>
          </c:dPt>
          <c:dPt>
            <c:idx val="2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3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5"/>
            <c:invertIfNegative val="0"/>
            <c:bubble3D val="0"/>
            <c:spPr>
              <a:solidFill>
                <a:srgbClr val="6D2077"/>
              </a:solidFill>
              <a:ln w="25400">
                <a:noFill/>
              </a:ln>
            </c:spPr>
          </c:dPt>
          <c:dPt>
            <c:idx val="7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8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10"/>
            <c:invertIfNegative val="0"/>
            <c:bubble3D val="0"/>
            <c:spPr>
              <a:solidFill>
                <a:srgbClr val="6D2077"/>
              </a:solidFill>
              <a:ln w="25400">
                <a:noFill/>
              </a:ln>
            </c:spPr>
          </c:dPt>
          <c:dPt>
            <c:idx val="12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13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15"/>
            <c:invertIfNegative val="0"/>
            <c:bubble3D val="0"/>
            <c:spPr>
              <a:solidFill>
                <a:srgbClr val="6D2077"/>
              </a:solidFill>
              <a:ln w="25400">
                <a:noFill/>
              </a:ln>
            </c:spPr>
          </c:dPt>
          <c:dPt>
            <c:idx val="17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18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20"/>
            <c:invertIfNegative val="0"/>
            <c:bubble3D val="0"/>
            <c:spPr>
              <a:solidFill>
                <a:srgbClr val="6D2077"/>
              </a:solidFill>
              <a:ln w="25400">
                <a:noFill/>
              </a:ln>
            </c:spPr>
          </c:dPt>
          <c:dPt>
            <c:idx val="22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23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25"/>
            <c:invertIfNegative val="0"/>
            <c:bubble3D val="0"/>
            <c:spPr>
              <a:solidFill>
                <a:srgbClr val="6D2077"/>
              </a:solidFill>
              <a:ln w="25400">
                <a:noFill/>
              </a:ln>
            </c:spPr>
          </c:dPt>
          <c:dPt>
            <c:idx val="27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28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cat>
            <c:numRef>
              <c:f>'02_Comparison'!$B$292:$AD$292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'02_Comparison'!$B$294:$AD$294</c:f>
              <c:numCache>
                <c:formatCode>#,##0</c:formatCode>
                <c:ptCount val="29"/>
                <c:pt idx="0">
                  <c:v>126.58227848101266</c:v>
                </c:pt>
                <c:pt idx="1">
                  <c:v>129</c:v>
                </c:pt>
                <c:pt idx="2">
                  <c:v>122</c:v>
                </c:pt>
                <c:pt idx="3">
                  <c:v>112</c:v>
                </c:pt>
                <c:pt idx="5">
                  <c:v>129.49640287769785</c:v>
                </c:pt>
                <c:pt idx="6">
                  <c:v>131</c:v>
                </c:pt>
                <c:pt idx="7">
                  <c:v>123</c:v>
                </c:pt>
                <c:pt idx="8">
                  <c:v>113</c:v>
                </c:pt>
                <c:pt idx="10">
                  <c:v>127.56264236902051</c:v>
                </c:pt>
                <c:pt idx="11">
                  <c:v>132</c:v>
                </c:pt>
                <c:pt idx="12">
                  <c:v>123.5</c:v>
                </c:pt>
                <c:pt idx="13">
                  <c:v>113.5</c:v>
                </c:pt>
                <c:pt idx="15">
                  <c:v>127.70562770562771</c:v>
                </c:pt>
                <c:pt idx="16">
                  <c:v>131</c:v>
                </c:pt>
                <c:pt idx="17">
                  <c:v>124</c:v>
                </c:pt>
                <c:pt idx="18">
                  <c:v>114.8</c:v>
                </c:pt>
                <c:pt idx="20">
                  <c:v>126.03305785123966</c:v>
                </c:pt>
                <c:pt idx="21">
                  <c:v>131.5</c:v>
                </c:pt>
                <c:pt idx="22">
                  <c:v>124.5</c:v>
                </c:pt>
                <c:pt idx="23">
                  <c:v>115.9</c:v>
                </c:pt>
                <c:pt idx="25">
                  <c:v>132.4110671936759</c:v>
                </c:pt>
                <c:pt idx="26">
                  <c:v>136</c:v>
                </c:pt>
                <c:pt idx="27">
                  <c:v>126</c:v>
                </c:pt>
                <c:pt idx="28">
                  <c:v>117.8</c:v>
                </c:pt>
              </c:numCache>
            </c:numRef>
          </c:val>
        </c:ser>
        <c:ser>
          <c:idx val="3"/>
          <c:order val="1"/>
          <c:tx>
            <c:strRef>
              <c:f>'02_Comparison'!$A$279</c:f>
              <c:strCache>
                <c:ptCount val="1"/>
                <c:pt idx="0">
                  <c:v>XXX AG</c:v>
                </c:pt>
              </c:strCache>
            </c:strRef>
          </c:tx>
          <c:spPr>
            <a:solidFill>
              <a:srgbClr val="8E258D"/>
            </a:solidFill>
          </c:spPr>
          <c:invertIfNegative val="0"/>
          <c:cat>
            <c:numRef>
              <c:f>'02_Comparison'!$B$292:$AD$292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'02_Comparison'!$H$295:$H$308</c:f>
              <c:numCache>
                <c:formatCode>General</c:formatCode>
                <c:ptCount val="14"/>
              </c:numCache>
            </c:numRef>
          </c:val>
        </c:ser>
        <c:ser>
          <c:idx val="1"/>
          <c:order val="2"/>
          <c:tx>
            <c:strRef>
              <c:f>'02_Comparison'!$A$281</c:f>
              <c:strCache>
                <c:ptCount val="1"/>
                <c:pt idx="0">
                  <c:v>Peer 1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numRef>
              <c:f>'02_Comparison'!$B$292:$AD$292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'02_Comparison'!$H$281</c:f>
              <c:numCache>
                <c:formatCode>General</c:formatCode>
                <c:ptCount val="1"/>
              </c:numCache>
            </c:numRef>
          </c:val>
        </c:ser>
        <c:ser>
          <c:idx val="4"/>
          <c:order val="3"/>
          <c:tx>
            <c:strRef>
              <c:f>'02_Comparison'!$A$282</c:f>
              <c:strCache>
                <c:ptCount val="1"/>
                <c:pt idx="0">
                  <c:v>Peer 2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numRef>
              <c:f>'02_Comparison'!$B$292:$AD$292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'02_Comparison'!$H$282</c:f>
              <c:numCache>
                <c:formatCode>General</c:formatCode>
                <c:ptCount val="1"/>
              </c:numCache>
            </c:numRef>
          </c:val>
        </c:ser>
        <c:ser>
          <c:idx val="5"/>
          <c:order val="4"/>
          <c:tx>
            <c:strRef>
              <c:f>'02_Comparison'!$A$283</c:f>
              <c:strCache>
                <c:ptCount val="1"/>
                <c:pt idx="0">
                  <c:v>Peer 3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cat>
            <c:numRef>
              <c:f>'02_Comparison'!$B$292:$AD$292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'02_Comparison'!$H$283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435502728"/>
        <c:axId val="435506648"/>
      </c:barChart>
      <c:catAx>
        <c:axId val="435502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506648"/>
        <c:crosses val="autoZero"/>
        <c:auto val="1"/>
        <c:lblAlgn val="ctr"/>
        <c:lblOffset val="100"/>
        <c:noMultiLvlLbl val="0"/>
      </c:catAx>
      <c:valAx>
        <c:axId val="435506648"/>
        <c:scaling>
          <c:orientation val="minMax"/>
        </c:scaling>
        <c:delete val="0"/>
        <c:axPos val="l"/>
        <c:title>
          <c:tx>
            <c:strRef>
              <c:f>'02_Comparison'!$A$273</c:f>
              <c:strCache>
                <c:ptCount val="1"/>
                <c:pt idx="0">
                  <c:v>Sales per FTE (in €'000)</c:v>
                </c:pt>
              </c:strCache>
            </c:strRef>
          </c:tx>
          <c:layout>
            <c:manualLayout>
              <c:xMode val="edge"/>
              <c:yMode val="edge"/>
              <c:x val="7.9559106701218768E-2"/>
              <c:y val="0.2138970299689952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50272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16831587848470903"/>
          <c:y val="0.92042320341873041"/>
          <c:w val="0.393593437679503"/>
          <c:h val="6.755687129835363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'02_Comparison'!$A$360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'02_Comparison'!$B$365:$G$365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'02_Comparison'!$B$373:$G$373</c:f>
              <c:numCache>
                <c:formatCode>0.0%</c:formatCode>
                <c:ptCount val="6"/>
                <c:pt idx="0">
                  <c:v>0.65</c:v>
                </c:pt>
                <c:pt idx="1">
                  <c:v>0.66</c:v>
                </c:pt>
                <c:pt idx="2">
                  <c:v>0.67</c:v>
                </c:pt>
                <c:pt idx="3">
                  <c:v>0.68</c:v>
                </c:pt>
                <c:pt idx="4">
                  <c:v>0.7</c:v>
                </c:pt>
                <c:pt idx="5">
                  <c:v>0.72</c:v>
                </c:pt>
              </c:numCache>
            </c:numRef>
          </c:val>
        </c:ser>
        <c:ser>
          <c:idx val="1"/>
          <c:order val="1"/>
          <c:tx>
            <c:strRef>
              <c:f>'02_Comparison'!$A$372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'02_Comparison'!$B$365:$G$365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'02_Comparison'!$B$372:$G$372</c:f>
              <c:numCache>
                <c:formatCode>0.0%</c:formatCode>
                <c:ptCount val="6"/>
                <c:pt idx="0">
                  <c:v>0.54</c:v>
                </c:pt>
                <c:pt idx="1">
                  <c:v>0.55000000000000004</c:v>
                </c:pt>
                <c:pt idx="2">
                  <c:v>0.56000000000000005</c:v>
                </c:pt>
                <c:pt idx="3">
                  <c:v>0.56999999999999995</c:v>
                </c:pt>
                <c:pt idx="4">
                  <c:v>0.59</c:v>
                </c:pt>
                <c:pt idx="5">
                  <c:v>0.6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504688"/>
        <c:axId val="435503120"/>
      </c:areaChart>
      <c:lineChart>
        <c:grouping val="standard"/>
        <c:varyColors val="0"/>
        <c:ser>
          <c:idx val="4"/>
          <c:order val="2"/>
          <c:tx>
            <c:strRef>
              <c:f>'02_Comparison'!$A$374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'02_Comparison'!$B$374:$G$374</c:f>
              <c:numCache>
                <c:formatCode>0.0%</c:formatCode>
                <c:ptCount val="6"/>
                <c:pt idx="0">
                  <c:v>0.57999999999999996</c:v>
                </c:pt>
                <c:pt idx="1">
                  <c:v>0.59</c:v>
                </c:pt>
                <c:pt idx="2">
                  <c:v>0.60333333333333339</c:v>
                </c:pt>
                <c:pt idx="3">
                  <c:v>0.61333333333333329</c:v>
                </c:pt>
                <c:pt idx="4">
                  <c:v>0.6333333333333333</c:v>
                </c:pt>
                <c:pt idx="5">
                  <c:v>0.65666666666666662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'02_Comparison'!$A$367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'02_Comparison'!$B$367:$G$367</c:f>
              <c:numCache>
                <c:formatCode>0.0%</c:formatCode>
                <c:ptCount val="6"/>
                <c:pt idx="0">
                  <c:v>0.6</c:v>
                </c:pt>
                <c:pt idx="1">
                  <c:v>0.60909090909090913</c:v>
                </c:pt>
                <c:pt idx="2">
                  <c:v>0.61739130434782608</c:v>
                </c:pt>
                <c:pt idx="3">
                  <c:v>0.64406779661016944</c:v>
                </c:pt>
                <c:pt idx="4">
                  <c:v>0.64166666666666672</c:v>
                </c:pt>
                <c:pt idx="5">
                  <c:v>0.66393442622950816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504688"/>
        <c:axId val="435503120"/>
      </c:lineChart>
      <c:catAx>
        <c:axId val="435504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503120"/>
        <c:crosses val="autoZero"/>
        <c:auto val="1"/>
        <c:lblAlgn val="ctr"/>
        <c:lblOffset val="100"/>
        <c:noMultiLvlLbl val="0"/>
      </c:catAx>
      <c:valAx>
        <c:axId val="435503120"/>
        <c:scaling>
          <c:orientation val="minMax"/>
          <c:max val="0.75000000000000111"/>
          <c:min val="0.5"/>
        </c:scaling>
        <c:delete val="0"/>
        <c:axPos val="l"/>
        <c:title>
          <c:tx>
            <c:strRef>
              <c:f>'02_Comparison'!$A$351</c:f>
              <c:strCache>
                <c:ptCount val="1"/>
                <c:pt idx="0">
                  <c:v>EBIT to free cash flow conversion</c:v>
                </c:pt>
              </c:strCache>
            </c:strRef>
          </c:tx>
          <c:layout>
            <c:manualLayout>
              <c:xMode val="edge"/>
              <c:yMode val="edge"/>
              <c:x val="2.2836105473108957E-2"/>
              <c:y val="9.7473815342857928E-2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504688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4.7860624779413788E-2"/>
          <c:y val="0.69545449630759648"/>
          <c:w val="0.62001643741451185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'02_Comparison'!$A$391</c:f>
              <c:strCache>
                <c:ptCount val="1"/>
                <c:pt idx="0">
                  <c:v>Analyst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'02_Comparison'!$E$397:$G$397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'02_Comparison'!$E$404:$G$404</c:f>
              <c:numCache>
                <c:formatCode>0.0%</c:formatCode>
                <c:ptCount val="3"/>
                <c:pt idx="0">
                  <c:v>0.68</c:v>
                </c:pt>
                <c:pt idx="1">
                  <c:v>0.7</c:v>
                </c:pt>
                <c:pt idx="2">
                  <c:v>0.72</c:v>
                </c:pt>
              </c:numCache>
            </c:numRef>
          </c:val>
        </c:ser>
        <c:ser>
          <c:idx val="1"/>
          <c:order val="1"/>
          <c:tx>
            <c:strRef>
              <c:f>'02_Comparison'!$A$403</c:f>
              <c:strCache>
                <c:ptCount val="1"/>
                <c:pt idx="0">
                  <c:v>Analyst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'02_Comparison'!$E$397:$G$397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'02_Comparison'!$E$403:$G$403</c:f>
              <c:numCache>
                <c:formatCode>0.0%</c:formatCode>
                <c:ptCount val="3"/>
                <c:pt idx="0">
                  <c:v>0.56999999999999995</c:v>
                </c:pt>
                <c:pt idx="1">
                  <c:v>0.59</c:v>
                </c:pt>
                <c:pt idx="2">
                  <c:v>0.6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499200"/>
        <c:axId val="435505472"/>
      </c:areaChart>
      <c:lineChart>
        <c:grouping val="standard"/>
        <c:varyColors val="0"/>
        <c:ser>
          <c:idx val="4"/>
          <c:order val="2"/>
          <c:tx>
            <c:strRef>
              <c:f>'02_Comparison'!$A$405</c:f>
              <c:strCache>
                <c:ptCount val="1"/>
                <c:pt idx="0">
                  <c:v>Analyst Consensus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'02_Comparison'!$E$405:$G$405</c:f>
              <c:numCache>
                <c:formatCode>0.0%</c:formatCode>
                <c:ptCount val="3"/>
                <c:pt idx="0">
                  <c:v>0.61333333333333329</c:v>
                </c:pt>
                <c:pt idx="1">
                  <c:v>0.6333333333333333</c:v>
                </c:pt>
                <c:pt idx="2">
                  <c:v>0.65666666666666662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'02_Comparison'!$A$398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'02_Comparison'!$E$398:$G$398</c:f>
              <c:numCache>
                <c:formatCode>0.0%</c:formatCode>
                <c:ptCount val="3"/>
                <c:pt idx="0">
                  <c:v>0.64406779661016944</c:v>
                </c:pt>
                <c:pt idx="1">
                  <c:v>0.64166666666666672</c:v>
                </c:pt>
                <c:pt idx="2">
                  <c:v>0.66393442622950816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499200"/>
        <c:axId val="435505472"/>
      </c:lineChart>
      <c:catAx>
        <c:axId val="435499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505472"/>
        <c:crosses val="autoZero"/>
        <c:auto val="1"/>
        <c:lblAlgn val="ctr"/>
        <c:lblOffset val="100"/>
        <c:noMultiLvlLbl val="0"/>
      </c:catAx>
      <c:valAx>
        <c:axId val="435505472"/>
        <c:scaling>
          <c:orientation val="minMax"/>
          <c:max val="0.75000000000000111"/>
          <c:min val="0.5"/>
        </c:scaling>
        <c:delete val="0"/>
        <c:axPos val="l"/>
        <c:title>
          <c:tx>
            <c:strRef>
              <c:f>'02_Comparison'!$A$383</c:f>
              <c:strCache>
                <c:ptCount val="1"/>
                <c:pt idx="0">
                  <c:v>EBIT to free cash flow conversion</c:v>
                </c:pt>
              </c:strCache>
            </c:strRef>
          </c:tx>
          <c:layout>
            <c:manualLayout>
              <c:xMode val="edge"/>
              <c:yMode val="edge"/>
              <c:x val="2.8558272036010031E-2"/>
              <c:y val="0.10430363436983124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499200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3.6448593925759352E-2"/>
          <c:y val="0.69545444463260953"/>
          <c:w val="0.67648571428572513"/>
          <c:h val="0.1006782935259369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35424497693738"/>
          <c:y val="0.15259809228578503"/>
          <c:w val="0.55338342037415056"/>
          <c:h val="0.44459651888303053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'02_Comparison'!$A$423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'02_Comparison'!$B$428:$G$428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'02_Comparison'!$B$436:$G$436</c:f>
              <c:numCache>
                <c:formatCode>0.0%</c:formatCode>
                <c:ptCount val="6"/>
                <c:pt idx="0">
                  <c:v>0.55000000000000004</c:v>
                </c:pt>
                <c:pt idx="1">
                  <c:v>0.56000000000000005</c:v>
                </c:pt>
                <c:pt idx="2">
                  <c:v>0.55000000000000004</c:v>
                </c:pt>
                <c:pt idx="3">
                  <c:v>0.55500000000000005</c:v>
                </c:pt>
                <c:pt idx="4">
                  <c:v>0.56999999999999995</c:v>
                </c:pt>
                <c:pt idx="5">
                  <c:v>0.57999999999999996</c:v>
                </c:pt>
              </c:numCache>
            </c:numRef>
          </c:val>
        </c:ser>
        <c:ser>
          <c:idx val="1"/>
          <c:order val="1"/>
          <c:tx>
            <c:strRef>
              <c:f>'02_Comparison'!$A$435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'02_Comparison'!$B$428:$G$428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'02_Comparison'!$B$435:$G$435</c:f>
              <c:numCache>
                <c:formatCode>0.0%</c:formatCode>
                <c:ptCount val="6"/>
                <c:pt idx="0">
                  <c:v>0.4</c:v>
                </c:pt>
                <c:pt idx="1">
                  <c:v>0.41</c:v>
                </c:pt>
                <c:pt idx="2">
                  <c:v>0.41</c:v>
                </c:pt>
                <c:pt idx="3">
                  <c:v>0.4</c:v>
                </c:pt>
                <c:pt idx="4">
                  <c:v>0.42</c:v>
                </c:pt>
                <c:pt idx="5">
                  <c:v>0.43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503512"/>
        <c:axId val="435508216"/>
      </c:areaChart>
      <c:lineChart>
        <c:grouping val="standard"/>
        <c:varyColors val="0"/>
        <c:ser>
          <c:idx val="4"/>
          <c:order val="2"/>
          <c:tx>
            <c:strRef>
              <c:f>'02_Comparison'!$A$437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'02_Comparison'!$B$437:$G$437</c:f>
              <c:numCache>
                <c:formatCode>0.0%</c:formatCode>
                <c:ptCount val="6"/>
                <c:pt idx="0">
                  <c:v>0.46666666666666662</c:v>
                </c:pt>
                <c:pt idx="1">
                  <c:v>0.47666666666666663</c:v>
                </c:pt>
                <c:pt idx="2">
                  <c:v>0.47</c:v>
                </c:pt>
                <c:pt idx="3">
                  <c:v>0.46833333333333343</c:v>
                </c:pt>
                <c:pt idx="4">
                  <c:v>0.48333333333333334</c:v>
                </c:pt>
                <c:pt idx="5">
                  <c:v>0.48666666666666664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'02_Comparison'!$A$430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'02_Comparison'!$B$430:$G$430</c:f>
              <c:numCache>
                <c:formatCode>0.0%</c:formatCode>
                <c:ptCount val="6"/>
                <c:pt idx="0">
                  <c:v>0.5</c:v>
                </c:pt>
                <c:pt idx="1">
                  <c:v>0.49</c:v>
                </c:pt>
                <c:pt idx="2">
                  <c:v>0.48</c:v>
                </c:pt>
                <c:pt idx="3">
                  <c:v>0.48499999999999999</c:v>
                </c:pt>
                <c:pt idx="4">
                  <c:v>0.49</c:v>
                </c:pt>
                <c:pt idx="5">
                  <c:v>0.48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503512"/>
        <c:axId val="435508216"/>
      </c:lineChart>
      <c:catAx>
        <c:axId val="435503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508216"/>
        <c:crosses val="autoZero"/>
        <c:auto val="1"/>
        <c:lblAlgn val="ctr"/>
        <c:lblOffset val="100"/>
        <c:noMultiLvlLbl val="0"/>
      </c:catAx>
      <c:valAx>
        <c:axId val="435508216"/>
        <c:scaling>
          <c:orientation val="minMax"/>
          <c:max val="0.60000000000000064"/>
          <c:min val="0.30000000000000032"/>
        </c:scaling>
        <c:delete val="0"/>
        <c:axPos val="l"/>
        <c:title>
          <c:tx>
            <c:strRef>
              <c:f>'02_Comparison'!$A$414</c:f>
              <c:strCache>
                <c:ptCount val="1"/>
                <c:pt idx="0">
                  <c:v>Debt ratio</c:v>
                </c:pt>
              </c:strCache>
            </c:strRef>
          </c:tx>
          <c:layout>
            <c:manualLayout>
              <c:xMode val="edge"/>
              <c:yMode val="edge"/>
              <c:x val="2.8558380202474688E-2"/>
              <c:y val="0.27311676762708992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503512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2.2116633568858193E-2"/>
          <c:y val="0.65824381003725474"/>
          <c:w val="0.70010885451401628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44646268276345"/>
          <c:y val="0.15226887460806121"/>
          <c:w val="0.55331810257532121"/>
          <c:h val="0.4460505870025725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'02_Comparison'!$A$453</c:f>
              <c:strCache>
                <c:ptCount val="1"/>
                <c:pt idx="0">
                  <c:v>Analyst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'02_Comparison'!$E$459:$G$459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'02_Comparison'!$E$466:$G$466</c:f>
              <c:numCache>
                <c:formatCode>0.0%</c:formatCode>
                <c:ptCount val="3"/>
                <c:pt idx="0">
                  <c:v>0.55500000000000005</c:v>
                </c:pt>
                <c:pt idx="1">
                  <c:v>0.56999999999999995</c:v>
                </c:pt>
                <c:pt idx="2">
                  <c:v>0.56000000000000005</c:v>
                </c:pt>
              </c:numCache>
            </c:numRef>
          </c:val>
        </c:ser>
        <c:ser>
          <c:idx val="1"/>
          <c:order val="1"/>
          <c:tx>
            <c:strRef>
              <c:f>'02_Comparison'!$A$465</c:f>
              <c:strCache>
                <c:ptCount val="1"/>
                <c:pt idx="0">
                  <c:v>Analyst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'02_Comparison'!$E$459:$G$459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'02_Comparison'!$E$465:$G$465</c:f>
              <c:numCache>
                <c:formatCode>0.0%</c:formatCode>
                <c:ptCount val="3"/>
                <c:pt idx="0">
                  <c:v>0.4</c:v>
                </c:pt>
                <c:pt idx="1">
                  <c:v>0.42</c:v>
                </c:pt>
                <c:pt idx="2">
                  <c:v>0.43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506256"/>
        <c:axId val="435504296"/>
      </c:areaChart>
      <c:lineChart>
        <c:grouping val="standard"/>
        <c:varyColors val="0"/>
        <c:ser>
          <c:idx val="4"/>
          <c:order val="2"/>
          <c:tx>
            <c:strRef>
              <c:f>'02_Comparison'!$A$467</c:f>
              <c:strCache>
                <c:ptCount val="1"/>
                <c:pt idx="0">
                  <c:v>Analyst Consensus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'02_Comparison'!$E$467:$G$467</c:f>
              <c:numCache>
                <c:formatCode>0.0%</c:formatCode>
                <c:ptCount val="3"/>
                <c:pt idx="0">
                  <c:v>0.46833333333333343</c:v>
                </c:pt>
                <c:pt idx="1">
                  <c:v>0.48333333333333334</c:v>
                </c:pt>
                <c:pt idx="2">
                  <c:v>0.48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'02_Comparison'!$A$460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'02_Comparison'!$E$460:$G$460</c:f>
              <c:numCache>
                <c:formatCode>0.0%</c:formatCode>
                <c:ptCount val="3"/>
                <c:pt idx="0">
                  <c:v>0.48499999999999999</c:v>
                </c:pt>
                <c:pt idx="1">
                  <c:v>0.49</c:v>
                </c:pt>
                <c:pt idx="2">
                  <c:v>0.48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506256"/>
        <c:axId val="435504296"/>
      </c:lineChart>
      <c:catAx>
        <c:axId val="435506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504296"/>
        <c:crosses val="autoZero"/>
        <c:auto val="1"/>
        <c:lblAlgn val="ctr"/>
        <c:lblOffset val="100"/>
        <c:noMultiLvlLbl val="0"/>
      </c:catAx>
      <c:valAx>
        <c:axId val="435504296"/>
        <c:scaling>
          <c:orientation val="minMax"/>
          <c:max val="0.60000000000000064"/>
          <c:min val="0.30000000000000032"/>
        </c:scaling>
        <c:delete val="0"/>
        <c:axPos val="l"/>
        <c:title>
          <c:tx>
            <c:strRef>
              <c:f>'02_Comparison'!$A$445</c:f>
              <c:strCache>
                <c:ptCount val="1"/>
                <c:pt idx="0">
                  <c:v>Debt ratio</c:v>
                </c:pt>
              </c:strCache>
            </c:strRef>
          </c:tx>
          <c:layout>
            <c:manualLayout>
              <c:xMode val="edge"/>
              <c:yMode val="edge"/>
              <c:x val="2.8558380202474688E-2"/>
              <c:y val="0.26769712409850765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506256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3.6448593925759352E-2"/>
          <c:y val="0.69545444463260953"/>
          <c:w val="0.67648571428572535"/>
          <c:h val="0.1006782935259369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27379077615298"/>
          <c:y val="0.15268738417217892"/>
          <c:w val="0.58201192350956132"/>
          <c:h val="0.44503725255066923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'02_Comparison'!$A$485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strRef>
              <c:f>'02_Comparison'!$B$490:$H$490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TV</c:v>
                </c:pt>
              </c:strCache>
            </c:strRef>
          </c:cat>
          <c:val>
            <c:numRef>
              <c:f>'02_Comparison'!$B$498:$H$498</c:f>
              <c:numCache>
                <c:formatCode>0.0%</c:formatCode>
                <c:ptCount val="7"/>
                <c:pt idx="0">
                  <c:v>0.24</c:v>
                </c:pt>
                <c:pt idx="1">
                  <c:v>0.25</c:v>
                </c:pt>
                <c:pt idx="2">
                  <c:v>0.25</c:v>
                </c:pt>
                <c:pt idx="3">
                  <c:v>0.26</c:v>
                </c:pt>
                <c:pt idx="4">
                  <c:v>0.27</c:v>
                </c:pt>
                <c:pt idx="5">
                  <c:v>0.27</c:v>
                </c:pt>
                <c:pt idx="6">
                  <c:v>0.25</c:v>
                </c:pt>
              </c:numCache>
            </c:numRef>
          </c:val>
        </c:ser>
        <c:ser>
          <c:idx val="1"/>
          <c:order val="1"/>
          <c:tx>
            <c:strRef>
              <c:f>'02_Comparison'!$A$497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strRef>
              <c:f>'02_Comparison'!$B$490:$H$490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TV</c:v>
                </c:pt>
              </c:strCache>
            </c:strRef>
          </c:cat>
          <c:val>
            <c:numRef>
              <c:f>'02_Comparison'!$B$497:$H$497</c:f>
              <c:numCache>
                <c:formatCode>0.0%</c:formatCode>
                <c:ptCount val="7"/>
                <c:pt idx="0">
                  <c:v>0.16</c:v>
                </c:pt>
                <c:pt idx="1">
                  <c:v>0.16500000000000001</c:v>
                </c:pt>
                <c:pt idx="2">
                  <c:v>0.17</c:v>
                </c:pt>
                <c:pt idx="3">
                  <c:v>0.17499999999999999</c:v>
                </c:pt>
                <c:pt idx="4">
                  <c:v>0.18</c:v>
                </c:pt>
                <c:pt idx="5">
                  <c:v>0.18</c:v>
                </c:pt>
                <c:pt idx="6">
                  <c:v>0.17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507432"/>
        <c:axId val="435505864"/>
      </c:areaChart>
      <c:lineChart>
        <c:grouping val="standard"/>
        <c:varyColors val="0"/>
        <c:ser>
          <c:idx val="4"/>
          <c:order val="2"/>
          <c:tx>
            <c:strRef>
              <c:f>'02_Comparison'!$A$499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'02_Comparison'!$B$499:$H$499</c:f>
              <c:numCache>
                <c:formatCode>0.0%</c:formatCode>
                <c:ptCount val="7"/>
                <c:pt idx="0">
                  <c:v>0.19333333333333333</c:v>
                </c:pt>
                <c:pt idx="1">
                  <c:v>0.20166666666666666</c:v>
                </c:pt>
                <c:pt idx="2">
                  <c:v>0.20333333333333334</c:v>
                </c:pt>
                <c:pt idx="3">
                  <c:v>0.21</c:v>
                </c:pt>
                <c:pt idx="4">
                  <c:v>0.21166666666666667</c:v>
                </c:pt>
                <c:pt idx="5">
                  <c:v>0.21333333333333335</c:v>
                </c:pt>
                <c:pt idx="6">
                  <c:v>0.19666666666666668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'02_Comparison'!$A$492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'02_Comparison'!$B$492:$H$492</c:f>
              <c:numCache>
                <c:formatCode>0.0%</c:formatCode>
                <c:ptCount val="7"/>
                <c:pt idx="0">
                  <c:v>0.24</c:v>
                </c:pt>
                <c:pt idx="1">
                  <c:v>0.24074074074074073</c:v>
                </c:pt>
                <c:pt idx="2">
                  <c:v>0.24107142857142858</c:v>
                </c:pt>
                <c:pt idx="3">
                  <c:v>0.25423728813559321</c:v>
                </c:pt>
                <c:pt idx="4">
                  <c:v>0.26229508196721313</c:v>
                </c:pt>
                <c:pt idx="5">
                  <c:v>0.26865671641791045</c:v>
                </c:pt>
                <c:pt idx="6">
                  <c:v>0.26865671641791045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507432"/>
        <c:axId val="435505864"/>
      </c:lineChart>
      <c:catAx>
        <c:axId val="435507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505864"/>
        <c:crosses val="autoZero"/>
        <c:auto val="1"/>
        <c:lblAlgn val="ctr"/>
        <c:lblOffset val="100"/>
        <c:noMultiLvlLbl val="0"/>
      </c:catAx>
      <c:valAx>
        <c:axId val="435505864"/>
        <c:scaling>
          <c:orientation val="minMax"/>
          <c:max val="0.45"/>
          <c:min val="0.15000000000000024"/>
        </c:scaling>
        <c:delete val="0"/>
        <c:axPos val="l"/>
        <c:title>
          <c:tx>
            <c:strRef>
              <c:f>'02_Comparison'!$A$476</c:f>
              <c:strCache>
                <c:ptCount val="1"/>
                <c:pt idx="0">
                  <c:v>EBITDA margin</c:v>
                </c:pt>
              </c:strCache>
            </c:strRef>
          </c:tx>
          <c:layout>
            <c:manualLayout>
              <c:xMode val="edge"/>
              <c:yMode val="edge"/>
              <c:x val="2.8558380202474688E-2"/>
              <c:y val="0.24588113139097062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507432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4.7860624779413843E-2"/>
          <c:y val="0.69545449630759704"/>
          <c:w val="0.62001643741451262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27379077615298"/>
          <c:y val="0.15268738417217892"/>
          <c:w val="0.5785547806524185"/>
          <c:h val="0.44503725255066923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'02_Comparison'!$A$170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cat>
            <c:strRef>
              <c:f>'02_Comparison'!$B$175:$H$175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TV</c:v>
                </c:pt>
              </c:strCache>
            </c:strRef>
          </c:cat>
          <c:val>
            <c:numRef>
              <c:f>'02_Comparison'!$B$184:$H$184</c:f>
              <c:numCache>
                <c:formatCode>0.0%</c:formatCode>
                <c:ptCount val="7"/>
                <c:pt idx="0">
                  <c:v>0.1</c:v>
                </c:pt>
                <c:pt idx="1">
                  <c:v>0.11</c:v>
                </c:pt>
                <c:pt idx="2">
                  <c:v>0.12</c:v>
                </c:pt>
                <c:pt idx="3">
                  <c:v>0.14000000000000001</c:v>
                </c:pt>
                <c:pt idx="4">
                  <c:v>0.16</c:v>
                </c:pt>
                <c:pt idx="5">
                  <c:v>0.18</c:v>
                </c:pt>
                <c:pt idx="6">
                  <c:v>0.11</c:v>
                </c:pt>
              </c:numCache>
            </c:numRef>
          </c:val>
        </c:ser>
        <c:ser>
          <c:idx val="1"/>
          <c:order val="1"/>
          <c:tx>
            <c:strRef>
              <c:f>'02_Comparison'!$A$183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strRef>
              <c:f>'02_Comparison'!$B$175:$H$175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TV</c:v>
                </c:pt>
              </c:strCache>
            </c:strRef>
          </c:cat>
          <c:val>
            <c:numRef>
              <c:f>'02_Comparison'!$B$183:$H$183</c:f>
              <c:numCache>
                <c:formatCode>0.0%</c:formatCode>
                <c:ptCount val="7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498808"/>
        <c:axId val="435499984"/>
      </c:areaChart>
      <c:lineChart>
        <c:grouping val="standard"/>
        <c:varyColors val="0"/>
        <c:ser>
          <c:idx val="4"/>
          <c:order val="2"/>
          <c:tx>
            <c:strRef>
              <c:f>'02_Comparison'!$A$185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'02_Comparison'!$B$185:$H$185</c:f>
              <c:numCache>
                <c:formatCode>0.0%</c:formatCode>
                <c:ptCount val="7"/>
                <c:pt idx="0">
                  <c:v>7.3333333333333348E-2</c:v>
                </c:pt>
                <c:pt idx="1">
                  <c:v>8.3333333333333329E-2</c:v>
                </c:pt>
                <c:pt idx="2">
                  <c:v>9.3333333333333338E-2</c:v>
                </c:pt>
                <c:pt idx="3">
                  <c:v>0.10666666666666667</c:v>
                </c:pt>
                <c:pt idx="4">
                  <c:v>0.12</c:v>
                </c:pt>
                <c:pt idx="5">
                  <c:v>0.13333333333333333</c:v>
                </c:pt>
                <c:pt idx="6">
                  <c:v>0.08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'02_Comparison'!$A$177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chemeClr val="tx2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dLbls>
            <c:dLbl>
              <c:idx val="0"/>
              <c:layout>
                <c:manualLayout>
                  <c:x val="-5.7142857142857143E-3"/>
                  <c:y val="2.269644487891357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5.7142857142857143E-3"/>
                  <c:y val="2.72357338546962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3.7142857142857144E-2"/>
                  <c:y val="-3.63143118062617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3.4285714285714287E-2"/>
                  <c:y val="-4.53928897578271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-4.2857142857142858E-2"/>
                  <c:y val="-5.901075668517533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-3.4285714285714392E-2"/>
                  <c:y val="-4.993217873360990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tx2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'02_Comparison'!$B$177:$H$177</c:f>
              <c:numCache>
                <c:formatCode>0.0%</c:formatCode>
                <c:ptCount val="7"/>
                <c:pt idx="0">
                  <c:v>0.06</c:v>
                </c:pt>
                <c:pt idx="1">
                  <c:v>7.407407407407407E-2</c:v>
                </c:pt>
                <c:pt idx="2">
                  <c:v>8.0357142857142863E-2</c:v>
                </c:pt>
                <c:pt idx="3">
                  <c:v>0.13559322033898305</c:v>
                </c:pt>
                <c:pt idx="4">
                  <c:v>0.14754098360655737</c:v>
                </c:pt>
                <c:pt idx="5">
                  <c:v>0.14925373134328357</c:v>
                </c:pt>
                <c:pt idx="6">
                  <c:v>0.09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498808"/>
        <c:axId val="435499984"/>
      </c:lineChart>
      <c:catAx>
        <c:axId val="435498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499984"/>
        <c:crosses val="autoZero"/>
        <c:auto val="1"/>
        <c:lblAlgn val="ctr"/>
        <c:lblOffset val="100"/>
        <c:noMultiLvlLbl val="0"/>
      </c:catAx>
      <c:valAx>
        <c:axId val="435499984"/>
        <c:scaling>
          <c:orientation val="minMax"/>
        </c:scaling>
        <c:delete val="0"/>
        <c:axPos val="l"/>
        <c:title>
          <c:tx>
            <c:strRef>
              <c:f>'02_Comparison'!$A$161</c:f>
              <c:strCache>
                <c:ptCount val="1"/>
                <c:pt idx="0">
                  <c:v>Investment ratio</c:v>
                </c:pt>
              </c:strCache>
            </c:strRef>
          </c:tx>
          <c:layout>
            <c:manualLayout>
              <c:xMode val="edge"/>
              <c:yMode val="edge"/>
              <c:x val="2.8558380202474688E-2"/>
              <c:y val="0.2288445007586331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498808"/>
        <c:crosses val="autoZero"/>
        <c:crossBetween val="between"/>
        <c:majorUnit val="0.05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6.2162922964985934E-2"/>
          <c:y val="0.69545449630759648"/>
          <c:w val="0.60571428571428576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'02_Comparison'!$A$518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'02_Comparison'!$B$325:$G$325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'02_Comparison'!$B$534:$G$534</c:f>
              <c:numCache>
                <c:formatCode>0.0%</c:formatCode>
                <c:ptCount val="6"/>
                <c:pt idx="0">
                  <c:v>3.5000000000000003E-2</c:v>
                </c:pt>
                <c:pt idx="1">
                  <c:v>0.05</c:v>
                </c:pt>
                <c:pt idx="2">
                  <c:v>5.5000000000000007E-2</c:v>
                </c:pt>
                <c:pt idx="3">
                  <c:v>0.08</c:v>
                </c:pt>
                <c:pt idx="4">
                  <c:v>7.4999999999999997E-2</c:v>
                </c:pt>
                <c:pt idx="5">
                  <c:v>0.08</c:v>
                </c:pt>
              </c:numCache>
            </c:numRef>
          </c:val>
        </c:ser>
        <c:ser>
          <c:idx val="1"/>
          <c:order val="1"/>
          <c:tx>
            <c:strRef>
              <c:f>'02_Comparison'!$A$533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'02_Comparison'!$B$325:$G$325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'02_Comparison'!$B$533:$G$533</c:f>
              <c:numCache>
                <c:formatCode>0.0%</c:formatCode>
                <c:ptCount val="6"/>
                <c:pt idx="0">
                  <c:v>5.0000000000000044E-3</c:v>
                </c:pt>
                <c:pt idx="1">
                  <c:v>1.4999999999999999E-2</c:v>
                </c:pt>
                <c:pt idx="2">
                  <c:v>2.5000000000000008E-2</c:v>
                </c:pt>
                <c:pt idx="3">
                  <c:v>1.4999999999999999E-2</c:v>
                </c:pt>
                <c:pt idx="4">
                  <c:v>3.5000000000000003E-2</c:v>
                </c:pt>
                <c:pt idx="5">
                  <c:v>4.0000000000000008E-2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500768"/>
        <c:axId val="435501160"/>
      </c:areaChart>
      <c:lineChart>
        <c:grouping val="standard"/>
        <c:varyColors val="0"/>
        <c:ser>
          <c:idx val="2"/>
          <c:order val="2"/>
          <c:tx>
            <c:strRef>
              <c:f>'02_Comparison'!$A$528</c:f>
              <c:strCache>
                <c:ptCount val="1"/>
                <c:pt idx="0">
                  <c:v>Market study YYY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'02_Comparison'!$B$528:$G$528</c:f>
              <c:numCache>
                <c:formatCode>0.0%</c:formatCode>
                <c:ptCount val="6"/>
                <c:pt idx="0">
                  <c:v>1.4999999999999999E-2</c:v>
                </c:pt>
                <c:pt idx="1">
                  <c:v>3.5000000000000003E-2</c:v>
                </c:pt>
                <c:pt idx="2">
                  <c:v>4.4999999999999998E-2</c:v>
                </c:pt>
                <c:pt idx="3">
                  <c:v>5.5000000000000007E-2</c:v>
                </c:pt>
                <c:pt idx="4">
                  <c:v>6.5000000000000016E-2</c:v>
                </c:pt>
                <c:pt idx="5">
                  <c:v>7.4999999999999997E-2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'02_Comparison'!$A$535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chemeClr val="accent3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'02_Comparison'!$B$535:$G$535</c:f>
              <c:numCache>
                <c:formatCode>0.0%</c:formatCode>
                <c:ptCount val="6"/>
                <c:pt idx="0">
                  <c:v>2.1666666666666671E-2</c:v>
                </c:pt>
                <c:pt idx="1">
                  <c:v>2.8333333333333335E-2</c:v>
                </c:pt>
                <c:pt idx="2">
                  <c:v>3.6666666666666674E-2</c:v>
                </c:pt>
                <c:pt idx="3">
                  <c:v>4.5000000000000005E-2</c:v>
                </c:pt>
                <c:pt idx="4">
                  <c:v>5.3333333333333337E-2</c:v>
                </c:pt>
                <c:pt idx="5">
                  <c:v>5.8333333333333341E-2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'02_Comparison'!$A$527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'02_Comparison'!$B$527:$G$527</c:f>
              <c:numCache>
                <c:formatCode>0.0%</c:formatCode>
                <c:ptCount val="6"/>
                <c:pt idx="0">
                  <c:v>0.03</c:v>
                </c:pt>
                <c:pt idx="1">
                  <c:v>8.0000000000000071E-2</c:v>
                </c:pt>
                <c:pt idx="2">
                  <c:v>3.7037037037036979E-2</c:v>
                </c:pt>
                <c:pt idx="3">
                  <c:v>5.3571428571428603E-2</c:v>
                </c:pt>
                <c:pt idx="4">
                  <c:v>3.3898305084745672E-2</c:v>
                </c:pt>
                <c:pt idx="5">
                  <c:v>9.8360655737705027E-2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500768"/>
        <c:axId val="435501160"/>
      </c:lineChart>
      <c:catAx>
        <c:axId val="435500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501160"/>
        <c:crosses val="autoZero"/>
        <c:auto val="1"/>
        <c:lblAlgn val="ctr"/>
        <c:lblOffset val="100"/>
        <c:noMultiLvlLbl val="0"/>
      </c:catAx>
      <c:valAx>
        <c:axId val="435501160"/>
        <c:scaling>
          <c:orientation val="minMax"/>
        </c:scaling>
        <c:delete val="0"/>
        <c:axPos val="l"/>
        <c:title>
          <c:tx>
            <c:strRef>
              <c:f>'02_Comparison'!$A$509</c:f>
              <c:strCache>
                <c:ptCount val="1"/>
                <c:pt idx="0">
                  <c:v>Sales growth</c:v>
                </c:pt>
              </c:strCache>
            </c:strRef>
          </c:tx>
          <c:layout>
            <c:manualLayout>
              <c:xMode val="edge"/>
              <c:yMode val="edge"/>
              <c:x val="3.1415523059617555E-2"/>
              <c:y val="0.2333837063174014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500768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6.2162922964985934E-2"/>
          <c:y val="0.69545449630759704"/>
          <c:w val="0.60571428571428576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'02_Comparison'!$A$553</c:f>
              <c:strCache>
                <c:ptCount val="1"/>
                <c:pt idx="0">
                  <c:v>Analyst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'02_Comparison'!$E$237:$G$237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'02_Comparison'!$E$566:$G$566</c:f>
              <c:numCache>
                <c:formatCode>0.0%</c:formatCode>
                <c:ptCount val="3"/>
                <c:pt idx="0">
                  <c:v>6.0000000000000012E-2</c:v>
                </c:pt>
                <c:pt idx="1">
                  <c:v>8.5000000000000006E-2</c:v>
                </c:pt>
                <c:pt idx="2">
                  <c:v>9.5000000000000015E-2</c:v>
                </c:pt>
              </c:numCache>
            </c:numRef>
          </c:val>
        </c:ser>
        <c:ser>
          <c:idx val="1"/>
          <c:order val="1"/>
          <c:tx>
            <c:strRef>
              <c:f>'02_Comparison'!$A$565</c:f>
              <c:strCache>
                <c:ptCount val="1"/>
                <c:pt idx="0">
                  <c:v>Analyst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'02_Comparison'!$E$237:$G$237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'02_Comparison'!$E$565:$G$565</c:f>
              <c:numCache>
                <c:formatCode>0.0%</c:formatCode>
                <c:ptCount val="3"/>
                <c:pt idx="0">
                  <c:v>3.5000000000000003E-2</c:v>
                </c:pt>
                <c:pt idx="1">
                  <c:v>2.0000000000000004E-2</c:v>
                </c:pt>
                <c:pt idx="2">
                  <c:v>1.0000000000000009E-2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507824"/>
        <c:axId val="435509392"/>
      </c:areaChart>
      <c:lineChart>
        <c:grouping val="standard"/>
        <c:varyColors val="0"/>
        <c:ser>
          <c:idx val="4"/>
          <c:order val="2"/>
          <c:tx>
            <c:strRef>
              <c:f>'02_Comparison'!$A$567</c:f>
              <c:strCache>
                <c:ptCount val="1"/>
                <c:pt idx="0">
                  <c:v>Analyst Consensus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'02_Comparison'!$E$567:$G$567</c:f>
              <c:numCache>
                <c:formatCode>0.0%</c:formatCode>
                <c:ptCount val="3"/>
                <c:pt idx="0">
                  <c:v>5.1666666666666673E-2</c:v>
                </c:pt>
                <c:pt idx="1">
                  <c:v>5.3333333333333344E-2</c:v>
                </c:pt>
                <c:pt idx="2">
                  <c:v>5.6666666666666678E-2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'02_Comparison'!$A$560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'02_Comparison'!$E$560:$G$560</c:f>
              <c:numCache>
                <c:formatCode>0.0%</c:formatCode>
                <c:ptCount val="3"/>
                <c:pt idx="0">
                  <c:v>5.3571428571428603E-2</c:v>
                </c:pt>
                <c:pt idx="1">
                  <c:v>3.3898305084745672E-2</c:v>
                </c:pt>
                <c:pt idx="2">
                  <c:v>9.8360655737705027E-2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507824"/>
        <c:axId val="435509392"/>
      </c:lineChart>
      <c:catAx>
        <c:axId val="435507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509392"/>
        <c:crosses val="autoZero"/>
        <c:auto val="1"/>
        <c:lblAlgn val="ctr"/>
        <c:lblOffset val="100"/>
        <c:noMultiLvlLbl val="0"/>
      </c:catAx>
      <c:valAx>
        <c:axId val="435509392"/>
        <c:scaling>
          <c:orientation val="minMax"/>
        </c:scaling>
        <c:delete val="0"/>
        <c:axPos val="l"/>
        <c:title>
          <c:tx>
            <c:strRef>
              <c:f>'02_Comparison'!$A$545</c:f>
              <c:strCache>
                <c:ptCount val="1"/>
                <c:pt idx="0">
                  <c:v>Sales growth</c:v>
                </c:pt>
              </c:strCache>
            </c:strRef>
          </c:tx>
          <c:layout>
            <c:manualLayout>
              <c:xMode val="edge"/>
              <c:yMode val="edge"/>
              <c:x val="2.8558380202474688E-2"/>
              <c:y val="0.22873008434699169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507824"/>
        <c:crosses val="autoZero"/>
        <c:crossBetween val="midCat"/>
        <c:majorUnit val="0.05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3.6448593925759352E-2"/>
          <c:y val="0.69545444463260953"/>
          <c:w val="0.67648571428572513"/>
          <c:h val="0.1006782935259369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'02_Comparison'!$A$585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'02_Comparison'!$B$592:$G$592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'02_Comparison'!$B$601:$G$601</c:f>
              <c:numCache>
                <c:formatCode>0.0%</c:formatCode>
                <c:ptCount val="6"/>
                <c:pt idx="0">
                  <c:v>0.53</c:v>
                </c:pt>
                <c:pt idx="1">
                  <c:v>0.54</c:v>
                </c:pt>
                <c:pt idx="2">
                  <c:v>0.56000000000000005</c:v>
                </c:pt>
                <c:pt idx="3">
                  <c:v>0.57999999999999996</c:v>
                </c:pt>
                <c:pt idx="4">
                  <c:v>0.6</c:v>
                </c:pt>
                <c:pt idx="5">
                  <c:v>0.62</c:v>
                </c:pt>
              </c:numCache>
            </c:numRef>
          </c:val>
        </c:ser>
        <c:ser>
          <c:idx val="1"/>
          <c:order val="1"/>
          <c:tx>
            <c:strRef>
              <c:f>'02_Comparison'!$A$600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'02_Comparison'!$B$592:$G$592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'02_Comparison'!$B$600:$G$600</c:f>
              <c:numCache>
                <c:formatCode>0.0%</c:formatCode>
                <c:ptCount val="6"/>
                <c:pt idx="0">
                  <c:v>0.45</c:v>
                </c:pt>
                <c:pt idx="1">
                  <c:v>0.49</c:v>
                </c:pt>
                <c:pt idx="2">
                  <c:v>0.505</c:v>
                </c:pt>
                <c:pt idx="3">
                  <c:v>0.51</c:v>
                </c:pt>
                <c:pt idx="4">
                  <c:v>0.52</c:v>
                </c:pt>
                <c:pt idx="5">
                  <c:v>0.53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509784"/>
        <c:axId val="435510568"/>
      </c:areaChart>
      <c:lineChart>
        <c:grouping val="standard"/>
        <c:varyColors val="0"/>
        <c:ser>
          <c:idx val="2"/>
          <c:order val="2"/>
          <c:tx>
            <c:strRef>
              <c:f>'02_Comparison'!$A$595</c:f>
              <c:strCache>
                <c:ptCount val="1"/>
                <c:pt idx="0">
                  <c:v>Market study YYY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'02_Comparison'!$B$595:$G$595</c:f>
              <c:numCache>
                <c:formatCode>0.0%</c:formatCode>
                <c:ptCount val="6"/>
                <c:pt idx="0">
                  <c:v>0.5</c:v>
                </c:pt>
                <c:pt idx="1">
                  <c:v>0.51</c:v>
                </c:pt>
                <c:pt idx="2">
                  <c:v>0.51</c:v>
                </c:pt>
                <c:pt idx="3">
                  <c:v>0.52</c:v>
                </c:pt>
                <c:pt idx="4">
                  <c:v>0.52</c:v>
                </c:pt>
                <c:pt idx="5">
                  <c:v>0.53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'02_Comparison'!$A$602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5EB8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'02_Comparison'!$B$602:$G$602</c:f>
              <c:numCache>
                <c:formatCode>0.0%</c:formatCode>
                <c:ptCount val="6"/>
                <c:pt idx="0">
                  <c:v>0.49333333333333335</c:v>
                </c:pt>
                <c:pt idx="1">
                  <c:v>0.51666666666666672</c:v>
                </c:pt>
                <c:pt idx="2">
                  <c:v>0.53500000000000003</c:v>
                </c:pt>
                <c:pt idx="3">
                  <c:v>0.54666666666666663</c:v>
                </c:pt>
                <c:pt idx="4">
                  <c:v>0.54999999999999993</c:v>
                </c:pt>
                <c:pt idx="5">
                  <c:v>0.56333333333333335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'02_Comparison'!$A$594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'02_Comparison'!$B$594:$G$594</c:f>
              <c:numCache>
                <c:formatCode>0.0%</c:formatCode>
                <c:ptCount val="6"/>
                <c:pt idx="0">
                  <c:v>0.6</c:v>
                </c:pt>
                <c:pt idx="1">
                  <c:v>0.59299999999999997</c:v>
                </c:pt>
                <c:pt idx="2">
                  <c:v>0.59799999999999998</c:v>
                </c:pt>
                <c:pt idx="3">
                  <c:v>0.61</c:v>
                </c:pt>
                <c:pt idx="4">
                  <c:v>0.623</c:v>
                </c:pt>
                <c:pt idx="5">
                  <c:v>0.627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509784"/>
        <c:axId val="435510568"/>
      </c:lineChart>
      <c:catAx>
        <c:axId val="435509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510568"/>
        <c:crosses val="autoZero"/>
        <c:auto val="1"/>
        <c:lblAlgn val="ctr"/>
        <c:lblOffset val="100"/>
        <c:noMultiLvlLbl val="0"/>
      </c:catAx>
      <c:valAx>
        <c:axId val="435510568"/>
        <c:scaling>
          <c:orientation val="minMax"/>
          <c:max val="0.65000000000000113"/>
          <c:min val="0.4"/>
        </c:scaling>
        <c:delete val="0"/>
        <c:axPos val="l"/>
        <c:title>
          <c:tx>
            <c:strRef>
              <c:f>'02_Comparison'!$A$576</c:f>
              <c:strCache>
                <c:ptCount val="1"/>
                <c:pt idx="0">
                  <c:v>Gross profit margin</c:v>
                </c:pt>
              </c:strCache>
            </c:strRef>
          </c:tx>
          <c:layout>
            <c:manualLayout>
              <c:xMode val="edge"/>
              <c:yMode val="edge"/>
              <c:x val="3.1415523059617555E-2"/>
              <c:y val="0.2333837063174014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509784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6.2162922964985934E-2"/>
          <c:y val="0.69545449630759726"/>
          <c:w val="0.60571428571428576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151323059938194"/>
          <c:y val="0.19762678176888568"/>
          <c:w val="0.7282395213587447"/>
          <c:h val="0.39598723307893335"/>
        </c:manualLayout>
      </c:layout>
      <c:bubbleChart>
        <c:varyColors val="0"/>
        <c:ser>
          <c:idx val="0"/>
          <c:order val="0"/>
          <c:tx>
            <c:strRef>
              <c:f>'02_Comparison'!$B$666</c:f>
              <c:strCache>
                <c:ptCount val="1"/>
                <c:pt idx="0">
                  <c:v>XXX AG 2015</c:v>
                </c:pt>
              </c:strCache>
            </c:strRef>
          </c:tx>
          <c:spPr>
            <a:solidFill>
              <a:srgbClr val="0091DA"/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xVal>
            <c:numRef>
              <c:f>'02_Comparison'!$B$669</c:f>
              <c:numCache>
                <c:formatCode>#,##0.0%;\-#,##0.0%;\-;@</c:formatCode>
                <c:ptCount val="1"/>
                <c:pt idx="0">
                  <c:v>0.51871657754010692</c:v>
                </c:pt>
              </c:numCache>
            </c:numRef>
          </c:xVal>
          <c:yVal>
            <c:numRef>
              <c:f>'02_Comparison'!$B$667</c:f>
              <c:numCache>
                <c:formatCode>0.0%</c:formatCode>
                <c:ptCount val="1"/>
                <c:pt idx="0">
                  <c:v>6.5642163363942352E-2</c:v>
                </c:pt>
              </c:numCache>
            </c:numRef>
          </c:yVal>
          <c:bubbleSize>
            <c:numRef>
              <c:f>'02_Comparison'!$B$668</c:f>
              <c:numCache>
                <c:formatCode>#,##0.0\ ;\(#,##0.0\);\-" "</c:formatCode>
                <c:ptCount val="1"/>
                <c:pt idx="0">
                  <c:v>62.333333333333336</c:v>
                </c:pt>
              </c:numCache>
            </c:numRef>
          </c:bubbleSize>
          <c:bubble3D val="0"/>
        </c:ser>
        <c:ser>
          <c:idx val="1"/>
          <c:order val="1"/>
          <c:tx>
            <c:strRef>
              <c:f>'02_Comparison'!$C$666</c:f>
              <c:strCache>
                <c:ptCount val="1"/>
                <c:pt idx="0">
                  <c:v>Peer 1 2015</c:v>
                </c:pt>
              </c:strCache>
            </c:strRef>
          </c:tx>
          <c:spPr>
            <a:solidFill>
              <a:srgbClr val="483698"/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xVal>
            <c:numRef>
              <c:f>'02_Comparison'!$C$669</c:f>
              <c:numCache>
                <c:formatCode>#,##0.0%;\-#,##0.0%;\-;@</c:formatCode>
                <c:ptCount val="1"/>
                <c:pt idx="0">
                  <c:v>0.3888888888888889</c:v>
                </c:pt>
              </c:numCache>
            </c:numRef>
          </c:xVal>
          <c:yVal>
            <c:numRef>
              <c:f>'02_Comparison'!$C$667</c:f>
              <c:numCache>
                <c:formatCode>0.0%</c:formatCode>
                <c:ptCount val="1"/>
                <c:pt idx="0">
                  <c:v>6.9044967649697586E-2</c:v>
                </c:pt>
              </c:numCache>
            </c:numRef>
          </c:yVal>
          <c:bubbleSize>
            <c:numRef>
              <c:f>'02_Comparison'!$C$668</c:f>
              <c:numCache>
                <c:formatCode>#,##0.0\ ;\(#,##0.0\);\-" "</c:formatCode>
                <c:ptCount val="1"/>
                <c:pt idx="0">
                  <c:v>225</c:v>
                </c:pt>
              </c:numCache>
            </c:numRef>
          </c:bubbleSize>
          <c:bubble3D val="0"/>
        </c:ser>
        <c:ser>
          <c:idx val="2"/>
          <c:order val="2"/>
          <c:tx>
            <c:strRef>
              <c:f>'02_Comparison'!$D$666</c:f>
              <c:strCache>
                <c:ptCount val="1"/>
                <c:pt idx="0">
                  <c:v>Peer 2 2015</c:v>
                </c:pt>
              </c:strCache>
            </c:strRef>
          </c:tx>
          <c:spPr>
            <a:solidFill>
              <a:srgbClr val="43B02A"/>
            </a:solidFill>
            <a:ln w="25400">
              <a:noFill/>
            </a:ln>
          </c:spPr>
          <c:invertIfNegative val="0"/>
          <c:xVal>
            <c:numRef>
              <c:f>'02_Comparison'!$D$669</c:f>
              <c:numCache>
                <c:formatCode>#,##0.0%;\-#,##0.0%;\-;@</c:formatCode>
                <c:ptCount val="1"/>
                <c:pt idx="0">
                  <c:v>0.30136986301369861</c:v>
                </c:pt>
              </c:numCache>
            </c:numRef>
          </c:xVal>
          <c:yVal>
            <c:numRef>
              <c:f>'02_Comparison'!$D$667</c:f>
              <c:numCache>
                <c:formatCode>0.0%</c:formatCode>
                <c:ptCount val="1"/>
                <c:pt idx="0">
                  <c:v>3.2491034270543562E-2</c:v>
                </c:pt>
              </c:numCache>
            </c:numRef>
          </c:yVal>
          <c:bubbleSize>
            <c:numRef>
              <c:f>'02_Comparison'!$D$668</c:f>
              <c:numCache>
                <c:formatCode>#,##0.0\ ;\(#,##0.0\);\-" "</c:formatCode>
                <c:ptCount val="1"/>
                <c:pt idx="0">
                  <c:v>109.5</c:v>
                </c:pt>
              </c:numCache>
            </c:numRef>
          </c:bubbleSize>
          <c:bubble3D val="0"/>
        </c:ser>
        <c:ser>
          <c:idx val="3"/>
          <c:order val="3"/>
          <c:tx>
            <c:strRef>
              <c:f>'02_Comparison'!$E$666</c:f>
              <c:strCache>
                <c:ptCount val="1"/>
                <c:pt idx="0">
                  <c:v>Peer 3 2015</c:v>
                </c:pt>
              </c:strCache>
            </c:strRef>
          </c:tx>
          <c:spPr>
            <a:solidFill>
              <a:srgbClr val="9D9375"/>
            </a:solidFill>
            <a:ln w="25400">
              <a:noFill/>
            </a:ln>
          </c:spPr>
          <c:invertIfNegative val="0"/>
          <c:xVal>
            <c:numRef>
              <c:f>'02_Comparison'!$E$669</c:f>
              <c:numCache>
                <c:formatCode>#,##0.0%;\-#,##0.0%;\-;@</c:formatCode>
                <c:ptCount val="1"/>
                <c:pt idx="0">
                  <c:v>0.61538461538461542</c:v>
                </c:pt>
              </c:numCache>
            </c:numRef>
          </c:xVal>
          <c:yVal>
            <c:numRef>
              <c:f>'02_Comparison'!$E$667</c:f>
              <c:numCache>
                <c:formatCode>0.0%</c:formatCode>
                <c:ptCount val="1"/>
                <c:pt idx="0">
                  <c:v>8.012344973464347E-2</c:v>
                </c:pt>
              </c:numCache>
            </c:numRef>
          </c:yVal>
          <c:bubbleSize>
            <c:numRef>
              <c:f>'02_Comparison'!$E$668</c:f>
              <c:numCache>
                <c:formatCode>#,##0.0\ ;\(#,##0.0\);\-" "</c:formatCode>
                <c:ptCount val="1"/>
                <c:pt idx="0">
                  <c:v>325</c:v>
                </c:pt>
              </c:numCache>
            </c:numRef>
          </c:bubbleSize>
          <c:bubble3D val="0"/>
        </c:ser>
        <c:ser>
          <c:idx val="4"/>
          <c:order val="4"/>
          <c:tx>
            <c:strRef>
              <c:f>'02_Comparison'!$B$659</c:f>
              <c:strCache>
                <c:ptCount val="1"/>
                <c:pt idx="0">
                  <c:v>XXX AG 2012</c:v>
                </c:pt>
              </c:strCache>
            </c:strRef>
          </c:tx>
          <c:spPr>
            <a:solidFill>
              <a:srgbClr val="00338D"/>
            </a:solidFill>
            <a:ln w="25400">
              <a:noFill/>
            </a:ln>
            <a:extLst/>
          </c:spPr>
          <c:invertIfNegative val="0"/>
          <c:xVal>
            <c:numRef>
              <c:f>'02_Comparison'!$B$662</c:f>
              <c:numCache>
                <c:formatCode>#,##0.0%;\-#,##0.0%;\-;@</c:formatCode>
                <c:ptCount val="1"/>
                <c:pt idx="0">
                  <c:v>0.5</c:v>
                </c:pt>
              </c:numCache>
            </c:numRef>
          </c:xVal>
          <c:yVal>
            <c:numRef>
              <c:f>'02_Comparison'!$B$660</c:f>
              <c:numCache>
                <c:formatCode>0.0%</c:formatCode>
                <c:ptCount val="1"/>
                <c:pt idx="0">
                  <c:v>5.8300524425836331E-2</c:v>
                </c:pt>
              </c:numCache>
            </c:numRef>
          </c:yVal>
          <c:bubbleSize>
            <c:numRef>
              <c:f>'02_Comparison'!$B$661</c:f>
              <c:numCache>
                <c:formatCode>#,##0.0\ ;\(#,##0.0\);\-" "</c:formatCode>
                <c:ptCount val="1"/>
                <c:pt idx="0">
                  <c:v>53.333333333333336</c:v>
                </c:pt>
              </c:numCache>
            </c:numRef>
          </c:bubbleSize>
          <c:bubble3D val="0"/>
        </c:ser>
        <c:ser>
          <c:idx val="5"/>
          <c:order val="5"/>
          <c:tx>
            <c:strRef>
              <c:f>'02_Comparison'!$C$659</c:f>
              <c:strCache>
                <c:ptCount val="1"/>
                <c:pt idx="0">
                  <c:v>Peer 1 2012</c:v>
                </c:pt>
              </c:strCache>
            </c:strRef>
          </c:tx>
          <c:spPr>
            <a:solidFill>
              <a:srgbClr val="6D2077"/>
            </a:solidFill>
            <a:ln w="25400">
              <a:noFill/>
            </a:ln>
          </c:spPr>
          <c:invertIfNegative val="0"/>
          <c:xVal>
            <c:numRef>
              <c:f>'02_Comparison'!$C$662</c:f>
              <c:numCache>
                <c:formatCode>#,##0.0%;\-#,##0.0%;\-;@</c:formatCode>
                <c:ptCount val="1"/>
                <c:pt idx="0">
                  <c:v>0.37804878048780488</c:v>
                </c:pt>
              </c:numCache>
            </c:numRef>
          </c:xVal>
          <c:yVal>
            <c:numRef>
              <c:f>'02_Comparison'!$C$660</c:f>
              <c:numCache>
                <c:formatCode>0.0%</c:formatCode>
                <c:ptCount val="1"/>
                <c:pt idx="0">
                  <c:v>2.4695076595959931E-2</c:v>
                </c:pt>
              </c:numCache>
            </c:numRef>
          </c:yVal>
          <c:bubbleSize>
            <c:numRef>
              <c:f>'02_Comparison'!$C$661</c:f>
              <c:numCache>
                <c:formatCode>#,##0.0\ ;\(#,##0.0\);\-" "</c:formatCode>
                <c:ptCount val="1"/>
                <c:pt idx="0">
                  <c:v>205</c:v>
                </c:pt>
              </c:numCache>
            </c:numRef>
          </c:bubbleSize>
          <c:bubble3D val="0"/>
        </c:ser>
        <c:ser>
          <c:idx val="6"/>
          <c:order val="6"/>
          <c:tx>
            <c:strRef>
              <c:f>'02_Comparison'!$D$659</c:f>
              <c:strCache>
                <c:ptCount val="1"/>
                <c:pt idx="0">
                  <c:v>Peer 2 2012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</c:spPr>
          <c:invertIfNegative val="0"/>
          <c:xVal>
            <c:numRef>
              <c:f>'02_Comparison'!$D$662</c:f>
              <c:numCache>
                <c:formatCode>#,##0.0%;\-#,##0.0%;\-;@</c:formatCode>
                <c:ptCount val="1"/>
                <c:pt idx="0">
                  <c:v>0.30097087378640774</c:v>
                </c:pt>
              </c:numCache>
            </c:numRef>
          </c:xVal>
          <c:yVal>
            <c:numRef>
              <c:f>'02_Comparison'!$D$660</c:f>
              <c:numCache>
                <c:formatCode>0.0%</c:formatCode>
                <c:ptCount val="1"/>
                <c:pt idx="0">
                  <c:v>2.9563014098699991E-2</c:v>
                </c:pt>
              </c:numCache>
            </c:numRef>
          </c:yVal>
          <c:bubbleSize>
            <c:numRef>
              <c:f>'02_Comparison'!$D$661</c:f>
              <c:numCache>
                <c:formatCode>#,##0.0\ ;\(#,##0.0\);\-" "</c:formatCode>
                <c:ptCount val="1"/>
                <c:pt idx="0">
                  <c:v>103</c:v>
                </c:pt>
              </c:numCache>
            </c:numRef>
          </c:bubbleSize>
          <c:bubble3D val="0"/>
        </c:ser>
        <c:ser>
          <c:idx val="7"/>
          <c:order val="7"/>
          <c:tx>
            <c:strRef>
              <c:f>'02_Comparison'!$E$659</c:f>
              <c:strCache>
                <c:ptCount val="1"/>
                <c:pt idx="0">
                  <c:v>Peer 3 2012</c:v>
                </c:pt>
              </c:strCache>
            </c:strRef>
          </c:tx>
          <c:spPr>
            <a:solidFill>
              <a:srgbClr val="753F19"/>
            </a:solidFill>
            <a:ln w="25400">
              <a:noFill/>
            </a:ln>
          </c:spPr>
          <c:invertIfNegative val="0"/>
          <c:xVal>
            <c:numRef>
              <c:f>'02_Comparison'!$E$662</c:f>
              <c:numCache>
                <c:formatCode>#,##0.0%;\-#,##0.0%;\-;@</c:formatCode>
                <c:ptCount val="1"/>
                <c:pt idx="0">
                  <c:v>0.5431034482758621</c:v>
                </c:pt>
              </c:numCache>
            </c:numRef>
          </c:xVal>
          <c:yVal>
            <c:numRef>
              <c:f>'02_Comparison'!$E$660</c:f>
              <c:numCache>
                <c:formatCode>0.0%</c:formatCode>
                <c:ptCount val="1"/>
                <c:pt idx="0">
                  <c:v>3.5098339013531321E-2</c:v>
                </c:pt>
              </c:numCache>
            </c:numRef>
          </c:yVal>
          <c:bubbleSize>
            <c:numRef>
              <c:f>'02_Comparison'!$E$661</c:f>
              <c:numCache>
                <c:formatCode>#,##0.0\ ;\(#,##0.0\);\-" "</c:formatCode>
                <c:ptCount val="1"/>
                <c:pt idx="0">
                  <c:v>290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435519192"/>
        <c:axId val="435512920"/>
      </c:bubbleChart>
      <c:valAx>
        <c:axId val="435519192"/>
        <c:scaling>
          <c:orientation val="minMax"/>
        </c:scaling>
        <c:delete val="0"/>
        <c:axPos val="b"/>
        <c:title>
          <c:tx>
            <c:strRef>
              <c:f>'02_Comparison'!$A$675</c:f>
              <c:strCache>
                <c:ptCount val="1"/>
                <c:pt idx="0">
                  <c:v>Gross profit margin (Ø 3 years) </c:v>
                </c:pt>
              </c:strCache>
            </c:strRef>
          </c:tx>
          <c:layout>
            <c:manualLayout>
              <c:xMode val="edge"/>
              <c:yMode val="edge"/>
              <c:x val="0.22601169853768291"/>
              <c:y val="0.69090909090909602"/>
            </c:manualLayout>
          </c:layout>
          <c:overlay val="0"/>
          <c:txPr>
            <a:bodyPr rot="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512920"/>
        <c:crosses val="autoZero"/>
        <c:crossBetween val="midCat"/>
      </c:valAx>
      <c:valAx>
        <c:axId val="435512920"/>
        <c:scaling>
          <c:orientation val="minMax"/>
          <c:max val="9.0000000000000024E-2"/>
          <c:min val="0"/>
        </c:scaling>
        <c:delete val="0"/>
        <c:axPos val="l"/>
        <c:title>
          <c:tx>
            <c:strRef>
              <c:f>'02_Comparison'!$A$674</c:f>
              <c:strCache>
                <c:ptCount val="1"/>
                <c:pt idx="0">
                  <c:v>CAGR sales (3 years)</c:v>
                </c:pt>
              </c:strCache>
            </c:strRef>
          </c:tx>
          <c:layout>
            <c:manualLayout>
              <c:xMode val="edge"/>
              <c:yMode val="edge"/>
              <c:x val="4.1699136413983151E-2"/>
              <c:y val="0.19228836874247296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.0%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519192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2.5056105640635144E-2"/>
          <c:y val="0.74860763444742984"/>
          <c:w val="0.92163242181406146"/>
          <c:h val="0.1311163206871868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206851430952447"/>
          <c:y val="0.15246829943203755"/>
          <c:w val="0.72165608442504714"/>
          <c:h val="0.44599577078189606"/>
        </c:manualLayout>
      </c:layout>
      <c:bubbleChart>
        <c:varyColors val="0"/>
        <c:ser>
          <c:idx val="0"/>
          <c:order val="0"/>
          <c:tx>
            <c:strRef>
              <c:f>'02_Comparison'!$B$638</c:f>
              <c:strCache>
                <c:ptCount val="1"/>
                <c:pt idx="0">
                  <c:v>XXX AG 2012</c:v>
                </c:pt>
              </c:strCache>
            </c:strRef>
          </c:tx>
          <c:spPr>
            <a:solidFill>
              <a:srgbClr val="00338D"/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xVal>
            <c:numRef>
              <c:f>'02_Comparison'!$B$641</c:f>
              <c:numCache>
                <c:formatCode>#,##0.0%;\-#,##0.0%;\-;@</c:formatCode>
                <c:ptCount val="1"/>
                <c:pt idx="0">
                  <c:v>0.5</c:v>
                </c:pt>
              </c:numCache>
            </c:numRef>
          </c:xVal>
          <c:yVal>
            <c:numRef>
              <c:f>'02_Comparison'!$B$639</c:f>
              <c:numCache>
                <c:formatCode>0.0</c:formatCode>
                <c:ptCount val="1"/>
                <c:pt idx="0">
                  <c:v>56</c:v>
                </c:pt>
              </c:numCache>
            </c:numRef>
          </c:yVal>
          <c:bubbleSize>
            <c:numRef>
              <c:f>'02_Comparison'!$B$640</c:f>
              <c:numCache>
                <c:formatCode>0.0</c:formatCode>
                <c:ptCount val="1"/>
                <c:pt idx="0">
                  <c:v>28</c:v>
                </c:pt>
              </c:numCache>
            </c:numRef>
          </c:bubbleSize>
          <c:bubble3D val="0"/>
        </c:ser>
        <c:ser>
          <c:idx val="1"/>
          <c:order val="1"/>
          <c:tx>
            <c:strRef>
              <c:f>'02_Comparison'!$C$638</c:f>
              <c:strCache>
                <c:ptCount val="1"/>
                <c:pt idx="0">
                  <c:v>Peer 1 2012</c:v>
                </c:pt>
              </c:strCache>
            </c:strRef>
          </c:tx>
          <c:spPr>
            <a:solidFill>
              <a:srgbClr val="6D2077"/>
            </a:solidFill>
            <a:ln w="25400">
              <a:noFill/>
            </a:ln>
          </c:spPr>
          <c:invertIfNegative val="0"/>
          <c:xVal>
            <c:numRef>
              <c:f>'02_Comparison'!$C$641</c:f>
              <c:numCache>
                <c:formatCode>#,##0.0%;\-#,##0.0%;\-;@</c:formatCode>
                <c:ptCount val="1"/>
                <c:pt idx="0">
                  <c:v>0.38095238095238093</c:v>
                </c:pt>
              </c:numCache>
            </c:numRef>
          </c:xVal>
          <c:yVal>
            <c:numRef>
              <c:f>'02_Comparison'!$C$639</c:f>
              <c:numCache>
                <c:formatCode>0.0</c:formatCode>
                <c:ptCount val="1"/>
                <c:pt idx="0">
                  <c:v>210</c:v>
                </c:pt>
              </c:numCache>
            </c:numRef>
          </c:yVal>
          <c:bubbleSize>
            <c:numRef>
              <c:f>'02_Comparison'!$C$640</c:f>
              <c:numCache>
                <c:formatCode>0.0</c:formatCode>
                <c:ptCount val="1"/>
                <c:pt idx="0">
                  <c:v>80</c:v>
                </c:pt>
              </c:numCache>
            </c:numRef>
          </c:bubbleSize>
          <c:bubble3D val="0"/>
        </c:ser>
        <c:ser>
          <c:idx val="2"/>
          <c:order val="2"/>
          <c:tx>
            <c:strRef>
              <c:f>'02_Comparison'!$D$638</c:f>
              <c:strCache>
                <c:ptCount val="1"/>
                <c:pt idx="0">
                  <c:v>Peer 2 2012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</c:spPr>
          <c:invertIfNegative val="0"/>
          <c:xVal>
            <c:numRef>
              <c:f>'02_Comparison'!$D$641</c:f>
              <c:numCache>
                <c:formatCode>#,##0.0%;\-#,##0.0%;\-;@</c:formatCode>
                <c:ptCount val="1"/>
                <c:pt idx="0">
                  <c:v>0.30188679245283018</c:v>
                </c:pt>
              </c:numCache>
            </c:numRef>
          </c:xVal>
          <c:yVal>
            <c:numRef>
              <c:f>'02_Comparison'!$D$639</c:f>
              <c:numCache>
                <c:formatCode>0.0</c:formatCode>
                <c:ptCount val="1"/>
                <c:pt idx="0">
                  <c:v>106</c:v>
                </c:pt>
              </c:numCache>
            </c:numRef>
          </c:yVal>
          <c:bubbleSize>
            <c:numRef>
              <c:f>'02_Comparison'!$D$640</c:f>
              <c:numCache>
                <c:formatCode>0.0</c:formatCode>
                <c:ptCount val="1"/>
                <c:pt idx="0">
                  <c:v>32</c:v>
                </c:pt>
              </c:numCache>
            </c:numRef>
          </c:bubbleSize>
          <c:bubble3D val="0"/>
        </c:ser>
        <c:ser>
          <c:idx val="3"/>
          <c:order val="3"/>
          <c:tx>
            <c:strRef>
              <c:f>'02_Comparison'!$E$638</c:f>
              <c:strCache>
                <c:ptCount val="1"/>
                <c:pt idx="0">
                  <c:v>Peer 3 2012</c:v>
                </c:pt>
              </c:strCache>
            </c:strRef>
          </c:tx>
          <c:spPr>
            <a:solidFill>
              <a:srgbClr val="753F19"/>
            </a:solidFill>
            <a:ln w="25400">
              <a:noFill/>
            </a:ln>
          </c:spPr>
          <c:invertIfNegative val="0"/>
          <c:xVal>
            <c:numRef>
              <c:f>'02_Comparison'!$E$641</c:f>
              <c:numCache>
                <c:formatCode>#,##0.0%;\-#,##0.0%;\-;@</c:formatCode>
                <c:ptCount val="1"/>
                <c:pt idx="0">
                  <c:v>0.56666666666666665</c:v>
                </c:pt>
              </c:numCache>
            </c:numRef>
          </c:xVal>
          <c:yVal>
            <c:numRef>
              <c:f>'02_Comparison'!$E$639</c:f>
              <c:numCache>
                <c:formatCode>0.0</c:formatCode>
                <c:ptCount val="1"/>
                <c:pt idx="0">
                  <c:v>300</c:v>
                </c:pt>
              </c:numCache>
            </c:numRef>
          </c:yVal>
          <c:bubbleSize>
            <c:numRef>
              <c:f>'02_Comparison'!$E$640</c:f>
              <c:numCache>
                <c:formatCode>0.0</c:formatCode>
                <c:ptCount val="1"/>
                <c:pt idx="0">
                  <c:v>170</c:v>
                </c:pt>
              </c:numCache>
            </c:numRef>
          </c:bubbleSize>
          <c:bubble3D val="0"/>
        </c:ser>
        <c:ser>
          <c:idx val="5"/>
          <c:order val="4"/>
          <c:tx>
            <c:strRef>
              <c:f>'02_Comparison'!$B$652</c:f>
              <c:strCache>
                <c:ptCount val="1"/>
                <c:pt idx="0">
                  <c:v>XXX AG 2015</c:v>
                </c:pt>
              </c:strCache>
            </c:strRef>
          </c:tx>
          <c:spPr>
            <a:solidFill>
              <a:srgbClr val="0091DA"/>
            </a:solidFill>
            <a:ln w="25400">
              <a:noFill/>
            </a:ln>
          </c:spPr>
          <c:invertIfNegative val="0"/>
          <c:xVal>
            <c:numRef>
              <c:f>'02_Comparison'!$B$655</c:f>
              <c:numCache>
                <c:formatCode>#,##0.0%;\-#,##0.0%;\-;@</c:formatCode>
                <c:ptCount val="1"/>
                <c:pt idx="0">
                  <c:v>0.52985074626865669</c:v>
                </c:pt>
              </c:numCache>
            </c:numRef>
          </c:xVal>
          <c:yVal>
            <c:numRef>
              <c:f>'02_Comparison'!$B$653</c:f>
              <c:numCache>
                <c:formatCode>0.0</c:formatCode>
                <c:ptCount val="1"/>
                <c:pt idx="0">
                  <c:v>67</c:v>
                </c:pt>
              </c:numCache>
            </c:numRef>
          </c:yVal>
          <c:bubbleSize>
            <c:numRef>
              <c:f>'02_Comparison'!$B$654</c:f>
              <c:numCache>
                <c:formatCode>0.0</c:formatCode>
                <c:ptCount val="1"/>
                <c:pt idx="0">
                  <c:v>35.5</c:v>
                </c:pt>
              </c:numCache>
            </c:numRef>
          </c:bubbleSize>
          <c:bubble3D val="0"/>
        </c:ser>
        <c:ser>
          <c:idx val="4"/>
          <c:order val="5"/>
          <c:tx>
            <c:strRef>
              <c:f>'02_Comparison'!$C$652</c:f>
              <c:strCache>
                <c:ptCount val="1"/>
                <c:pt idx="0">
                  <c:v>Peer 1 2015</c:v>
                </c:pt>
              </c:strCache>
            </c:strRef>
          </c:tx>
          <c:spPr>
            <a:solidFill>
              <a:srgbClr val="483698"/>
            </a:solidFill>
            <a:ln w="25400">
              <a:noFill/>
            </a:ln>
          </c:spPr>
          <c:invertIfNegative val="0"/>
          <c:xVal>
            <c:numRef>
              <c:f>'02_Comparison'!$C$655</c:f>
              <c:numCache>
                <c:formatCode>#,##0.0%;\-#,##0.0%;\-;@</c:formatCode>
                <c:ptCount val="1"/>
                <c:pt idx="0">
                  <c:v>0.39583333333333331</c:v>
                </c:pt>
              </c:numCache>
            </c:numRef>
          </c:xVal>
          <c:yVal>
            <c:numRef>
              <c:f>'02_Comparison'!$C$653</c:f>
              <c:numCache>
                <c:formatCode>0.0</c:formatCode>
                <c:ptCount val="1"/>
                <c:pt idx="0">
                  <c:v>240</c:v>
                </c:pt>
              </c:numCache>
            </c:numRef>
          </c:yVal>
          <c:bubbleSize>
            <c:numRef>
              <c:f>'02_Comparison'!$C$654</c:f>
              <c:numCache>
                <c:formatCode>0.0</c:formatCode>
                <c:ptCount val="1"/>
                <c:pt idx="0">
                  <c:v>95</c:v>
                </c:pt>
              </c:numCache>
            </c:numRef>
          </c:bubbleSize>
          <c:bubble3D val="0"/>
        </c:ser>
        <c:ser>
          <c:idx val="6"/>
          <c:order val="6"/>
          <c:tx>
            <c:strRef>
              <c:f>'02_Comparison'!$D$652</c:f>
              <c:strCache>
                <c:ptCount val="1"/>
                <c:pt idx="0">
                  <c:v>Peer 2 2015</c:v>
                </c:pt>
              </c:strCache>
            </c:strRef>
          </c:tx>
          <c:spPr>
            <a:solidFill>
              <a:srgbClr val="43B02A"/>
            </a:solidFill>
            <a:ln w="25400">
              <a:noFill/>
            </a:ln>
          </c:spPr>
          <c:invertIfNegative val="0"/>
          <c:xVal>
            <c:numRef>
              <c:f>'02_Comparison'!$D$655</c:f>
              <c:numCache>
                <c:formatCode>#,##0.0%;\-#,##0.0%;\-;@</c:formatCode>
                <c:ptCount val="1"/>
                <c:pt idx="0">
                  <c:v>0.30088495575221241</c:v>
                </c:pt>
              </c:numCache>
            </c:numRef>
          </c:xVal>
          <c:yVal>
            <c:numRef>
              <c:f>'02_Comparison'!$D$653</c:f>
              <c:numCache>
                <c:formatCode>0.0</c:formatCode>
                <c:ptCount val="1"/>
                <c:pt idx="0">
                  <c:v>113</c:v>
                </c:pt>
              </c:numCache>
            </c:numRef>
          </c:yVal>
          <c:bubbleSize>
            <c:numRef>
              <c:f>'02_Comparison'!$D$654</c:f>
              <c:numCache>
                <c:formatCode>0.0</c:formatCode>
                <c:ptCount val="1"/>
                <c:pt idx="0">
                  <c:v>34</c:v>
                </c:pt>
              </c:numCache>
            </c:numRef>
          </c:bubbleSize>
          <c:bubble3D val="0"/>
        </c:ser>
        <c:ser>
          <c:idx val="7"/>
          <c:order val="7"/>
          <c:tx>
            <c:strRef>
              <c:f>'02_Comparison'!$E$652</c:f>
              <c:strCache>
                <c:ptCount val="1"/>
                <c:pt idx="0">
                  <c:v>Peer 3 2015</c:v>
                </c:pt>
              </c:strCache>
            </c:strRef>
          </c:tx>
          <c:spPr>
            <a:solidFill>
              <a:srgbClr val="9D9375"/>
            </a:solidFill>
            <a:ln w="25400">
              <a:noFill/>
            </a:ln>
          </c:spPr>
          <c:invertIfNegative val="0"/>
          <c:xVal>
            <c:numRef>
              <c:f>'02_Comparison'!$E$655</c:f>
              <c:numCache>
                <c:formatCode>#,##0.0%;\-#,##0.0%;\-;@</c:formatCode>
                <c:ptCount val="1"/>
                <c:pt idx="0">
                  <c:v>0.65714285714285714</c:v>
                </c:pt>
              </c:numCache>
            </c:numRef>
          </c:xVal>
          <c:yVal>
            <c:numRef>
              <c:f>'02_Comparison'!$E$653</c:f>
              <c:numCache>
                <c:formatCode>0.0</c:formatCode>
                <c:ptCount val="1"/>
                <c:pt idx="0">
                  <c:v>350</c:v>
                </c:pt>
              </c:numCache>
            </c:numRef>
          </c:yVal>
          <c:bubbleSize>
            <c:numRef>
              <c:f>'02_Comparison'!$E$654</c:f>
              <c:numCache>
                <c:formatCode>0.0</c:formatCode>
                <c:ptCount val="1"/>
                <c:pt idx="0">
                  <c:v>230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435518408"/>
        <c:axId val="435518800"/>
      </c:bubbleChart>
      <c:valAx>
        <c:axId val="435518408"/>
        <c:scaling>
          <c:orientation val="minMax"/>
        </c:scaling>
        <c:delete val="0"/>
        <c:axPos val="b"/>
        <c:title>
          <c:tx>
            <c:strRef>
              <c:f>'02_Comparison'!$A$673</c:f>
              <c:strCache>
                <c:ptCount val="1"/>
                <c:pt idx="0">
                  <c:v>Gross profit margin</c:v>
                </c:pt>
              </c:strCache>
            </c:strRef>
          </c:tx>
          <c:overlay val="0"/>
          <c:txPr>
            <a:bodyPr rot="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518800"/>
        <c:crosses val="autoZero"/>
        <c:crossBetween val="midCat"/>
      </c:valAx>
      <c:valAx>
        <c:axId val="435518800"/>
        <c:scaling>
          <c:orientation val="minMax"/>
        </c:scaling>
        <c:delete val="0"/>
        <c:axPos val="l"/>
        <c:title>
          <c:tx>
            <c:strRef>
              <c:f>'02_Comparison'!$A$672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3.9904355805342843E-2"/>
              <c:y val="0.24579970876641777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518408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9.1011572975369694E-3"/>
          <c:y val="0.74949521067509584"/>
          <c:w val="0.94883037797808345"/>
          <c:h val="0.11157052652763452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292130912828798"/>
          <c:y val="0.15611524294178145"/>
          <c:w val="0.69991262688375333"/>
          <c:h val="0.40727697360148574"/>
        </c:manualLayout>
      </c:layout>
      <c:bubbleChart>
        <c:varyColors val="0"/>
        <c:ser>
          <c:idx val="0"/>
          <c:order val="0"/>
          <c:tx>
            <c:strRef>
              <c:f>'02_Comparison'!$B$659</c:f>
              <c:strCache>
                <c:ptCount val="1"/>
                <c:pt idx="0">
                  <c:v>XXX AG 2012</c:v>
                </c:pt>
              </c:strCache>
            </c:strRef>
          </c:tx>
          <c:spPr>
            <a:solidFill>
              <a:srgbClr val="6D2077"/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</c:dPt>
          <c:xVal>
            <c:numRef>
              <c:f>'02_Comparison'!$B$662</c:f>
              <c:numCache>
                <c:formatCode>#,##0.0%;\-#,##0.0%;\-;@</c:formatCode>
                <c:ptCount val="1"/>
                <c:pt idx="0">
                  <c:v>0.5</c:v>
                </c:pt>
              </c:numCache>
            </c:numRef>
          </c:xVal>
          <c:yVal>
            <c:numRef>
              <c:f>'02_Comparison'!$B$660</c:f>
              <c:numCache>
                <c:formatCode>0.0%</c:formatCode>
                <c:ptCount val="1"/>
                <c:pt idx="0">
                  <c:v>5.8300524425836331E-2</c:v>
                </c:pt>
              </c:numCache>
            </c:numRef>
          </c:yVal>
          <c:bubbleSize>
            <c:numRef>
              <c:f>'02_Comparison'!$B$661</c:f>
              <c:numCache>
                <c:formatCode>#,##0.0\ ;\(#,##0.0\);\-" "</c:formatCode>
                <c:ptCount val="1"/>
                <c:pt idx="0">
                  <c:v>53.333333333333336</c:v>
                </c:pt>
              </c:numCache>
            </c:numRef>
          </c:bubbleSize>
          <c:bubble3D val="0"/>
        </c:ser>
        <c:ser>
          <c:idx val="1"/>
          <c:order val="1"/>
          <c:tx>
            <c:strRef>
              <c:f>'02_Comparison'!$C$659</c:f>
              <c:strCache>
                <c:ptCount val="1"/>
                <c:pt idx="0">
                  <c:v>Peer 1 2012</c:v>
                </c:pt>
              </c:strCache>
            </c:strRef>
          </c:tx>
          <c:spPr>
            <a:solidFill>
              <a:srgbClr val="00338D"/>
            </a:solidFill>
            <a:ln w="25400">
              <a:noFill/>
            </a:ln>
          </c:spPr>
          <c:invertIfNegative val="0"/>
          <c:xVal>
            <c:numRef>
              <c:f>'02_Comparison'!$C$662</c:f>
              <c:numCache>
                <c:formatCode>#,##0.0%;\-#,##0.0%;\-;@</c:formatCode>
                <c:ptCount val="1"/>
                <c:pt idx="0">
                  <c:v>0.37804878048780488</c:v>
                </c:pt>
              </c:numCache>
            </c:numRef>
          </c:xVal>
          <c:yVal>
            <c:numRef>
              <c:f>'02_Comparison'!$C$660</c:f>
              <c:numCache>
                <c:formatCode>0.0%</c:formatCode>
                <c:ptCount val="1"/>
                <c:pt idx="0">
                  <c:v>2.4695076595959931E-2</c:v>
                </c:pt>
              </c:numCache>
            </c:numRef>
          </c:yVal>
          <c:bubbleSize>
            <c:numRef>
              <c:f>'02_Comparison'!$C$661</c:f>
              <c:numCache>
                <c:formatCode>#,##0.0\ ;\(#,##0.0\);\-" "</c:formatCode>
                <c:ptCount val="1"/>
                <c:pt idx="0">
                  <c:v>205</c:v>
                </c:pt>
              </c:numCache>
            </c:numRef>
          </c:bubbleSize>
          <c:bubble3D val="0"/>
        </c:ser>
        <c:ser>
          <c:idx val="2"/>
          <c:order val="2"/>
          <c:tx>
            <c:strRef>
              <c:f>'02_Comparison'!$D$659</c:f>
              <c:strCache>
                <c:ptCount val="1"/>
                <c:pt idx="0">
                  <c:v>Peer 2 2012</c:v>
                </c:pt>
              </c:strCache>
            </c:strRef>
          </c:tx>
          <c:spPr>
            <a:solidFill>
              <a:srgbClr val="0091DA"/>
            </a:solidFill>
            <a:ln w="25400">
              <a:noFill/>
            </a:ln>
          </c:spPr>
          <c:invertIfNegative val="0"/>
          <c:xVal>
            <c:numRef>
              <c:f>'02_Comparison'!$D$662</c:f>
              <c:numCache>
                <c:formatCode>#,##0.0%;\-#,##0.0%;\-;@</c:formatCode>
                <c:ptCount val="1"/>
                <c:pt idx="0">
                  <c:v>0.30097087378640774</c:v>
                </c:pt>
              </c:numCache>
            </c:numRef>
          </c:xVal>
          <c:yVal>
            <c:numRef>
              <c:f>'02_Comparison'!$D$660</c:f>
              <c:numCache>
                <c:formatCode>0.0%</c:formatCode>
                <c:ptCount val="1"/>
                <c:pt idx="0">
                  <c:v>2.9563014098699991E-2</c:v>
                </c:pt>
              </c:numCache>
            </c:numRef>
          </c:yVal>
          <c:bubbleSize>
            <c:numRef>
              <c:f>'02_Comparison'!$D$661</c:f>
              <c:numCache>
                <c:formatCode>#,##0.0\ ;\(#,##0.0\);\-" "</c:formatCode>
                <c:ptCount val="1"/>
                <c:pt idx="0">
                  <c:v>103</c:v>
                </c:pt>
              </c:numCache>
            </c:numRef>
          </c:bubbleSize>
          <c:bubble3D val="0"/>
        </c:ser>
        <c:ser>
          <c:idx val="3"/>
          <c:order val="3"/>
          <c:tx>
            <c:strRef>
              <c:f>'02_Comparison'!$E$659</c:f>
              <c:strCache>
                <c:ptCount val="1"/>
                <c:pt idx="0">
                  <c:v>Peer 3 2012</c:v>
                </c:pt>
              </c:strCache>
            </c:strRef>
          </c:tx>
          <c:spPr>
            <a:solidFill>
              <a:srgbClr val="005EB8"/>
            </a:solidFill>
            <a:ln w="25400">
              <a:noFill/>
            </a:ln>
          </c:spPr>
          <c:invertIfNegative val="0"/>
          <c:xVal>
            <c:numRef>
              <c:f>'02_Comparison'!$E$662</c:f>
              <c:numCache>
                <c:formatCode>#,##0.0%;\-#,##0.0%;\-;@</c:formatCode>
                <c:ptCount val="1"/>
                <c:pt idx="0">
                  <c:v>0.5431034482758621</c:v>
                </c:pt>
              </c:numCache>
            </c:numRef>
          </c:xVal>
          <c:yVal>
            <c:numRef>
              <c:f>'02_Comparison'!$E$660</c:f>
              <c:numCache>
                <c:formatCode>0.0%</c:formatCode>
                <c:ptCount val="1"/>
                <c:pt idx="0">
                  <c:v>3.5098339013531321E-2</c:v>
                </c:pt>
              </c:numCache>
            </c:numRef>
          </c:yVal>
          <c:bubbleSize>
            <c:numRef>
              <c:f>'02_Comparison'!$E$661</c:f>
              <c:numCache>
                <c:formatCode>#,##0.0\ ;\(#,##0.0\);\-" "</c:formatCode>
                <c:ptCount val="1"/>
                <c:pt idx="0">
                  <c:v>290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435521544"/>
        <c:axId val="435522328"/>
      </c:bubbleChart>
      <c:valAx>
        <c:axId val="435521544"/>
        <c:scaling>
          <c:orientation val="minMax"/>
          <c:min val="0.2"/>
        </c:scaling>
        <c:delete val="0"/>
        <c:axPos val="b"/>
        <c:title>
          <c:tx>
            <c:strRef>
              <c:f>'02_Comparison'!$A$677</c:f>
              <c:strCache>
                <c:ptCount val="1"/>
                <c:pt idx="0">
                  <c:v>Gross profit margin  Ø 2010-2012</c:v>
                </c:pt>
              </c:strCache>
            </c:strRef>
          </c:tx>
          <c:layout>
            <c:manualLayout>
              <c:xMode val="edge"/>
              <c:yMode val="edge"/>
              <c:x val="0.2215658623540773"/>
              <c:y val="0.67270257695060864"/>
            </c:manualLayout>
          </c:layout>
          <c:overlay val="0"/>
          <c:txPr>
            <a:bodyPr rot="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522328"/>
        <c:crosses val="autoZero"/>
        <c:crossBetween val="midCat"/>
      </c:valAx>
      <c:valAx>
        <c:axId val="435522328"/>
        <c:scaling>
          <c:orientation val="minMax"/>
        </c:scaling>
        <c:delete val="0"/>
        <c:axPos val="l"/>
        <c:title>
          <c:tx>
            <c:strRef>
              <c:f>'02_Comparison'!$A$676</c:f>
              <c:strCache>
                <c:ptCount val="1"/>
                <c:pt idx="0">
                  <c:v>CAGR sales 2010-2012</c:v>
                </c:pt>
              </c:strCache>
            </c:strRef>
          </c:tx>
          <c:layout>
            <c:manualLayout>
              <c:xMode val="edge"/>
              <c:yMode val="edge"/>
              <c:x val="1.433462301059543E-2"/>
              <c:y val="0.12544917680744683"/>
            </c:manualLayout>
          </c:layout>
          <c:overlay val="0"/>
          <c:txPr>
            <a:bodyPr rot="-5400000" vert="horz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800" b="0" i="0" u="none" strike="noStrike" kern="1200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0.0%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521544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4.7987254429074692E-2"/>
          <c:y val="0.79771257620499569"/>
          <c:w val="0.9231880174012006"/>
          <c:h val="0.14242411074210251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'02_Comparison'!$A$693</c:f>
              <c:strCache>
                <c:ptCount val="1"/>
                <c:pt idx="0">
                  <c:v>Analyst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'02_Comparison'!$E$237:$G$237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'02_Comparison'!$E$706:$G$706</c:f>
              <c:numCache>
                <c:formatCode>0.0%</c:formatCode>
                <c:ptCount val="3"/>
                <c:pt idx="0">
                  <c:v>0.56999999999999995</c:v>
                </c:pt>
                <c:pt idx="1">
                  <c:v>0.59</c:v>
                </c:pt>
                <c:pt idx="2">
                  <c:v>0.62</c:v>
                </c:pt>
              </c:numCache>
            </c:numRef>
          </c:val>
        </c:ser>
        <c:ser>
          <c:idx val="1"/>
          <c:order val="1"/>
          <c:tx>
            <c:strRef>
              <c:f>'02_Comparison'!$A$705</c:f>
              <c:strCache>
                <c:ptCount val="1"/>
                <c:pt idx="0">
                  <c:v>Analyst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'02_Comparison'!$E$237:$G$237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'02_Comparison'!$E$705:$G$705</c:f>
              <c:numCache>
                <c:formatCode>0.0%</c:formatCode>
                <c:ptCount val="3"/>
                <c:pt idx="0">
                  <c:v>0.52</c:v>
                </c:pt>
                <c:pt idx="1">
                  <c:v>0.53</c:v>
                </c:pt>
                <c:pt idx="2">
                  <c:v>0.54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519976"/>
        <c:axId val="435522720"/>
      </c:areaChart>
      <c:lineChart>
        <c:grouping val="standard"/>
        <c:varyColors val="0"/>
        <c:ser>
          <c:idx val="4"/>
          <c:order val="2"/>
          <c:tx>
            <c:strRef>
              <c:f>'02_Comparison'!$A$707</c:f>
              <c:strCache>
                <c:ptCount val="1"/>
                <c:pt idx="0">
                  <c:v>Analyst Consensus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'02_Comparison'!$E$707:$G$707</c:f>
              <c:numCache>
                <c:formatCode>0.0%</c:formatCode>
                <c:ptCount val="3"/>
                <c:pt idx="0">
                  <c:v>0.54</c:v>
                </c:pt>
                <c:pt idx="1">
                  <c:v>0.55666666666666675</c:v>
                </c:pt>
                <c:pt idx="2">
                  <c:v>0.57666666666666666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'02_Comparison'!$A$700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'02_Comparison'!$E$700:$G$700</c:f>
              <c:numCache>
                <c:formatCode>0.0%</c:formatCode>
                <c:ptCount val="3"/>
                <c:pt idx="0">
                  <c:v>0.50847457627118642</c:v>
                </c:pt>
                <c:pt idx="1">
                  <c:v>0.51639344262295084</c:v>
                </c:pt>
                <c:pt idx="2">
                  <c:v>0.52985074626865669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519976"/>
        <c:axId val="435522720"/>
      </c:lineChart>
      <c:catAx>
        <c:axId val="435519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522720"/>
        <c:crosses val="autoZero"/>
        <c:auto val="1"/>
        <c:lblAlgn val="ctr"/>
        <c:lblOffset val="100"/>
        <c:noMultiLvlLbl val="0"/>
      </c:catAx>
      <c:valAx>
        <c:axId val="435522720"/>
        <c:scaling>
          <c:orientation val="minMax"/>
          <c:max val="0.65000000000000113"/>
          <c:min val="0.45"/>
        </c:scaling>
        <c:delete val="0"/>
        <c:axPos val="l"/>
        <c:title>
          <c:tx>
            <c:strRef>
              <c:f>'02_Comparison'!$A$685</c:f>
              <c:strCache>
                <c:ptCount val="1"/>
                <c:pt idx="0">
                  <c:v>Gross profit margin</c:v>
                </c:pt>
              </c:strCache>
            </c:strRef>
          </c:tx>
          <c:layout>
            <c:manualLayout>
              <c:xMode val="edge"/>
              <c:yMode val="edge"/>
              <c:x val="2.5687317219655642E-2"/>
              <c:y val="0.21866029765933276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519976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3.6448593925759352E-2"/>
          <c:y val="0.69545444463260953"/>
          <c:w val="0.67648571428572535"/>
          <c:h val="0.1006782935259369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35424497693738"/>
          <c:y val="0.15259809228578503"/>
          <c:w val="0.58198785505254547"/>
          <c:h val="0.44459651888303053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'02_Comparison'!$A$360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'02_Comparison'!$B$365:$G$365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'02_Comparison'!$B$373:$G$373</c:f>
              <c:numCache>
                <c:formatCode>0.0%</c:formatCode>
                <c:ptCount val="6"/>
                <c:pt idx="0">
                  <c:v>0.65</c:v>
                </c:pt>
                <c:pt idx="1">
                  <c:v>0.66</c:v>
                </c:pt>
                <c:pt idx="2">
                  <c:v>0.67</c:v>
                </c:pt>
                <c:pt idx="3">
                  <c:v>0.68</c:v>
                </c:pt>
                <c:pt idx="4">
                  <c:v>0.7</c:v>
                </c:pt>
                <c:pt idx="5">
                  <c:v>0.72</c:v>
                </c:pt>
              </c:numCache>
            </c:numRef>
          </c:val>
        </c:ser>
        <c:ser>
          <c:idx val="1"/>
          <c:order val="1"/>
          <c:tx>
            <c:strRef>
              <c:f>'02_Comparison'!$A$372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'02_Comparison'!$B$365:$G$365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'02_Comparison'!$B$372:$G$372</c:f>
              <c:numCache>
                <c:formatCode>0.0%</c:formatCode>
                <c:ptCount val="6"/>
                <c:pt idx="0">
                  <c:v>0.54</c:v>
                </c:pt>
                <c:pt idx="1">
                  <c:v>0.55000000000000004</c:v>
                </c:pt>
                <c:pt idx="2">
                  <c:v>0.56000000000000005</c:v>
                </c:pt>
                <c:pt idx="3">
                  <c:v>0.56999999999999995</c:v>
                </c:pt>
                <c:pt idx="4">
                  <c:v>0.59</c:v>
                </c:pt>
                <c:pt idx="5">
                  <c:v>0.6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513704"/>
        <c:axId val="435510960"/>
      </c:areaChart>
      <c:lineChart>
        <c:grouping val="standard"/>
        <c:varyColors val="0"/>
        <c:ser>
          <c:idx val="4"/>
          <c:order val="2"/>
          <c:tx>
            <c:strRef>
              <c:f>'02_Comparison'!$A$374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'02_Comparison'!$B$374:$G$374</c:f>
              <c:numCache>
                <c:formatCode>0.0%</c:formatCode>
                <c:ptCount val="6"/>
                <c:pt idx="0">
                  <c:v>0.57999999999999996</c:v>
                </c:pt>
                <c:pt idx="1">
                  <c:v>0.59</c:v>
                </c:pt>
                <c:pt idx="2">
                  <c:v>0.60333333333333339</c:v>
                </c:pt>
                <c:pt idx="3">
                  <c:v>0.61333333333333329</c:v>
                </c:pt>
                <c:pt idx="4">
                  <c:v>0.6333333333333333</c:v>
                </c:pt>
                <c:pt idx="5">
                  <c:v>0.65666666666666662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'02_Comparison'!$A$367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'02_Comparison'!$B$367:$G$367</c:f>
              <c:numCache>
                <c:formatCode>0.0%</c:formatCode>
                <c:ptCount val="6"/>
                <c:pt idx="0">
                  <c:v>0.6</c:v>
                </c:pt>
                <c:pt idx="1">
                  <c:v>0.60909090909090913</c:v>
                </c:pt>
                <c:pt idx="2">
                  <c:v>0.61739130434782608</c:v>
                </c:pt>
                <c:pt idx="3">
                  <c:v>0.64406779661016944</c:v>
                </c:pt>
                <c:pt idx="4">
                  <c:v>0.64166666666666672</c:v>
                </c:pt>
                <c:pt idx="5">
                  <c:v>0.66393442622950816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513704"/>
        <c:axId val="435510960"/>
      </c:lineChart>
      <c:catAx>
        <c:axId val="435513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510960"/>
        <c:crosses val="autoZero"/>
        <c:auto val="1"/>
        <c:lblAlgn val="ctr"/>
        <c:lblOffset val="100"/>
        <c:noMultiLvlLbl val="0"/>
      </c:catAx>
      <c:valAx>
        <c:axId val="435510960"/>
        <c:scaling>
          <c:orientation val="minMax"/>
          <c:max val="0.75000000000000111"/>
          <c:min val="0.5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513704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4.7860624779413788E-2"/>
          <c:y val="0.69545449630759648"/>
          <c:w val="0.62001643741451185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67516590395881"/>
          <c:y val="0.15287423165234224"/>
          <c:w val="0.49171856100842132"/>
          <c:h val="0.44337691091861775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'02_Comparison'!$A$170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'02_Comparison'!$B$139:$G$139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'02_Comparison'!$B$184:$G$184</c:f>
              <c:numCache>
                <c:formatCode>0.0%</c:formatCode>
                <c:ptCount val="6"/>
                <c:pt idx="0">
                  <c:v>0.1</c:v>
                </c:pt>
                <c:pt idx="1">
                  <c:v>0.11</c:v>
                </c:pt>
                <c:pt idx="2">
                  <c:v>0.12</c:v>
                </c:pt>
                <c:pt idx="3">
                  <c:v>0.14000000000000001</c:v>
                </c:pt>
                <c:pt idx="4">
                  <c:v>0.16</c:v>
                </c:pt>
                <c:pt idx="5">
                  <c:v>0.18</c:v>
                </c:pt>
              </c:numCache>
            </c:numRef>
          </c:val>
        </c:ser>
        <c:ser>
          <c:idx val="1"/>
          <c:order val="1"/>
          <c:tx>
            <c:strRef>
              <c:f>'02_Comparison'!$A$183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'02_Comparison'!$B$139:$G$139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'02_Comparison'!$B$183:$G$183</c:f>
              <c:numCache>
                <c:formatCode>0.0%</c:formatCode>
                <c:ptCount val="6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511352"/>
        <c:axId val="435513312"/>
      </c:areaChart>
      <c:lineChart>
        <c:grouping val="standard"/>
        <c:varyColors val="0"/>
        <c:ser>
          <c:idx val="4"/>
          <c:order val="2"/>
          <c:tx>
            <c:strRef>
              <c:f>'02_Comparison'!$A$185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5EB8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'02_Comparison'!$B$185:$G$185</c:f>
              <c:numCache>
                <c:formatCode>0.0%</c:formatCode>
                <c:ptCount val="6"/>
                <c:pt idx="0">
                  <c:v>7.3333333333333348E-2</c:v>
                </c:pt>
                <c:pt idx="1">
                  <c:v>8.3333333333333329E-2</c:v>
                </c:pt>
                <c:pt idx="2">
                  <c:v>9.3333333333333338E-2</c:v>
                </c:pt>
                <c:pt idx="3">
                  <c:v>0.10666666666666667</c:v>
                </c:pt>
                <c:pt idx="4">
                  <c:v>0.12</c:v>
                </c:pt>
                <c:pt idx="5">
                  <c:v>0.13333333333333333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'02_Comparison'!$A$177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'02_Comparison'!$B$177:$G$177</c:f>
              <c:numCache>
                <c:formatCode>0.0%</c:formatCode>
                <c:ptCount val="6"/>
                <c:pt idx="0">
                  <c:v>0.06</c:v>
                </c:pt>
                <c:pt idx="1">
                  <c:v>7.407407407407407E-2</c:v>
                </c:pt>
                <c:pt idx="2">
                  <c:v>8.0357142857142863E-2</c:v>
                </c:pt>
                <c:pt idx="3">
                  <c:v>0.13559322033898305</c:v>
                </c:pt>
                <c:pt idx="4">
                  <c:v>0.14754098360655737</c:v>
                </c:pt>
                <c:pt idx="5">
                  <c:v>0.14925373134328357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511352"/>
        <c:axId val="435513312"/>
      </c:lineChart>
      <c:catAx>
        <c:axId val="435511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513312"/>
        <c:crosses val="autoZero"/>
        <c:auto val="1"/>
        <c:lblAlgn val="ctr"/>
        <c:lblOffset val="100"/>
        <c:noMultiLvlLbl val="0"/>
      </c:catAx>
      <c:valAx>
        <c:axId val="435513312"/>
        <c:scaling>
          <c:orientation val="minMax"/>
        </c:scaling>
        <c:delete val="0"/>
        <c:axPos val="l"/>
        <c:title>
          <c:tx>
            <c:strRef>
              <c:f>'02_Comparison'!$A$161</c:f>
              <c:strCache>
                <c:ptCount val="1"/>
                <c:pt idx="0">
                  <c:v>Investment ratio</c:v>
                </c:pt>
              </c:strCache>
            </c:strRef>
          </c:tx>
          <c:layout>
            <c:manualLayout>
              <c:xMode val="edge"/>
              <c:yMode val="edge"/>
              <c:x val="3.3802539489975476E-2"/>
              <c:y val="0.2009429430133166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511352"/>
        <c:crosses val="autoZero"/>
        <c:crossBetween val="midCat"/>
        <c:majorUnit val="0.05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4.6430825521087647E-2"/>
          <c:y val="0.67685344398291636"/>
          <c:w val="0.60571428571428576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35424497693738"/>
          <c:y val="0.15259809228578503"/>
          <c:w val="0.55338342037415056"/>
          <c:h val="0.44459651888303053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'02_Comparison'!$A$423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'02_Comparison'!$B$428:$G$428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'02_Comparison'!$B$436:$G$436</c:f>
              <c:numCache>
                <c:formatCode>0.0%</c:formatCode>
                <c:ptCount val="6"/>
                <c:pt idx="0">
                  <c:v>0.55000000000000004</c:v>
                </c:pt>
                <c:pt idx="1">
                  <c:v>0.56000000000000005</c:v>
                </c:pt>
                <c:pt idx="2">
                  <c:v>0.55000000000000004</c:v>
                </c:pt>
                <c:pt idx="3">
                  <c:v>0.55500000000000005</c:v>
                </c:pt>
                <c:pt idx="4">
                  <c:v>0.56999999999999995</c:v>
                </c:pt>
                <c:pt idx="5">
                  <c:v>0.57999999999999996</c:v>
                </c:pt>
              </c:numCache>
            </c:numRef>
          </c:val>
        </c:ser>
        <c:ser>
          <c:idx val="1"/>
          <c:order val="1"/>
          <c:tx>
            <c:strRef>
              <c:f>'02_Comparison'!$A$435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'02_Comparison'!$B$428:$G$428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'02_Comparison'!$B$435:$G$435</c:f>
              <c:numCache>
                <c:formatCode>0.0%</c:formatCode>
                <c:ptCount val="6"/>
                <c:pt idx="0">
                  <c:v>0.4</c:v>
                </c:pt>
                <c:pt idx="1">
                  <c:v>0.41</c:v>
                </c:pt>
                <c:pt idx="2">
                  <c:v>0.41</c:v>
                </c:pt>
                <c:pt idx="3">
                  <c:v>0.4</c:v>
                </c:pt>
                <c:pt idx="4">
                  <c:v>0.42</c:v>
                </c:pt>
                <c:pt idx="5">
                  <c:v>0.43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512136"/>
        <c:axId val="435520368"/>
      </c:areaChart>
      <c:lineChart>
        <c:grouping val="standard"/>
        <c:varyColors val="0"/>
        <c:ser>
          <c:idx val="4"/>
          <c:order val="2"/>
          <c:tx>
            <c:strRef>
              <c:f>'02_Comparison'!$A$437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'02_Comparison'!$B$437:$G$437</c:f>
              <c:numCache>
                <c:formatCode>0.0%</c:formatCode>
                <c:ptCount val="6"/>
                <c:pt idx="0">
                  <c:v>0.46666666666666662</c:v>
                </c:pt>
                <c:pt idx="1">
                  <c:v>0.47666666666666663</c:v>
                </c:pt>
                <c:pt idx="2">
                  <c:v>0.47</c:v>
                </c:pt>
                <c:pt idx="3">
                  <c:v>0.46833333333333343</c:v>
                </c:pt>
                <c:pt idx="4">
                  <c:v>0.48333333333333334</c:v>
                </c:pt>
                <c:pt idx="5">
                  <c:v>0.48666666666666664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'02_Comparison'!$A$430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'02_Comparison'!$B$430:$G$430</c:f>
              <c:numCache>
                <c:formatCode>0.0%</c:formatCode>
                <c:ptCount val="6"/>
                <c:pt idx="0">
                  <c:v>0.5</c:v>
                </c:pt>
                <c:pt idx="1">
                  <c:v>0.49</c:v>
                </c:pt>
                <c:pt idx="2">
                  <c:v>0.48</c:v>
                </c:pt>
                <c:pt idx="3">
                  <c:v>0.48499999999999999</c:v>
                </c:pt>
                <c:pt idx="4">
                  <c:v>0.49</c:v>
                </c:pt>
                <c:pt idx="5">
                  <c:v>0.48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512136"/>
        <c:axId val="435520368"/>
      </c:lineChart>
      <c:catAx>
        <c:axId val="435512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520368"/>
        <c:crosses val="autoZero"/>
        <c:auto val="1"/>
        <c:lblAlgn val="ctr"/>
        <c:lblOffset val="100"/>
        <c:noMultiLvlLbl val="0"/>
      </c:catAx>
      <c:valAx>
        <c:axId val="435520368"/>
        <c:scaling>
          <c:orientation val="minMax"/>
          <c:max val="0.60000000000000064"/>
          <c:min val="0.30000000000000032"/>
        </c:scaling>
        <c:delete val="0"/>
        <c:axPos val="l"/>
        <c:title>
          <c:tx>
            <c:strRef>
              <c:f>'02_Comparison'!$A$414</c:f>
              <c:strCache>
                <c:ptCount val="1"/>
                <c:pt idx="0">
                  <c:v>Debt ratio</c:v>
                </c:pt>
              </c:strCache>
            </c:strRef>
          </c:tx>
          <c:layout>
            <c:manualLayout>
              <c:xMode val="edge"/>
              <c:yMode val="edge"/>
              <c:x val="2.8558380202474688E-2"/>
              <c:y val="0.27311676762708992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51213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2.2116633568858193E-2"/>
          <c:y val="0.65824381003725474"/>
          <c:w val="0.70010885451401628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438044939177171"/>
          <c:y val="7.3748599036103021E-2"/>
          <c:w val="0.61097334404798476"/>
          <c:h val="0.521272252716137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'03_FC vs. Budget'!$J$19</c:f>
              <c:strCache>
                <c:ptCount val="1"/>
                <c:pt idx="0">
                  <c:v>Actual 2012</c:v>
                </c:pt>
              </c:strCache>
            </c:strRef>
          </c:tx>
          <c:spPr>
            <a:solidFill>
              <a:srgbClr val="00338D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Budget'!$K$18:$M$18</c:f>
              <c:strCache>
                <c:ptCount val="3"/>
                <c:pt idx="0">
                  <c:v>Sales</c:v>
                </c:pt>
                <c:pt idx="1">
                  <c:v>Gross profit</c:v>
                </c:pt>
                <c:pt idx="2">
                  <c:v>EBIT</c:v>
                </c:pt>
              </c:strCache>
            </c:strRef>
          </c:cat>
          <c:val>
            <c:numRef>
              <c:f>'03_FC vs. Budget'!$K$19:$M$19</c:f>
              <c:numCache>
                <c:formatCode>#,##0</c:formatCode>
                <c:ptCount val="3"/>
                <c:pt idx="0">
                  <c:v>56</c:v>
                </c:pt>
                <c:pt idx="1">
                  <c:v>28</c:v>
                </c:pt>
                <c:pt idx="2">
                  <c:v>8.5</c:v>
                </c:pt>
              </c:numCache>
            </c:numRef>
          </c:val>
        </c:ser>
        <c:ser>
          <c:idx val="2"/>
          <c:order val="1"/>
          <c:tx>
            <c:strRef>
              <c:f>'03_FC vs. Budget'!$J$20</c:f>
              <c:strCache>
                <c:ptCount val="1"/>
                <c:pt idx="0">
                  <c:v>Budget 2013</c:v>
                </c:pt>
              </c:strCache>
            </c:strRef>
          </c:tx>
          <c:spPr>
            <a:solidFill>
              <a:srgbClr val="0091DA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Budget'!$K$18:$M$18</c:f>
              <c:strCache>
                <c:ptCount val="3"/>
                <c:pt idx="0">
                  <c:v>Sales</c:v>
                </c:pt>
                <c:pt idx="1">
                  <c:v>Gross profit</c:v>
                </c:pt>
                <c:pt idx="2">
                  <c:v>EBIT</c:v>
                </c:pt>
              </c:strCache>
            </c:strRef>
          </c:cat>
          <c:val>
            <c:numRef>
              <c:f>'03_FC vs. Budget'!$K$20:$M$20</c:f>
              <c:numCache>
                <c:formatCode>#,##0</c:formatCode>
                <c:ptCount val="3"/>
                <c:pt idx="0">
                  <c:v>59</c:v>
                </c:pt>
                <c:pt idx="1">
                  <c:v>30</c:v>
                </c:pt>
                <c:pt idx="2">
                  <c:v>10</c:v>
                </c:pt>
              </c:numCache>
            </c:numRef>
          </c:val>
        </c:ser>
        <c:ser>
          <c:idx val="1"/>
          <c:order val="2"/>
          <c:tx>
            <c:strRef>
              <c:f>'03_FC vs. Budget'!$J$21</c:f>
              <c:strCache>
                <c:ptCount val="1"/>
                <c:pt idx="0">
                  <c:v>FC 2013</c:v>
                </c:pt>
              </c:strCache>
            </c:strRef>
          </c:tx>
          <c:spPr>
            <a:solidFill>
              <a:srgbClr val="6D2077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Budget'!$K$18:$M$18</c:f>
              <c:strCache>
                <c:ptCount val="3"/>
                <c:pt idx="0">
                  <c:v>Sales</c:v>
                </c:pt>
                <c:pt idx="1">
                  <c:v>Gross profit</c:v>
                </c:pt>
                <c:pt idx="2">
                  <c:v>EBIT</c:v>
                </c:pt>
              </c:strCache>
            </c:strRef>
          </c:cat>
          <c:val>
            <c:numRef>
              <c:f>'03_FC vs. Budget'!$K$21:$M$21</c:f>
              <c:numCache>
                <c:formatCode>#,##0</c:formatCode>
                <c:ptCount val="3"/>
                <c:pt idx="0">
                  <c:v>60</c:v>
                </c:pt>
                <c:pt idx="1">
                  <c:v>31.299999999999997</c:v>
                </c:pt>
                <c:pt idx="2">
                  <c:v>9.1999999999999993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435518016"/>
        <c:axId val="435514096"/>
      </c:barChart>
      <c:catAx>
        <c:axId val="435518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514096"/>
        <c:crosses val="autoZero"/>
        <c:auto val="1"/>
        <c:lblAlgn val="ctr"/>
        <c:lblOffset val="100"/>
        <c:noMultiLvlLbl val="0"/>
      </c:catAx>
      <c:valAx>
        <c:axId val="435514096"/>
        <c:scaling>
          <c:orientation val="minMax"/>
        </c:scaling>
        <c:delete val="0"/>
        <c:axPos val="l"/>
        <c:title>
          <c:tx>
            <c:strRef>
              <c:f>'03_FC vs. Budget'!$A$17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7.7121586211856594E-2"/>
              <c:y val="0.31343767379981979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51801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6723902472282485"/>
          <c:y val="0.69978759443299632"/>
          <c:w val="0.43034794117450026"/>
          <c:h val="7.697715864017444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06221125334916"/>
          <c:y val="0.19253311598813572"/>
          <c:w val="0.82997163848928557"/>
          <c:h val="0.382413813210001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'03_FC vs. Budget'!$J$95</c:f>
              <c:strCache>
                <c:ptCount val="1"/>
                <c:pt idx="0">
                  <c:v>Actual 2012</c:v>
                </c:pt>
              </c:strCache>
            </c:strRef>
          </c:tx>
          <c:spPr>
            <a:solidFill>
              <a:srgbClr val="00338D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3.0271278325097362E-3"/>
                  <c:y val="-2.50298091230698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0"/>
                  <c:y val="-2.08581742692248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6.0542556650194654E-3"/>
                  <c:y val="-1.66865394153798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-6.0542556650194654E-3"/>
                  <c:y val="-1.66865394153798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6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Budget'!$K$88:$R$88</c:f>
              <c:strCache>
                <c:ptCount val="8"/>
                <c:pt idx="0">
                  <c:v>COGS</c:v>
                </c:pt>
                <c:pt idx="1">
                  <c:v>R&amp;D 
costs</c:v>
                </c:pt>
                <c:pt idx="2">
                  <c:v>Selling
expenses</c:v>
                </c:pt>
                <c:pt idx="3">
                  <c:v>G&amp;A
expenses</c:v>
                </c:pt>
                <c:pt idx="4">
                  <c:v>Other 
operating 
expenses</c:v>
                </c:pt>
                <c:pt idx="5">
                  <c:v>Depreciation</c:v>
                </c:pt>
                <c:pt idx="6">
                  <c:v>EBITDA</c:v>
                </c:pt>
                <c:pt idx="7">
                  <c:v>EBIT</c:v>
                </c:pt>
              </c:strCache>
            </c:strRef>
          </c:cat>
          <c:val>
            <c:numRef>
              <c:f>'03_FC vs. Budget'!$K$95:$R$95</c:f>
              <c:numCache>
                <c:formatCode>0%</c:formatCode>
                <c:ptCount val="8"/>
                <c:pt idx="0">
                  <c:v>0.5</c:v>
                </c:pt>
                <c:pt idx="1">
                  <c:v>0</c:v>
                </c:pt>
                <c:pt idx="2">
                  <c:v>0.15178571428571427</c:v>
                </c:pt>
                <c:pt idx="3">
                  <c:v>5.3571428571428568E-2</c:v>
                </c:pt>
                <c:pt idx="4">
                  <c:v>0.14285714285714285</c:v>
                </c:pt>
                <c:pt idx="5">
                  <c:v>8.9285714285714288E-2</c:v>
                </c:pt>
                <c:pt idx="6">
                  <c:v>0.24107142857142858</c:v>
                </c:pt>
                <c:pt idx="7">
                  <c:v>0.15178571428571427</c:v>
                </c:pt>
              </c:numCache>
            </c:numRef>
          </c:val>
        </c:ser>
        <c:ser>
          <c:idx val="2"/>
          <c:order val="1"/>
          <c:tx>
            <c:strRef>
              <c:f>'03_FC vs. Budget'!$J$96</c:f>
              <c:strCache>
                <c:ptCount val="1"/>
                <c:pt idx="0">
                  <c:v>Budget 2013</c:v>
                </c:pt>
              </c:strCache>
            </c:strRef>
          </c:tx>
          <c:spPr>
            <a:solidFill>
              <a:srgbClr val="0091DA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6"/>
              <c:layout>
                <c:manualLayout>
                  <c:x val="1.109934049867379E-16"/>
                  <c:y val="-2.5029809123069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layout>
                <c:manualLayout>
                  <c:x val="0"/>
                  <c:y val="-1.66865394153798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6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Budget'!$K$88:$R$88</c:f>
              <c:strCache>
                <c:ptCount val="8"/>
                <c:pt idx="0">
                  <c:v>COGS</c:v>
                </c:pt>
                <c:pt idx="1">
                  <c:v>R&amp;D 
costs</c:v>
                </c:pt>
                <c:pt idx="2">
                  <c:v>Selling
expenses</c:v>
                </c:pt>
                <c:pt idx="3">
                  <c:v>G&amp;A
expenses</c:v>
                </c:pt>
                <c:pt idx="4">
                  <c:v>Other 
operating 
expenses</c:v>
                </c:pt>
                <c:pt idx="5">
                  <c:v>Depreciation</c:v>
                </c:pt>
                <c:pt idx="6">
                  <c:v>EBITDA</c:v>
                </c:pt>
                <c:pt idx="7">
                  <c:v>EBIT</c:v>
                </c:pt>
              </c:strCache>
            </c:strRef>
          </c:cat>
          <c:val>
            <c:numRef>
              <c:f>'03_FC vs. Budget'!$K$96:$R$96</c:f>
              <c:numCache>
                <c:formatCode>0%</c:formatCode>
                <c:ptCount val="8"/>
                <c:pt idx="0">
                  <c:v>0.49152542372881358</c:v>
                </c:pt>
                <c:pt idx="1">
                  <c:v>0</c:v>
                </c:pt>
                <c:pt idx="2">
                  <c:v>0.15254237288135594</c:v>
                </c:pt>
                <c:pt idx="3">
                  <c:v>5.0847457627118647E-2</c:v>
                </c:pt>
                <c:pt idx="4">
                  <c:v>0.13559322033898305</c:v>
                </c:pt>
                <c:pt idx="5">
                  <c:v>8.4745762711864403E-2</c:v>
                </c:pt>
                <c:pt idx="6">
                  <c:v>0.25423728813559321</c:v>
                </c:pt>
                <c:pt idx="7">
                  <c:v>0.16949152542372881</c:v>
                </c:pt>
              </c:numCache>
            </c:numRef>
          </c:val>
        </c:ser>
        <c:ser>
          <c:idx val="1"/>
          <c:order val="2"/>
          <c:tx>
            <c:strRef>
              <c:f>'03_FC vs. Budget'!$J$97</c:f>
              <c:strCache>
                <c:ptCount val="1"/>
                <c:pt idx="0">
                  <c:v>FC 2013</c:v>
                </c:pt>
              </c:strCache>
            </c:strRef>
          </c:tx>
          <c:spPr>
            <a:solidFill>
              <a:srgbClr val="6D2077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0"/>
                  <c:y val="-1.25149045615348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5.5496702493368975E-17"/>
                  <c:y val="-3.337307883075974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0"/>
                  <c:y val="-1.25149045615348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1.5135400806026419E-2"/>
                  <c:y val="-1.66865394153798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6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Budget'!$K$88:$R$88</c:f>
              <c:strCache>
                <c:ptCount val="8"/>
                <c:pt idx="0">
                  <c:v>COGS</c:v>
                </c:pt>
                <c:pt idx="1">
                  <c:v>R&amp;D 
costs</c:v>
                </c:pt>
                <c:pt idx="2">
                  <c:v>Selling
expenses</c:v>
                </c:pt>
                <c:pt idx="3">
                  <c:v>G&amp;A
expenses</c:v>
                </c:pt>
                <c:pt idx="4">
                  <c:v>Other 
operating 
expenses</c:v>
                </c:pt>
                <c:pt idx="5">
                  <c:v>Depreciation</c:v>
                </c:pt>
                <c:pt idx="6">
                  <c:v>EBITDA</c:v>
                </c:pt>
                <c:pt idx="7">
                  <c:v>EBIT</c:v>
                </c:pt>
              </c:strCache>
            </c:strRef>
          </c:cat>
          <c:val>
            <c:numRef>
              <c:f>'03_FC vs. Budget'!$K$97:$R$97</c:f>
              <c:numCache>
                <c:formatCode>0%</c:formatCode>
                <c:ptCount val="8"/>
                <c:pt idx="0">
                  <c:v>0.50166666666666671</c:v>
                </c:pt>
                <c:pt idx="1">
                  <c:v>0</c:v>
                </c:pt>
                <c:pt idx="2">
                  <c:v>0.155</c:v>
                </c:pt>
                <c:pt idx="3">
                  <c:v>5.3333333333333337E-2</c:v>
                </c:pt>
                <c:pt idx="4">
                  <c:v>0.13666666666666666</c:v>
                </c:pt>
                <c:pt idx="5">
                  <c:v>8.3333333333333329E-2</c:v>
                </c:pt>
                <c:pt idx="6">
                  <c:v>0.23666666666666666</c:v>
                </c:pt>
                <c:pt idx="7">
                  <c:v>0.15333333333333332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435514488"/>
        <c:axId val="435515272"/>
      </c:barChart>
      <c:catAx>
        <c:axId val="435514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>
                <a:solidFill>
                  <a:srgbClr val="000000"/>
                </a:solidFill>
              </a:defRPr>
            </a:pPr>
            <a:endParaRPr lang="en-US"/>
          </a:p>
        </c:txPr>
        <c:crossAx val="435515272"/>
        <c:crosses val="autoZero"/>
        <c:auto val="1"/>
        <c:lblAlgn val="ctr"/>
        <c:lblOffset val="100"/>
        <c:tickLblSkip val="1"/>
        <c:noMultiLvlLbl val="0"/>
      </c:catAx>
      <c:valAx>
        <c:axId val="435515272"/>
        <c:scaling>
          <c:orientation val="minMax"/>
          <c:max val="0.60000000000000064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700">
                    <a:solidFill>
                      <a:srgbClr val="000000"/>
                    </a:solidFill>
                  </a:defRPr>
                </a:pPr>
                <a:r>
                  <a:rPr lang="de-DE" sz="700"/>
                  <a:t>in % of</a:t>
                </a:r>
                <a:r>
                  <a:rPr lang="de-DE" sz="700" baseline="0"/>
                  <a:t> </a:t>
                </a:r>
                <a:r>
                  <a:rPr lang="de-DE" sz="700"/>
                  <a:t>sales</a:t>
                </a:r>
              </a:p>
            </c:rich>
          </c:tx>
          <c:layout>
            <c:manualLayout>
              <c:xMode val="edge"/>
              <c:yMode val="edge"/>
              <c:x val="2.1897485069161282E-2"/>
              <c:y val="0.27417804724285666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700">
                <a:solidFill>
                  <a:srgbClr val="000000"/>
                </a:solidFill>
              </a:defRPr>
            </a:pPr>
            <a:endParaRPr lang="en-US"/>
          </a:p>
        </c:txPr>
        <c:crossAx val="43551448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7916757603410943"/>
          <c:y val="0.70408758834853324"/>
          <c:w val="0.7118708222060568"/>
          <c:h val="7.697715864017444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00"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06221125334916"/>
          <c:y val="0.18032667136983219"/>
          <c:w val="0.82997163848928612"/>
          <c:h val="0.3946202578283042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'03_FC vs. Budget'!$J$90</c:f>
              <c:strCache>
                <c:ptCount val="1"/>
                <c:pt idx="0">
                  <c:v>Actual 2012</c:v>
                </c:pt>
              </c:strCache>
            </c:strRef>
          </c:tx>
          <c:spPr>
            <a:solidFill>
              <a:srgbClr val="00338D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Budget'!$K$88:$R$88</c:f>
              <c:strCache>
                <c:ptCount val="8"/>
                <c:pt idx="0">
                  <c:v>COGS</c:v>
                </c:pt>
                <c:pt idx="1">
                  <c:v>R&amp;D 
costs</c:v>
                </c:pt>
                <c:pt idx="2">
                  <c:v>Selling
expenses</c:v>
                </c:pt>
                <c:pt idx="3">
                  <c:v>G&amp;A
expenses</c:v>
                </c:pt>
                <c:pt idx="4">
                  <c:v>Other 
operating 
expenses</c:v>
                </c:pt>
                <c:pt idx="5">
                  <c:v>Depreciation</c:v>
                </c:pt>
                <c:pt idx="6">
                  <c:v>EBITDA</c:v>
                </c:pt>
                <c:pt idx="7">
                  <c:v>EBIT</c:v>
                </c:pt>
              </c:strCache>
            </c:strRef>
          </c:cat>
          <c:val>
            <c:numRef>
              <c:f>'03_FC vs. Budget'!$K$90:$R$90</c:f>
              <c:numCache>
                <c:formatCode>#,##0</c:formatCode>
                <c:ptCount val="8"/>
                <c:pt idx="0">
                  <c:v>28</c:v>
                </c:pt>
                <c:pt idx="1">
                  <c:v>0</c:v>
                </c:pt>
                <c:pt idx="2">
                  <c:v>8.5</c:v>
                </c:pt>
                <c:pt idx="3">
                  <c:v>3</c:v>
                </c:pt>
                <c:pt idx="4">
                  <c:v>8</c:v>
                </c:pt>
                <c:pt idx="5">
                  <c:v>5</c:v>
                </c:pt>
                <c:pt idx="6">
                  <c:v>13.5</c:v>
                </c:pt>
                <c:pt idx="7">
                  <c:v>8.5</c:v>
                </c:pt>
              </c:numCache>
            </c:numRef>
          </c:val>
        </c:ser>
        <c:ser>
          <c:idx val="2"/>
          <c:order val="1"/>
          <c:tx>
            <c:strRef>
              <c:f>'03_FC vs. Budget'!$J$91</c:f>
              <c:strCache>
                <c:ptCount val="1"/>
                <c:pt idx="0">
                  <c:v>Budget 2013</c:v>
                </c:pt>
              </c:strCache>
            </c:strRef>
          </c:tx>
          <c:spPr>
            <a:solidFill>
              <a:srgbClr val="0091DA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Budget'!$K$88:$R$88</c:f>
              <c:strCache>
                <c:ptCount val="8"/>
                <c:pt idx="0">
                  <c:v>COGS</c:v>
                </c:pt>
                <c:pt idx="1">
                  <c:v>R&amp;D 
costs</c:v>
                </c:pt>
                <c:pt idx="2">
                  <c:v>Selling
expenses</c:v>
                </c:pt>
                <c:pt idx="3">
                  <c:v>G&amp;A
expenses</c:v>
                </c:pt>
                <c:pt idx="4">
                  <c:v>Other 
operating 
expenses</c:v>
                </c:pt>
                <c:pt idx="5">
                  <c:v>Depreciation</c:v>
                </c:pt>
                <c:pt idx="6">
                  <c:v>EBITDA</c:v>
                </c:pt>
                <c:pt idx="7">
                  <c:v>EBIT</c:v>
                </c:pt>
              </c:strCache>
            </c:strRef>
          </c:cat>
          <c:val>
            <c:numRef>
              <c:f>'03_FC vs. Budget'!$K$91:$R$91</c:f>
              <c:numCache>
                <c:formatCode>#,##0</c:formatCode>
                <c:ptCount val="8"/>
                <c:pt idx="0">
                  <c:v>29</c:v>
                </c:pt>
                <c:pt idx="1">
                  <c:v>0</c:v>
                </c:pt>
                <c:pt idx="2">
                  <c:v>9</c:v>
                </c:pt>
                <c:pt idx="3">
                  <c:v>3</c:v>
                </c:pt>
                <c:pt idx="4">
                  <c:v>8</c:v>
                </c:pt>
                <c:pt idx="5">
                  <c:v>5</c:v>
                </c:pt>
                <c:pt idx="6">
                  <c:v>15</c:v>
                </c:pt>
                <c:pt idx="7">
                  <c:v>10</c:v>
                </c:pt>
              </c:numCache>
            </c:numRef>
          </c:val>
        </c:ser>
        <c:ser>
          <c:idx val="1"/>
          <c:order val="2"/>
          <c:tx>
            <c:strRef>
              <c:f>'03_FC vs. Budget'!$J$92</c:f>
              <c:strCache>
                <c:ptCount val="1"/>
                <c:pt idx="0">
                  <c:v>FC 2013</c:v>
                </c:pt>
              </c:strCache>
            </c:strRef>
          </c:tx>
          <c:spPr>
            <a:solidFill>
              <a:srgbClr val="6D2077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Budget'!$K$88:$R$88</c:f>
              <c:strCache>
                <c:ptCount val="8"/>
                <c:pt idx="0">
                  <c:v>COGS</c:v>
                </c:pt>
                <c:pt idx="1">
                  <c:v>R&amp;D 
costs</c:v>
                </c:pt>
                <c:pt idx="2">
                  <c:v>Selling
expenses</c:v>
                </c:pt>
                <c:pt idx="3">
                  <c:v>G&amp;A
expenses</c:v>
                </c:pt>
                <c:pt idx="4">
                  <c:v>Other 
operating 
expenses</c:v>
                </c:pt>
                <c:pt idx="5">
                  <c:v>Depreciation</c:v>
                </c:pt>
                <c:pt idx="6">
                  <c:v>EBITDA</c:v>
                </c:pt>
                <c:pt idx="7">
                  <c:v>EBIT</c:v>
                </c:pt>
              </c:strCache>
            </c:strRef>
          </c:cat>
          <c:val>
            <c:numRef>
              <c:f>'03_FC vs. Budget'!$K$92:$R$92</c:f>
              <c:numCache>
                <c:formatCode>#,##0</c:formatCode>
                <c:ptCount val="8"/>
                <c:pt idx="0">
                  <c:v>30.1</c:v>
                </c:pt>
                <c:pt idx="1">
                  <c:v>0</c:v>
                </c:pt>
                <c:pt idx="2">
                  <c:v>9.3000000000000007</c:v>
                </c:pt>
                <c:pt idx="3">
                  <c:v>3.2</c:v>
                </c:pt>
                <c:pt idx="4">
                  <c:v>8.1999999999999993</c:v>
                </c:pt>
                <c:pt idx="5">
                  <c:v>5</c:v>
                </c:pt>
                <c:pt idx="6">
                  <c:v>14.2</c:v>
                </c:pt>
                <c:pt idx="7">
                  <c:v>9.1999999999999993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435516448"/>
        <c:axId val="435519584"/>
      </c:barChart>
      <c:catAx>
        <c:axId val="435516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>
                <a:solidFill>
                  <a:srgbClr val="000000"/>
                </a:solidFill>
              </a:defRPr>
            </a:pPr>
            <a:endParaRPr lang="en-US"/>
          </a:p>
        </c:txPr>
        <c:crossAx val="435519584"/>
        <c:crosses val="autoZero"/>
        <c:auto val="1"/>
        <c:lblAlgn val="ctr"/>
        <c:lblOffset val="100"/>
        <c:tickLblSkip val="1"/>
        <c:noMultiLvlLbl val="0"/>
      </c:catAx>
      <c:valAx>
        <c:axId val="435519584"/>
        <c:scaling>
          <c:orientation val="minMax"/>
        </c:scaling>
        <c:delete val="0"/>
        <c:axPos val="l"/>
        <c:title>
          <c:tx>
            <c:strRef>
              <c:f>'03_FC vs. Budget'!$A$89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3.7682455836465262E-2"/>
              <c:y val="0.33806788712123115"/>
            </c:manualLayout>
          </c:layout>
          <c:overlay val="0"/>
          <c:txPr>
            <a:bodyPr rot="-5400000" vert="horz"/>
            <a:lstStyle/>
            <a:p>
              <a:pPr>
                <a:defRPr sz="700"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700">
                <a:solidFill>
                  <a:srgbClr val="000000"/>
                </a:solidFill>
              </a:defRPr>
            </a:pPr>
            <a:endParaRPr lang="en-US"/>
          </a:p>
        </c:txPr>
        <c:crossAx val="4355164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5890745886897221"/>
          <c:y val="0.70392882658096578"/>
          <c:w val="0.58517299069926509"/>
          <c:h val="7.697715864017444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00"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34836626898611"/>
          <c:y val="0.15262679564819379"/>
          <c:w val="0.56975365751349205"/>
          <c:h val="0.444468772739008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'03_FC vs. Budget'!$A$127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strRef>
              <c:f>'03_FC vs. Budget'!$B$126:$G$126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'03_FC vs. Budget'!$B$127:$G$127</c:f>
              <c:numCache>
                <c:formatCode>#,##0.0</c:formatCode>
                <c:ptCount val="6"/>
                <c:pt idx="0">
                  <c:v>3.8</c:v>
                </c:pt>
                <c:pt idx="1">
                  <c:v>3.7</c:v>
                </c:pt>
                <c:pt idx="2">
                  <c:v>4.2</c:v>
                </c:pt>
                <c:pt idx="3">
                  <c:v>7.8</c:v>
                </c:pt>
                <c:pt idx="4">
                  <c:v>5.6</c:v>
                </c:pt>
                <c:pt idx="5">
                  <c:v>5</c:v>
                </c:pt>
              </c:numCache>
            </c:numRef>
          </c:val>
        </c:ser>
        <c:ser>
          <c:idx val="1"/>
          <c:order val="1"/>
          <c:tx>
            <c:strRef>
              <c:f>'03_FC vs. Budget'!$A$128</c:f>
              <c:strCache>
                <c:ptCount val="1"/>
                <c:pt idx="0">
                  <c:v>Gross profit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strRef>
              <c:f>'03_FC vs. Budget'!$B$126:$G$126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'03_FC vs. Budget'!$B$128:$G$128</c:f>
              <c:numCache>
                <c:formatCode>#,##0.0</c:formatCode>
                <c:ptCount val="6"/>
                <c:pt idx="0">
                  <c:v>1.9</c:v>
                </c:pt>
                <c:pt idx="1">
                  <c:v>2</c:v>
                </c:pt>
                <c:pt idx="2">
                  <c:v>2.1</c:v>
                </c:pt>
                <c:pt idx="3">
                  <c:v>4.0999999999999996</c:v>
                </c:pt>
                <c:pt idx="4">
                  <c:v>3</c:v>
                </c:pt>
                <c:pt idx="5">
                  <c:v>2.7</c:v>
                </c:pt>
              </c:numCache>
            </c:numRef>
          </c:val>
        </c:ser>
        <c:ser>
          <c:idx val="2"/>
          <c:order val="2"/>
          <c:tx>
            <c:strRef>
              <c:f>'03_FC vs. Budget'!$A$130</c:f>
              <c:strCache>
                <c:ptCount val="1"/>
                <c:pt idx="0">
                  <c:v>EBIT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strRef>
              <c:f>'03_FC vs. Budget'!$B$126:$G$126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'03_FC vs. Budget'!$B$130:$G$130</c:f>
              <c:numCache>
                <c:formatCode>#,##0.0</c:formatCode>
                <c:ptCount val="6"/>
                <c:pt idx="0">
                  <c:v>0.5</c:v>
                </c:pt>
                <c:pt idx="1">
                  <c:v>0.5</c:v>
                </c:pt>
                <c:pt idx="2">
                  <c:v>0.6</c:v>
                </c:pt>
                <c:pt idx="3">
                  <c:v>2</c:v>
                </c:pt>
                <c:pt idx="4">
                  <c:v>0.6</c:v>
                </c:pt>
                <c:pt idx="5">
                  <c:v>0.5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433259312"/>
        <c:axId val="433255784"/>
      </c:barChart>
      <c:lineChart>
        <c:grouping val="standard"/>
        <c:varyColors val="0"/>
        <c:ser>
          <c:idx val="3"/>
          <c:order val="3"/>
          <c:tx>
            <c:strRef>
              <c:f>'03_FC vs. Budget'!$A$129</c:f>
              <c:strCache>
                <c:ptCount val="1"/>
                <c:pt idx="0">
                  <c:v>Gross profit margin</c:v>
                </c:pt>
              </c:strCache>
            </c:strRef>
          </c:tx>
          <c:spPr>
            <a:ln w="12700">
              <a:solidFill>
                <a:schemeClr val="accent1"/>
              </a:solidFill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'03_FC vs. Budget'!$B$129:$G$129</c:f>
              <c:numCache>
                <c:formatCode>0.0%</c:formatCode>
                <c:ptCount val="6"/>
                <c:pt idx="0">
                  <c:v>0.5</c:v>
                </c:pt>
                <c:pt idx="1">
                  <c:v>0.54054054054054046</c:v>
                </c:pt>
                <c:pt idx="2">
                  <c:v>0.5</c:v>
                </c:pt>
                <c:pt idx="3">
                  <c:v>0.52564102564102566</c:v>
                </c:pt>
                <c:pt idx="4">
                  <c:v>0.5357142857142857</c:v>
                </c:pt>
                <c:pt idx="5">
                  <c:v>0.54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'03_FC vs. Budget'!$A$131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solidFill>
                <a:schemeClr val="accent2"/>
              </a:solidFill>
            </a:ln>
          </c:spPr>
          <c:marker>
            <c:symbol val="diamond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'03_FC vs. Budget'!$B$131:$G$131</c:f>
              <c:numCache>
                <c:formatCode>0.0%</c:formatCode>
                <c:ptCount val="6"/>
                <c:pt idx="0">
                  <c:v>0.13157894736842105</c:v>
                </c:pt>
                <c:pt idx="1">
                  <c:v>0.13513513513513511</c:v>
                </c:pt>
                <c:pt idx="2">
                  <c:v>0.14285714285714285</c:v>
                </c:pt>
                <c:pt idx="3">
                  <c:v>0.25641025641025644</c:v>
                </c:pt>
                <c:pt idx="4">
                  <c:v>0.10714285714285715</c:v>
                </c:pt>
                <c:pt idx="5">
                  <c:v>0.1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3256568"/>
        <c:axId val="433259704"/>
      </c:lineChart>
      <c:catAx>
        <c:axId val="433259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255784"/>
        <c:crosses val="autoZero"/>
        <c:auto val="1"/>
        <c:lblAlgn val="ctr"/>
        <c:lblOffset val="100"/>
        <c:noMultiLvlLbl val="0"/>
      </c:catAx>
      <c:valAx>
        <c:axId val="433255784"/>
        <c:scaling>
          <c:orientation val="minMax"/>
        </c:scaling>
        <c:delete val="0"/>
        <c:axPos val="l"/>
        <c:title>
          <c:tx>
            <c:strRef>
              <c:f>'03_FC vs. Budget'!$A$126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3201156048675760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259312"/>
        <c:crosses val="autoZero"/>
        <c:crossBetween val="between"/>
      </c:valAx>
      <c:valAx>
        <c:axId val="433259704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33256568"/>
        <c:crosses val="max"/>
        <c:crossBetween val="between"/>
      </c:valAx>
      <c:catAx>
        <c:axId val="433256568"/>
        <c:scaling>
          <c:orientation val="minMax"/>
        </c:scaling>
        <c:delete val="1"/>
        <c:axPos val="b"/>
        <c:majorTickMark val="out"/>
        <c:minorTickMark val="none"/>
        <c:tickLblPos val="none"/>
        <c:crossAx val="433259704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9.7636815220281642E-2"/>
          <c:y val="0.69090901755744905"/>
          <c:w val="0.60222857142858133"/>
          <c:h val="0.1372326413743737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94510686164229"/>
          <c:y val="0.15212491052254831"/>
          <c:w val="0.64205489313835773"/>
          <c:h val="0.446685755189692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'03_FC vs. Budget'!$J$45</c:f>
              <c:strCache>
                <c:ptCount val="1"/>
                <c:pt idx="0">
                  <c:v>Actual 2012</c:v>
                </c:pt>
              </c:strCache>
            </c:strRef>
          </c:tx>
          <c:spPr>
            <a:solidFill>
              <a:srgbClr val="00338D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Budget'!$K$44:$M$44</c:f>
              <c:strCache>
                <c:ptCount val="3"/>
                <c:pt idx="0">
                  <c:v>Sales</c:v>
                </c:pt>
                <c:pt idx="1">
                  <c:v>Gross profit</c:v>
                </c:pt>
                <c:pt idx="2">
                  <c:v>EBITDA</c:v>
                </c:pt>
              </c:strCache>
            </c:strRef>
          </c:cat>
          <c:val>
            <c:numRef>
              <c:f>'03_FC vs. Budget'!$K$45:$M$45</c:f>
              <c:numCache>
                <c:formatCode>#,##0</c:formatCode>
                <c:ptCount val="3"/>
                <c:pt idx="0">
                  <c:v>56</c:v>
                </c:pt>
                <c:pt idx="1">
                  <c:v>28</c:v>
                </c:pt>
                <c:pt idx="2">
                  <c:v>13.5</c:v>
                </c:pt>
              </c:numCache>
            </c:numRef>
          </c:val>
        </c:ser>
        <c:ser>
          <c:idx val="2"/>
          <c:order val="1"/>
          <c:tx>
            <c:strRef>
              <c:f>'03_FC vs. Budget'!$J$46</c:f>
              <c:strCache>
                <c:ptCount val="1"/>
                <c:pt idx="0">
                  <c:v>Budget 2013</c:v>
                </c:pt>
              </c:strCache>
            </c:strRef>
          </c:tx>
          <c:spPr>
            <a:solidFill>
              <a:srgbClr val="0091DA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Budget'!$K$44:$M$44</c:f>
              <c:strCache>
                <c:ptCount val="3"/>
                <c:pt idx="0">
                  <c:v>Sales</c:v>
                </c:pt>
                <c:pt idx="1">
                  <c:v>Gross profit</c:v>
                </c:pt>
                <c:pt idx="2">
                  <c:v>EBITDA</c:v>
                </c:pt>
              </c:strCache>
            </c:strRef>
          </c:cat>
          <c:val>
            <c:numRef>
              <c:f>'03_FC vs. Budget'!$K$46:$M$46</c:f>
              <c:numCache>
                <c:formatCode>#,##0</c:formatCode>
                <c:ptCount val="3"/>
                <c:pt idx="0">
                  <c:v>59</c:v>
                </c:pt>
                <c:pt idx="1">
                  <c:v>30</c:v>
                </c:pt>
                <c:pt idx="2">
                  <c:v>15</c:v>
                </c:pt>
              </c:numCache>
            </c:numRef>
          </c:val>
        </c:ser>
        <c:ser>
          <c:idx val="1"/>
          <c:order val="2"/>
          <c:tx>
            <c:strRef>
              <c:f>'03_FC vs. Budget'!$J$47</c:f>
              <c:strCache>
                <c:ptCount val="1"/>
                <c:pt idx="0">
                  <c:v>FC 2013</c:v>
                </c:pt>
              </c:strCache>
            </c:strRef>
          </c:tx>
          <c:spPr>
            <a:solidFill>
              <a:srgbClr val="6D2077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Budget'!$K$44:$M$44</c:f>
              <c:strCache>
                <c:ptCount val="3"/>
                <c:pt idx="0">
                  <c:v>Sales</c:v>
                </c:pt>
                <c:pt idx="1">
                  <c:v>Gross profit</c:v>
                </c:pt>
                <c:pt idx="2">
                  <c:v>EBITDA</c:v>
                </c:pt>
              </c:strCache>
            </c:strRef>
          </c:cat>
          <c:val>
            <c:numRef>
              <c:f>'03_FC vs. Budget'!$K$47:$M$47</c:f>
              <c:numCache>
                <c:formatCode>#,##0</c:formatCode>
                <c:ptCount val="3"/>
                <c:pt idx="0">
                  <c:v>60</c:v>
                </c:pt>
                <c:pt idx="1">
                  <c:v>31.299999999999997</c:v>
                </c:pt>
                <c:pt idx="2">
                  <c:v>14.4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433258528"/>
        <c:axId val="433261272"/>
      </c:barChart>
      <c:catAx>
        <c:axId val="433258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261272"/>
        <c:crosses val="autoZero"/>
        <c:auto val="1"/>
        <c:lblAlgn val="ctr"/>
        <c:lblOffset val="100"/>
        <c:noMultiLvlLbl val="0"/>
      </c:catAx>
      <c:valAx>
        <c:axId val="4332612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en-US"/>
                  <a:t>€m</a:t>
                </a:r>
              </a:p>
            </c:rich>
          </c:tx>
          <c:layout>
            <c:manualLayout>
              <c:xMode val="edge"/>
              <c:yMode val="edge"/>
              <c:x val="2.5714285714285714E-2"/>
              <c:y val="0.33656979241231211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25852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7579167604049495"/>
          <c:y val="0.69090909090909092"/>
          <c:w val="0.48841664791901013"/>
          <c:h val="6.7479957050823186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25400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06221125334916"/>
          <c:y val="0.19253311598813572"/>
          <c:w val="0.82997163848928612"/>
          <c:h val="0.382413813210001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'03_FC vs. Budget'!$J$178</c:f>
              <c:strCache>
                <c:ptCount val="1"/>
                <c:pt idx="0">
                  <c:v>Actual 2012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Budget'!$K$171:$P$171</c:f>
              <c:strCache>
                <c:ptCount val="6"/>
                <c:pt idx="0">
                  <c:v>Cost of 
material</c:v>
                </c:pt>
                <c:pt idx="1">
                  <c:v>Personnel
expenses</c:v>
                </c:pt>
                <c:pt idx="2">
                  <c:v>Other 
operating 
result</c:v>
                </c:pt>
                <c:pt idx="3">
                  <c:v>Depreciation</c:v>
                </c:pt>
                <c:pt idx="4">
                  <c:v>EBITDA</c:v>
                </c:pt>
                <c:pt idx="5">
                  <c:v>EBIT</c:v>
                </c:pt>
              </c:strCache>
            </c:strRef>
          </c:cat>
          <c:val>
            <c:numRef>
              <c:f>'03_FC vs. Budget'!$K$178:$P$178</c:f>
              <c:numCache>
                <c:formatCode>0%</c:formatCode>
                <c:ptCount val="6"/>
                <c:pt idx="0">
                  <c:v>0.4017857142857143</c:v>
                </c:pt>
                <c:pt idx="1">
                  <c:v>0.30357142857142855</c:v>
                </c:pt>
                <c:pt idx="2">
                  <c:v>5.3571428571428568E-2</c:v>
                </c:pt>
                <c:pt idx="3">
                  <c:v>8.9285714285714288E-2</c:v>
                </c:pt>
                <c:pt idx="4">
                  <c:v>0.3482142857142857</c:v>
                </c:pt>
                <c:pt idx="5">
                  <c:v>0.25892857142857145</c:v>
                </c:pt>
              </c:numCache>
            </c:numRef>
          </c:val>
        </c:ser>
        <c:ser>
          <c:idx val="2"/>
          <c:order val="1"/>
          <c:tx>
            <c:strRef>
              <c:f>'03_FC vs. Budget'!$J$179</c:f>
              <c:strCache>
                <c:ptCount val="1"/>
                <c:pt idx="0">
                  <c:v>Budget 2013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Budget'!$K$171:$P$171</c:f>
              <c:strCache>
                <c:ptCount val="6"/>
                <c:pt idx="0">
                  <c:v>Cost of 
material</c:v>
                </c:pt>
                <c:pt idx="1">
                  <c:v>Personnel
expenses</c:v>
                </c:pt>
                <c:pt idx="2">
                  <c:v>Other 
operating 
result</c:v>
                </c:pt>
                <c:pt idx="3">
                  <c:v>Depreciation</c:v>
                </c:pt>
                <c:pt idx="4">
                  <c:v>EBITDA</c:v>
                </c:pt>
                <c:pt idx="5">
                  <c:v>EBIT</c:v>
                </c:pt>
              </c:strCache>
            </c:strRef>
          </c:cat>
          <c:val>
            <c:numRef>
              <c:f>'03_FC vs. Budget'!$K$179:$P$179</c:f>
              <c:numCache>
                <c:formatCode>0%</c:formatCode>
                <c:ptCount val="6"/>
                <c:pt idx="0">
                  <c:v>0.38983050847457629</c:v>
                </c:pt>
                <c:pt idx="1">
                  <c:v>0.30508474576271188</c:v>
                </c:pt>
                <c:pt idx="2">
                  <c:v>5.0847457627118647E-2</c:v>
                </c:pt>
                <c:pt idx="3">
                  <c:v>8.4745762711864403E-2</c:v>
                </c:pt>
                <c:pt idx="4">
                  <c:v>0.3559322033898305</c:v>
                </c:pt>
                <c:pt idx="5">
                  <c:v>0.2711864406779661</c:v>
                </c:pt>
              </c:numCache>
            </c:numRef>
          </c:val>
        </c:ser>
        <c:ser>
          <c:idx val="1"/>
          <c:order val="2"/>
          <c:tx>
            <c:strRef>
              <c:f>'03_FC vs. Budget'!$J$180</c:f>
              <c:strCache>
                <c:ptCount val="1"/>
                <c:pt idx="0">
                  <c:v>FC 2013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Budget'!$K$171:$P$171</c:f>
              <c:strCache>
                <c:ptCount val="6"/>
                <c:pt idx="0">
                  <c:v>Cost of 
material</c:v>
                </c:pt>
                <c:pt idx="1">
                  <c:v>Personnel
expenses</c:v>
                </c:pt>
                <c:pt idx="2">
                  <c:v>Other 
operating 
result</c:v>
                </c:pt>
                <c:pt idx="3">
                  <c:v>Depreciation</c:v>
                </c:pt>
                <c:pt idx="4">
                  <c:v>EBITDA</c:v>
                </c:pt>
                <c:pt idx="5">
                  <c:v>EBIT</c:v>
                </c:pt>
              </c:strCache>
            </c:strRef>
          </c:cat>
          <c:val>
            <c:numRef>
              <c:f>'03_FC vs. Budget'!$K$180:$P$180</c:f>
              <c:numCache>
                <c:formatCode>0%</c:formatCode>
                <c:ptCount val="6"/>
                <c:pt idx="0">
                  <c:v>0.38983050847457629</c:v>
                </c:pt>
                <c:pt idx="1">
                  <c:v>0.30508474576271188</c:v>
                </c:pt>
                <c:pt idx="2">
                  <c:v>5.0847457627118647E-2</c:v>
                </c:pt>
                <c:pt idx="3">
                  <c:v>8.4745762711864403E-2</c:v>
                </c:pt>
                <c:pt idx="4">
                  <c:v>0.3559322033898305</c:v>
                </c:pt>
                <c:pt idx="5">
                  <c:v>0.2711864406779661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433260096"/>
        <c:axId val="433258920"/>
      </c:barChart>
      <c:catAx>
        <c:axId val="433260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258920"/>
        <c:crosses val="autoZero"/>
        <c:auto val="1"/>
        <c:lblAlgn val="ctr"/>
        <c:lblOffset val="100"/>
        <c:noMultiLvlLbl val="0"/>
      </c:catAx>
      <c:valAx>
        <c:axId val="433258920"/>
        <c:scaling>
          <c:orientation val="minMax"/>
          <c:max val="0.60000000000000064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de-DE"/>
                  <a:t>in % of</a:t>
                </a:r>
                <a:r>
                  <a:rPr lang="de-DE" baseline="0"/>
                  <a:t> </a:t>
                </a:r>
                <a:r>
                  <a:rPr lang="de-DE"/>
                  <a:t>sales</a:t>
                </a:r>
              </a:p>
            </c:rich>
          </c:tx>
          <c:layout>
            <c:manualLayout>
              <c:xMode val="edge"/>
              <c:yMode val="edge"/>
              <c:x val="4.2287021316649444E-2"/>
              <c:y val="0.22013345712782709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26009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3188970158603015"/>
          <c:y val="0.72373068976504173"/>
          <c:w val="0.43034794117450087"/>
          <c:h val="7.697715864017444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06221125334916"/>
          <c:y val="0.18032667136983219"/>
          <c:w val="0.82997163848928657"/>
          <c:h val="0.394620257828304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'03_FC vs. Budget'!$J$173</c:f>
              <c:strCache>
                <c:ptCount val="1"/>
                <c:pt idx="0">
                  <c:v>Actual 2012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Budget'!$K$171:$P$171</c:f>
              <c:strCache>
                <c:ptCount val="6"/>
                <c:pt idx="0">
                  <c:v>Cost of 
material</c:v>
                </c:pt>
                <c:pt idx="1">
                  <c:v>Personnel
expenses</c:v>
                </c:pt>
                <c:pt idx="2">
                  <c:v>Other 
operating 
result</c:v>
                </c:pt>
                <c:pt idx="3">
                  <c:v>Depreciation</c:v>
                </c:pt>
                <c:pt idx="4">
                  <c:v>EBITDA</c:v>
                </c:pt>
                <c:pt idx="5">
                  <c:v>EBIT</c:v>
                </c:pt>
              </c:strCache>
            </c:strRef>
          </c:cat>
          <c:val>
            <c:numRef>
              <c:f>'03_FC vs. Budget'!$K$173:$P$173</c:f>
              <c:numCache>
                <c:formatCode>#,##0.0</c:formatCode>
                <c:ptCount val="6"/>
                <c:pt idx="0">
                  <c:v>22.5</c:v>
                </c:pt>
                <c:pt idx="1">
                  <c:v>17</c:v>
                </c:pt>
                <c:pt idx="2">
                  <c:v>3</c:v>
                </c:pt>
                <c:pt idx="3">
                  <c:v>5</c:v>
                </c:pt>
                <c:pt idx="4">
                  <c:v>19.5</c:v>
                </c:pt>
                <c:pt idx="5">
                  <c:v>14.5</c:v>
                </c:pt>
              </c:numCache>
            </c:numRef>
          </c:val>
        </c:ser>
        <c:ser>
          <c:idx val="2"/>
          <c:order val="1"/>
          <c:tx>
            <c:strRef>
              <c:f>'03_FC vs. Budget'!$J$174</c:f>
              <c:strCache>
                <c:ptCount val="1"/>
                <c:pt idx="0">
                  <c:v>Budget 2013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Budget'!$K$171:$P$171</c:f>
              <c:strCache>
                <c:ptCount val="6"/>
                <c:pt idx="0">
                  <c:v>Cost of 
material</c:v>
                </c:pt>
                <c:pt idx="1">
                  <c:v>Personnel
expenses</c:v>
                </c:pt>
                <c:pt idx="2">
                  <c:v>Other 
operating 
result</c:v>
                </c:pt>
                <c:pt idx="3">
                  <c:v>Depreciation</c:v>
                </c:pt>
                <c:pt idx="4">
                  <c:v>EBITDA</c:v>
                </c:pt>
                <c:pt idx="5">
                  <c:v>EBIT</c:v>
                </c:pt>
              </c:strCache>
            </c:strRef>
          </c:cat>
          <c:val>
            <c:numRef>
              <c:f>'03_FC vs. Budget'!$K$174:$P$174</c:f>
              <c:numCache>
                <c:formatCode>#,##0.0</c:formatCode>
                <c:ptCount val="6"/>
                <c:pt idx="0">
                  <c:v>23</c:v>
                </c:pt>
                <c:pt idx="1">
                  <c:v>18</c:v>
                </c:pt>
                <c:pt idx="2">
                  <c:v>3</c:v>
                </c:pt>
                <c:pt idx="3">
                  <c:v>5</c:v>
                </c:pt>
                <c:pt idx="4">
                  <c:v>21</c:v>
                </c:pt>
                <c:pt idx="5">
                  <c:v>16</c:v>
                </c:pt>
              </c:numCache>
            </c:numRef>
          </c:val>
        </c:ser>
        <c:ser>
          <c:idx val="1"/>
          <c:order val="2"/>
          <c:tx>
            <c:strRef>
              <c:f>'03_FC vs. Budget'!$J$175</c:f>
              <c:strCache>
                <c:ptCount val="1"/>
                <c:pt idx="0">
                  <c:v>FC 2013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Budget'!$K$171:$P$171</c:f>
              <c:strCache>
                <c:ptCount val="6"/>
                <c:pt idx="0">
                  <c:v>Cost of 
material</c:v>
                </c:pt>
                <c:pt idx="1">
                  <c:v>Personnel
expenses</c:v>
                </c:pt>
                <c:pt idx="2">
                  <c:v>Other 
operating 
result</c:v>
                </c:pt>
                <c:pt idx="3">
                  <c:v>Depreciation</c:v>
                </c:pt>
                <c:pt idx="4">
                  <c:v>EBITDA</c:v>
                </c:pt>
                <c:pt idx="5">
                  <c:v>EBIT</c:v>
                </c:pt>
              </c:strCache>
            </c:strRef>
          </c:cat>
          <c:val>
            <c:numRef>
              <c:f>'03_FC vs. Budget'!$K$175:$P$175</c:f>
              <c:numCache>
                <c:formatCode>#,##0.0</c:formatCode>
                <c:ptCount val="6"/>
                <c:pt idx="0">
                  <c:v>23.389830508474578</c:v>
                </c:pt>
                <c:pt idx="1">
                  <c:v>18.305084745762713</c:v>
                </c:pt>
                <c:pt idx="2">
                  <c:v>3.050847457627119</c:v>
                </c:pt>
                <c:pt idx="3">
                  <c:v>5.0847457627118642</c:v>
                </c:pt>
                <c:pt idx="4">
                  <c:v>21.35593220338983</c:v>
                </c:pt>
                <c:pt idx="5">
                  <c:v>16.271186440677965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433257352"/>
        <c:axId val="433260488"/>
      </c:barChart>
      <c:catAx>
        <c:axId val="433257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260488"/>
        <c:crosses val="autoZero"/>
        <c:auto val="1"/>
        <c:lblAlgn val="ctr"/>
        <c:lblOffset val="100"/>
        <c:noMultiLvlLbl val="0"/>
      </c:catAx>
      <c:valAx>
        <c:axId val="433260488"/>
        <c:scaling>
          <c:orientation val="minMax"/>
        </c:scaling>
        <c:delete val="0"/>
        <c:axPos val="l"/>
        <c:title>
          <c:tx>
            <c:strRef>
              <c:f>'03_FC vs. Budget'!$J$172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4.9021664871056449E-2"/>
              <c:y val="0.34219790331086286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25735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7458753193301166"/>
          <c:y val="0.73190074936544347"/>
          <c:w val="0.43034794117450104"/>
          <c:h val="7.697715864017444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52370870695477"/>
          <c:y val="0.15316598935682088"/>
          <c:w val="0.54512861391970135"/>
          <c:h val="0.44294308952006978"/>
        </c:manualLayout>
      </c:layout>
      <c:barChart>
        <c:barDir val="col"/>
        <c:grouping val="clustered"/>
        <c:varyColors val="0"/>
        <c:ser>
          <c:idx val="0"/>
          <c:order val="1"/>
          <c:tx>
            <c:strRef>
              <c:f>'04_Cost split up_small'!$A$81</c:f>
              <c:strCache>
                <c:ptCount val="1"/>
                <c:pt idx="0">
                  <c:v>Depreciation</c:v>
                </c:pt>
              </c:strCache>
            </c:strRef>
          </c:tx>
          <c:spPr>
            <a:solidFill>
              <a:srgbClr val="00338D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numRef>
              <c:f>'04_Cost split up_small'!$B$78:$G$78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'04_Cost split up_small'!$B$109:$G$109</c:f>
              <c:numCache>
                <c:formatCode>#,##0.0;\-#,##0.0;\-;@</c:formatCode>
                <c:ptCount val="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</c:ser>
        <c:ser>
          <c:idx val="1"/>
          <c:order val="2"/>
          <c:tx>
            <c:strRef>
              <c:f>'04_Cost split up_small'!$A$83</c:f>
              <c:strCache>
                <c:ptCount val="1"/>
                <c:pt idx="0">
                  <c:v>Investments</c:v>
                </c:pt>
              </c:strCache>
            </c:strRef>
          </c:tx>
          <c:spPr>
            <a:solidFill>
              <a:srgbClr val="0091DA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numRef>
              <c:f>'04_Cost split up_small'!$B$78:$G$78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'04_Cost split up_small'!$B$107:$G$107</c:f>
              <c:numCache>
                <c:formatCode>#,##0.0;\-#,##0.0;\-;@</c:formatCode>
                <c:ptCount val="6"/>
                <c:pt idx="0">
                  <c:v>3</c:v>
                </c:pt>
                <c:pt idx="1">
                  <c:v>4</c:v>
                </c:pt>
                <c:pt idx="2">
                  <c:v>4.5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433261664"/>
        <c:axId val="433262056"/>
      </c:barChart>
      <c:lineChart>
        <c:grouping val="standard"/>
        <c:varyColors val="0"/>
        <c:ser>
          <c:idx val="3"/>
          <c:order val="0"/>
          <c:tx>
            <c:strRef>
              <c:f>'04_Cost split up_small'!$A$82</c:f>
              <c:strCache>
                <c:ptCount val="1"/>
                <c:pt idx="0">
                  <c:v>Depreciation ratio</c:v>
                </c:pt>
              </c:strCache>
            </c:strRef>
          </c:tx>
          <c:spPr>
            <a:ln w="12700">
              <a:solidFill>
                <a:schemeClr val="tx2"/>
              </a:solidFill>
            </a:ln>
          </c:spPr>
          <c:marker>
            <c:symbol val="diamond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val>
            <c:numRef>
              <c:f>'04_Cost split up_small'!$B$82:$G$82</c:f>
              <c:numCache>
                <c:formatCode>0.0%</c:formatCode>
                <c:ptCount val="6"/>
                <c:pt idx="0">
                  <c:v>0.1</c:v>
                </c:pt>
                <c:pt idx="1">
                  <c:v>9.2592592592592587E-2</c:v>
                </c:pt>
                <c:pt idx="2">
                  <c:v>8.9285714285714288E-2</c:v>
                </c:pt>
                <c:pt idx="3">
                  <c:v>8.4745762711864403E-2</c:v>
                </c:pt>
                <c:pt idx="4">
                  <c:v>8.1967213114754092E-2</c:v>
                </c:pt>
                <c:pt idx="5">
                  <c:v>7.4626865671641784E-2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'04_Cost split up_small'!$A$84</c:f>
              <c:strCache>
                <c:ptCount val="1"/>
                <c:pt idx="0">
                  <c:v>Investments ratio</c:v>
                </c:pt>
              </c:strCache>
            </c:strRef>
          </c:tx>
          <c:spPr>
            <a:ln w="12700">
              <a:solidFill>
                <a:schemeClr val="accent1"/>
              </a:solidFill>
            </a:ln>
          </c:spPr>
          <c:marker>
            <c:symbol val="triang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'04_Cost split up_small'!$B$84:$G$84</c:f>
              <c:numCache>
                <c:formatCode>0.0%</c:formatCode>
                <c:ptCount val="6"/>
                <c:pt idx="0">
                  <c:v>0.06</c:v>
                </c:pt>
                <c:pt idx="1">
                  <c:v>7.407407407407407E-2</c:v>
                </c:pt>
                <c:pt idx="2">
                  <c:v>8.0357142857142863E-2</c:v>
                </c:pt>
                <c:pt idx="3">
                  <c:v>0.13559322033898305</c:v>
                </c:pt>
                <c:pt idx="4">
                  <c:v>0.14754098360655737</c:v>
                </c:pt>
                <c:pt idx="5">
                  <c:v>0.14925373134328357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3255392"/>
        <c:axId val="433255000"/>
      </c:lineChart>
      <c:catAx>
        <c:axId val="433261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262056"/>
        <c:crosses val="autoZero"/>
        <c:auto val="1"/>
        <c:lblAlgn val="ctr"/>
        <c:lblOffset val="100"/>
        <c:noMultiLvlLbl val="0"/>
      </c:catAx>
      <c:valAx>
        <c:axId val="433262056"/>
        <c:scaling>
          <c:orientation val="minMax"/>
        </c:scaling>
        <c:delete val="0"/>
        <c:axPos val="l"/>
        <c:title>
          <c:tx>
            <c:strRef>
              <c:f>'04_Cost split up_small'!$A$79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32011560486757662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261664"/>
        <c:crosses val="autoZero"/>
        <c:crossBetween val="between"/>
      </c:valAx>
      <c:valAx>
        <c:axId val="433255000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33255392"/>
        <c:crosses val="max"/>
        <c:crossBetween val="between"/>
      </c:valAx>
      <c:catAx>
        <c:axId val="433255392"/>
        <c:scaling>
          <c:orientation val="minMax"/>
        </c:scaling>
        <c:delete val="1"/>
        <c:axPos val="b"/>
        <c:majorTickMark val="out"/>
        <c:minorTickMark val="none"/>
        <c:tickLblPos val="none"/>
        <c:crossAx val="433255000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1.8475765089996508E-2"/>
          <c:y val="0.71703041839249382"/>
          <c:w val="0.72898612881281954"/>
          <c:h val="8.6496306707196227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52370870695477"/>
          <c:y val="0.15316598935682088"/>
          <c:w val="0.54512861391970135"/>
          <c:h val="0.44294308952006978"/>
        </c:manualLayout>
      </c:layout>
      <c:barChart>
        <c:barDir val="col"/>
        <c:grouping val="clustered"/>
        <c:varyColors val="0"/>
        <c:ser>
          <c:idx val="0"/>
          <c:order val="1"/>
          <c:tx>
            <c:strRef>
              <c:f>'04_Cost split up_small'!$A$81</c:f>
              <c:strCache>
                <c:ptCount val="1"/>
                <c:pt idx="0">
                  <c:v>Depreciation</c:v>
                </c:pt>
              </c:strCache>
            </c:strRef>
          </c:tx>
          <c:spPr>
            <a:solidFill>
              <a:srgbClr val="00338D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numRef>
              <c:f>'04_Cost split up_small'!$B$78:$G$78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'04_Cost split up_small'!$B$109:$G$109</c:f>
              <c:numCache>
                <c:formatCode>#,##0.0;\-#,##0.0;\-;@</c:formatCode>
                <c:ptCount val="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</c:ser>
        <c:ser>
          <c:idx val="1"/>
          <c:order val="2"/>
          <c:tx>
            <c:strRef>
              <c:f>'04_Cost split up_small'!$A$83</c:f>
              <c:strCache>
                <c:ptCount val="1"/>
                <c:pt idx="0">
                  <c:v>Investments</c:v>
                </c:pt>
              </c:strCache>
            </c:strRef>
          </c:tx>
          <c:spPr>
            <a:solidFill>
              <a:srgbClr val="0091DA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numRef>
              <c:f>'04_Cost split up_small'!$B$78:$G$78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'04_Cost split up_small'!$B$107:$G$107</c:f>
              <c:numCache>
                <c:formatCode>#,##0.0;\-#,##0.0;\-;@</c:formatCode>
                <c:ptCount val="6"/>
                <c:pt idx="0">
                  <c:v>3</c:v>
                </c:pt>
                <c:pt idx="1">
                  <c:v>4</c:v>
                </c:pt>
                <c:pt idx="2">
                  <c:v>4.5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433234224"/>
        <c:axId val="433239712"/>
      </c:barChart>
      <c:lineChart>
        <c:grouping val="standard"/>
        <c:varyColors val="0"/>
        <c:ser>
          <c:idx val="3"/>
          <c:order val="0"/>
          <c:tx>
            <c:strRef>
              <c:f>'04_Cost split up_small'!$A$82</c:f>
              <c:strCache>
                <c:ptCount val="1"/>
                <c:pt idx="0">
                  <c:v>Depreciation ratio</c:v>
                </c:pt>
              </c:strCache>
            </c:strRef>
          </c:tx>
          <c:spPr>
            <a:ln w="12700">
              <a:solidFill>
                <a:schemeClr val="tx2"/>
              </a:solidFill>
            </a:ln>
          </c:spPr>
          <c:marker>
            <c:symbol val="diamond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val>
            <c:numRef>
              <c:f>'04_Cost split up_small'!$B$82:$G$82</c:f>
              <c:numCache>
                <c:formatCode>0.0%</c:formatCode>
                <c:ptCount val="6"/>
                <c:pt idx="0">
                  <c:v>0.1</c:v>
                </c:pt>
                <c:pt idx="1">
                  <c:v>9.2592592592592587E-2</c:v>
                </c:pt>
                <c:pt idx="2">
                  <c:v>8.9285714285714288E-2</c:v>
                </c:pt>
                <c:pt idx="3">
                  <c:v>8.4745762711864403E-2</c:v>
                </c:pt>
                <c:pt idx="4">
                  <c:v>8.1967213114754092E-2</c:v>
                </c:pt>
                <c:pt idx="5">
                  <c:v>7.4626865671641784E-2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'04_Cost split up_small'!$A$84</c:f>
              <c:strCache>
                <c:ptCount val="1"/>
                <c:pt idx="0">
                  <c:v>Investments ratio</c:v>
                </c:pt>
              </c:strCache>
            </c:strRef>
          </c:tx>
          <c:spPr>
            <a:ln w="12700">
              <a:solidFill>
                <a:schemeClr val="accent1"/>
              </a:solidFill>
            </a:ln>
          </c:spPr>
          <c:marker>
            <c:symbol val="triang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'04_Cost split up_small'!$B$84:$G$84</c:f>
              <c:numCache>
                <c:formatCode>0.0%</c:formatCode>
                <c:ptCount val="6"/>
                <c:pt idx="0">
                  <c:v>0.06</c:v>
                </c:pt>
                <c:pt idx="1">
                  <c:v>7.407407407407407E-2</c:v>
                </c:pt>
                <c:pt idx="2">
                  <c:v>8.0357142857142863E-2</c:v>
                </c:pt>
                <c:pt idx="3">
                  <c:v>0.13559322033898305</c:v>
                </c:pt>
                <c:pt idx="4">
                  <c:v>0.14754098360655737</c:v>
                </c:pt>
                <c:pt idx="5">
                  <c:v>0.14925373134328357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3230304"/>
        <c:axId val="433236184"/>
      </c:lineChart>
      <c:catAx>
        <c:axId val="433234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239712"/>
        <c:crosses val="autoZero"/>
        <c:auto val="1"/>
        <c:lblAlgn val="ctr"/>
        <c:lblOffset val="100"/>
        <c:noMultiLvlLbl val="0"/>
      </c:catAx>
      <c:valAx>
        <c:axId val="433239712"/>
        <c:scaling>
          <c:orientation val="minMax"/>
        </c:scaling>
        <c:delete val="0"/>
        <c:axPos val="l"/>
        <c:title>
          <c:tx>
            <c:strRef>
              <c:f>'04_Cost split up_small'!$A$79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3.9902208442945168E-2"/>
              <c:y val="0.32153936341151168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234224"/>
        <c:crosses val="autoZero"/>
        <c:crossBetween val="between"/>
      </c:valAx>
      <c:valAx>
        <c:axId val="433236184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33230304"/>
        <c:crosses val="max"/>
        <c:crossBetween val="between"/>
      </c:valAx>
      <c:catAx>
        <c:axId val="433230304"/>
        <c:scaling>
          <c:orientation val="minMax"/>
        </c:scaling>
        <c:delete val="1"/>
        <c:axPos val="b"/>
        <c:majorTickMark val="out"/>
        <c:minorTickMark val="none"/>
        <c:tickLblPos val="none"/>
        <c:crossAx val="433236184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1.8475765089996508E-2"/>
          <c:y val="0.71703041839249382"/>
          <c:w val="0.72898612881281954"/>
          <c:h val="8.6496306707196227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27390958152724"/>
          <c:y val="0.28063728196337084"/>
          <c:w val="0.74962015983957375"/>
          <c:h val="0.46459327270438061"/>
        </c:manualLayout>
      </c:layout>
      <c:lineChart>
        <c:grouping val="standard"/>
        <c:varyColors val="0"/>
        <c:ser>
          <c:idx val="0"/>
          <c:order val="0"/>
          <c:tx>
            <c:strRef>
              <c:f>'05_Cashflow_small'!$A$31</c:f>
              <c:strCache>
                <c:ptCount val="1"/>
                <c:pt idx="0">
                  <c:v>EBITDA to free cash flow conversion</c:v>
                </c:pt>
              </c:strCache>
            </c:strRef>
          </c:tx>
          <c:spPr>
            <a:ln w="12700">
              <a:solidFill>
                <a:srgbClr val="00338D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1.4400896517148839E-2"/>
                  <c:y val="-5.21401245508518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1.3460566263353211E-2"/>
                  <c:y val="-5.21401245508518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9.959804640962449E-3"/>
                  <c:y val="-5.70601737513438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2.9582813961809198E-3"/>
                  <c:y val="-4.72200753503597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1.6961327885743963E-2"/>
                  <c:y val="-5.21401245508518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-1.2876738458926142E-2"/>
                  <c:y val="-5.21401245508518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'05_Cashflow_small'!$B$27:$G$27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'05_Cashflow_small'!$B$31:$G$31</c:f>
              <c:numCache>
                <c:formatCode>0.0%</c:formatCode>
                <c:ptCount val="6"/>
                <c:pt idx="0">
                  <c:v>0.6</c:v>
                </c:pt>
                <c:pt idx="1">
                  <c:v>0.60909090909090913</c:v>
                </c:pt>
                <c:pt idx="2">
                  <c:v>0.61739130434782608</c:v>
                </c:pt>
                <c:pt idx="3">
                  <c:v>0.64406779661016944</c:v>
                </c:pt>
                <c:pt idx="4">
                  <c:v>0.64166666666666672</c:v>
                </c:pt>
                <c:pt idx="5">
                  <c:v>0.66393442622950816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'05_Cashflow_small'!$A$33</c:f>
              <c:strCache>
                <c:ptCount val="1"/>
                <c:pt idx="0">
                  <c:v>Free cash flow in % of sales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2.5636851573328616E-2"/>
                  <c:y val="-5.21401245508518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1.0655578165088924E-2"/>
                  <c:y val="-5.21401245508518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2.0462089508134721E-2"/>
                  <c:y val="-6.198022295183585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2.7463612752916207E-2"/>
                  <c:y val="-5.21401245508518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2.7463612752916262E-2"/>
                  <c:y val="-5.21401245508518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-1.2876738458926142E-2"/>
                  <c:y val="-4.72200753503597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'05_Cashflow_small'!$B$27:$G$27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'05_Cashflow_small'!$B$33:$G$33</c:f>
              <c:numCache>
                <c:formatCode>0.0%</c:formatCode>
                <c:ptCount val="6"/>
                <c:pt idx="0">
                  <c:v>0.3</c:v>
                </c:pt>
                <c:pt idx="1">
                  <c:v>0.30454545454545456</c:v>
                </c:pt>
                <c:pt idx="2">
                  <c:v>0.29583333333333334</c:v>
                </c:pt>
                <c:pt idx="3">
                  <c:v>0.32340425531914896</c:v>
                </c:pt>
                <c:pt idx="4">
                  <c:v>0.32083333333333336</c:v>
                </c:pt>
                <c:pt idx="5">
                  <c:v>0.33061224489795921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3238928"/>
        <c:axId val="433241672"/>
      </c:lineChart>
      <c:catAx>
        <c:axId val="433238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241672"/>
        <c:crosses val="autoZero"/>
        <c:auto val="1"/>
        <c:lblAlgn val="ctr"/>
        <c:lblOffset val="100"/>
        <c:noMultiLvlLbl val="0"/>
      </c:catAx>
      <c:valAx>
        <c:axId val="433241672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23892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3922940812173812"/>
          <c:y val="0.85519404170419833"/>
          <c:w val="0.64730720457695601"/>
          <c:h val="0.1311163206871868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8067171974715"/>
          <c:y val="0.19451548034751626"/>
          <c:w val="0.56216900200235931"/>
          <c:h val="0.40149218448513257"/>
        </c:manualLayout>
      </c:layout>
      <c:lineChart>
        <c:grouping val="standard"/>
        <c:varyColors val="0"/>
        <c:ser>
          <c:idx val="0"/>
          <c:order val="0"/>
          <c:tx>
            <c:strRef>
              <c:f>'05_Cashflow_small (2)'!$A$31</c:f>
              <c:strCache>
                <c:ptCount val="1"/>
                <c:pt idx="0">
                  <c:v>Cash conversion rate</c:v>
                </c:pt>
              </c:strCache>
            </c:strRef>
          </c:tx>
          <c:spPr>
            <a:ln w="12700">
              <a:solidFill>
                <a:srgbClr val="00338D"/>
              </a:solidFill>
              <a:prstDash val="solid"/>
            </a:ln>
          </c:spPr>
          <c:marker>
            <c:symbol val="diamond"/>
            <c:size val="3"/>
            <c:spPr>
              <a:solidFill>
                <a:srgbClr val="00338D"/>
              </a:solidFill>
              <a:ln>
                <a:solidFill>
                  <a:srgbClr val="00338D"/>
                </a:solidFill>
                <a:prstDash val="solid"/>
              </a:ln>
            </c:spPr>
          </c:marker>
          <c:cat>
            <c:numRef>
              <c:f>'05_Cashflow_small (2)'!$B$27:$G$27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'05_Cashflow_small (2)'!$B$31:$G$31</c:f>
              <c:numCache>
                <c:formatCode>0.0%</c:formatCode>
                <c:ptCount val="6"/>
                <c:pt idx="0">
                  <c:v>0.6</c:v>
                </c:pt>
                <c:pt idx="1">
                  <c:v>0.60909090909090913</c:v>
                </c:pt>
                <c:pt idx="2">
                  <c:v>0.61739130434782608</c:v>
                </c:pt>
                <c:pt idx="3">
                  <c:v>0.64406779661016944</c:v>
                </c:pt>
                <c:pt idx="4">
                  <c:v>0.64166666666666672</c:v>
                </c:pt>
                <c:pt idx="5">
                  <c:v>0.66393442622950816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'05_Cashflow_small (2)'!$A$33</c:f>
              <c:strCache>
                <c:ptCount val="1"/>
                <c:pt idx="0">
                  <c:v>Free cash flow in % of sales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0091DA"/>
              </a:solidFill>
              <a:ln>
                <a:solidFill>
                  <a:srgbClr val="0091DA"/>
                </a:solidFill>
                <a:prstDash val="solid"/>
              </a:ln>
            </c:spPr>
          </c:marker>
          <c:cat>
            <c:numRef>
              <c:f>'05_Cashflow_small (2)'!$B$27:$G$27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'05_Cashflow_small (2)'!$B$33:$G$33</c:f>
              <c:numCache>
                <c:formatCode>0.0%</c:formatCode>
                <c:ptCount val="6"/>
                <c:pt idx="0">
                  <c:v>0.3</c:v>
                </c:pt>
                <c:pt idx="1">
                  <c:v>0.30454545454545456</c:v>
                </c:pt>
                <c:pt idx="2">
                  <c:v>0.29583333333333334</c:v>
                </c:pt>
                <c:pt idx="3">
                  <c:v>0.32340425531914896</c:v>
                </c:pt>
                <c:pt idx="4">
                  <c:v>0.32083333333333336</c:v>
                </c:pt>
                <c:pt idx="5">
                  <c:v>0.33061224489795921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3240888"/>
        <c:axId val="433239320"/>
      </c:lineChart>
      <c:catAx>
        <c:axId val="433240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239320"/>
        <c:crosses val="autoZero"/>
        <c:auto val="1"/>
        <c:lblAlgn val="ctr"/>
        <c:lblOffset val="100"/>
        <c:noMultiLvlLbl val="0"/>
      </c:catAx>
      <c:valAx>
        <c:axId val="433239320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240888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2.8579414090506277E-3"/>
          <c:y val="0.68894845728804877"/>
          <c:w val="0.76554258805272479"/>
          <c:h val="7.379084368735436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25400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973070866141741"/>
          <c:y val="0.21635218324982144"/>
          <c:w val="0.67199550056243218"/>
          <c:h val="0.4540039370078747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'06_Financing'!$A$29</c:f>
              <c:strCache>
                <c:ptCount val="1"/>
                <c:pt idx="0">
                  <c:v>Senior Debt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'06_Financing'!$B$27:$G$27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'06_Financing'!$B$29:$G$29</c:f>
              <c:numCache>
                <c:formatCode>#,##0.0;\(#,##0.0\);\-;@</c:formatCode>
                <c:ptCount val="6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</c:numCache>
            </c:numRef>
          </c:val>
        </c:ser>
        <c:ser>
          <c:idx val="1"/>
          <c:order val="1"/>
          <c:tx>
            <c:strRef>
              <c:f>'06_Financing'!$A$30</c:f>
              <c:strCache>
                <c:ptCount val="1"/>
                <c:pt idx="0">
                  <c:v>Mezzanine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'06_Financing'!$B$27:$G$27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'06_Financing'!$B$30:$G$30</c:f>
              <c:numCache>
                <c:formatCode>#,##0.0;\(#,##0.0\);\-;@</c:formatCode>
                <c:ptCount val="6"/>
                <c:pt idx="0">
                  <c:v>25</c:v>
                </c:pt>
                <c:pt idx="1">
                  <c:v>28</c:v>
                </c:pt>
                <c:pt idx="2">
                  <c:v>31</c:v>
                </c:pt>
                <c:pt idx="3">
                  <c:v>33</c:v>
                </c:pt>
                <c:pt idx="4">
                  <c:v>33</c:v>
                </c:pt>
                <c:pt idx="5">
                  <c:v>34</c:v>
                </c:pt>
              </c:numCache>
            </c:numRef>
          </c:val>
        </c:ser>
        <c:ser>
          <c:idx val="2"/>
          <c:order val="2"/>
          <c:tx>
            <c:strRef>
              <c:f>'06_Financing'!$A$31</c:f>
              <c:strCache>
                <c:ptCount val="1"/>
                <c:pt idx="0">
                  <c:v>Working capital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'06_Financing'!$B$27:$G$27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'06_Financing'!$B$31:$G$31</c:f>
              <c:numCache>
                <c:formatCode>#,##0.0;\(#,##0.0\);\-;@</c:formatCode>
                <c:ptCount val="6"/>
                <c:pt idx="0">
                  <c:v>20</c:v>
                </c:pt>
                <c:pt idx="1">
                  <c:v>20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21</c:v>
                </c:pt>
              </c:numCache>
            </c:numRef>
          </c:val>
        </c:ser>
        <c:ser>
          <c:idx val="3"/>
          <c:order val="3"/>
          <c:tx>
            <c:strRef>
              <c:f>'06_Financing'!$A$32</c:f>
              <c:strCache>
                <c:ptCount val="1"/>
                <c:pt idx="0">
                  <c:v>Liquid assets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10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11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11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11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10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10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'06_Financing'!$B$27:$G$27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'06_Financing'!$B$32:$G$32</c:f>
              <c:numCache>
                <c:formatCode>#,##0.0;\(#,##0.0\);\-;@</c:formatCode>
                <c:ptCount val="6"/>
                <c:pt idx="0">
                  <c:v>-10</c:v>
                </c:pt>
                <c:pt idx="1">
                  <c:v>-11</c:v>
                </c:pt>
                <c:pt idx="2">
                  <c:v>-11</c:v>
                </c:pt>
                <c:pt idx="3">
                  <c:v>-11</c:v>
                </c:pt>
                <c:pt idx="4">
                  <c:v>-10</c:v>
                </c:pt>
                <c:pt idx="5">
                  <c:v>-10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33237752"/>
        <c:axId val="433238144"/>
      </c:barChart>
      <c:lineChart>
        <c:grouping val="standard"/>
        <c:varyColors val="0"/>
        <c:ser>
          <c:idx val="4"/>
          <c:order val="4"/>
          <c:tx>
            <c:strRef>
              <c:f>'06_Financing'!$A$23</c:f>
              <c:strCache>
                <c:ptCount val="1"/>
                <c:pt idx="0">
                  <c:v>Net debt ratio (market value)</c:v>
                </c:pt>
              </c:strCache>
            </c:strRef>
          </c:tx>
          <c:spPr>
            <a:ln w="12700">
              <a:solidFill>
                <a:srgbClr val="00338D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val>
            <c:numRef>
              <c:f>'06_Financing'!$B$23:$G$23</c:f>
              <c:numCache>
                <c:formatCode>General</c:formatCode>
                <c:ptCount val="6"/>
                <c:pt idx="0">
                  <c:v>0.5</c:v>
                </c:pt>
                <c:pt idx="1">
                  <c:v>0.49</c:v>
                </c:pt>
                <c:pt idx="2">
                  <c:v>0.48</c:v>
                </c:pt>
                <c:pt idx="3">
                  <c:v>0.48499999999999999</c:v>
                </c:pt>
                <c:pt idx="4">
                  <c:v>0.49</c:v>
                </c:pt>
                <c:pt idx="5">
                  <c:v>0.48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3235008"/>
        <c:axId val="433238536"/>
      </c:lineChart>
      <c:catAx>
        <c:axId val="433237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238144"/>
        <c:crosses val="autoZero"/>
        <c:auto val="1"/>
        <c:lblAlgn val="ctr"/>
        <c:lblOffset val="100"/>
        <c:noMultiLvlLbl val="0"/>
      </c:catAx>
      <c:valAx>
        <c:axId val="433238144"/>
        <c:scaling>
          <c:orientation val="minMax"/>
        </c:scaling>
        <c:delete val="0"/>
        <c:axPos val="l"/>
        <c:title>
          <c:tx>
            <c:strRef>
              <c:f>'06_Financing'!$A$17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3.7142666251848283E-2"/>
              <c:y val="0.35999319521971074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;\(#,##0.0\);\-;@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237752"/>
        <c:crosses val="autoZero"/>
        <c:crossBetween val="between"/>
      </c:valAx>
      <c:valAx>
        <c:axId val="433238536"/>
        <c:scaling>
          <c:orientation val="minMax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33235008"/>
        <c:crosses val="max"/>
        <c:crossBetween val="between"/>
      </c:valAx>
      <c:catAx>
        <c:axId val="433235008"/>
        <c:scaling>
          <c:orientation val="minMax"/>
        </c:scaling>
        <c:delete val="1"/>
        <c:axPos val="b"/>
        <c:majorTickMark val="out"/>
        <c:minorTickMark val="none"/>
        <c:tickLblPos val="none"/>
        <c:crossAx val="433238536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1.142820121570578E-2"/>
          <c:y val="0.7604665682452999"/>
          <c:w val="0.88571428571428557"/>
          <c:h val="0.18566177523264138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287356580427437"/>
          <c:y val="0.17544309234073088"/>
          <c:w val="0.64426929133858835"/>
          <c:h val="0.39993324715007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'06_Financing'!$A$104</c:f>
              <c:strCache>
                <c:ptCount val="1"/>
                <c:pt idx="0">
                  <c:v>Net Debt to EBITDA ratio</c:v>
                </c:pt>
              </c:strCache>
            </c:strRef>
          </c:tx>
          <c:spPr>
            <a:solidFill>
              <a:schemeClr val="tx2"/>
            </a:solidFill>
            <a:ln w="25400">
              <a:noFill/>
            </a:ln>
          </c:spPr>
          <c:invertIfNegative val="0"/>
          <c:cat>
            <c:numRef>
              <c:f>'06_Financing'!$B$102:$G$102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'06_Financing'!$B$104:$G$104</c:f>
              <c:numCache>
                <c:formatCode>#,##0.0</c:formatCode>
                <c:ptCount val="6"/>
                <c:pt idx="0">
                  <c:v>2.9166666666666665</c:v>
                </c:pt>
                <c:pt idx="1">
                  <c:v>2.8461538461538463</c:v>
                </c:pt>
                <c:pt idx="2">
                  <c:v>2.2222222222222223</c:v>
                </c:pt>
                <c:pt idx="3">
                  <c:v>2</c:v>
                </c:pt>
                <c:pt idx="4">
                  <c:v>2.375</c:v>
                </c:pt>
                <c:pt idx="5">
                  <c:v>2.1111111111111112</c:v>
                </c:pt>
              </c:numCache>
            </c:numRef>
          </c:val>
        </c:ser>
        <c:ser>
          <c:idx val="1"/>
          <c:order val="1"/>
          <c:tx>
            <c:strRef>
              <c:f>'06_Financing'!$A$105</c:f>
              <c:strCache>
                <c:ptCount val="1"/>
                <c:pt idx="0">
                  <c:v>Interest coverage ratio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</c:spPr>
          <c:invertIfNegative val="0"/>
          <c:cat>
            <c:numRef>
              <c:f>'06_Financing'!$B$102:$G$102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'06_Financing'!$B$105:$G$105</c:f>
              <c:numCache>
                <c:formatCode>#,##0.0</c:formatCode>
                <c:ptCount val="6"/>
                <c:pt idx="0">
                  <c:v>1</c:v>
                </c:pt>
                <c:pt idx="1">
                  <c:v>1.0317460317460319</c:v>
                </c:pt>
                <c:pt idx="2">
                  <c:v>1.35</c:v>
                </c:pt>
                <c:pt idx="3">
                  <c:v>1.3636363636363635</c:v>
                </c:pt>
                <c:pt idx="4">
                  <c:v>1.103448275862069</c:v>
                </c:pt>
                <c:pt idx="5">
                  <c:v>1.125</c:v>
                </c:pt>
              </c:numCache>
            </c:numRef>
          </c:val>
        </c:ser>
        <c:ser>
          <c:idx val="2"/>
          <c:order val="2"/>
          <c:tx>
            <c:strRef>
              <c:f>'06_Financing'!$A$106</c:f>
              <c:strCache>
                <c:ptCount val="1"/>
                <c:pt idx="0">
                  <c:v>XXX Covenant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cat>
            <c:numRef>
              <c:f>'06_Financing'!$B$102:$G$102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'06_Financing'!$B$106:$G$106</c:f>
              <c:numCache>
                <c:formatCode>#,##0.0</c:formatCode>
                <c:ptCount val="6"/>
                <c:pt idx="0">
                  <c:v>1.8</c:v>
                </c:pt>
                <c:pt idx="1">
                  <c:v>1.8</c:v>
                </c:pt>
                <c:pt idx="2">
                  <c:v>1.9</c:v>
                </c:pt>
                <c:pt idx="3">
                  <c:v>1.8</c:v>
                </c:pt>
                <c:pt idx="4">
                  <c:v>1.9</c:v>
                </c:pt>
                <c:pt idx="5">
                  <c:v>1.8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2"/>
        <c:axId val="433235400"/>
        <c:axId val="433233832"/>
      </c:barChart>
      <c:lineChart>
        <c:grouping val="standard"/>
        <c:varyColors val="0"/>
        <c:ser>
          <c:idx val="3"/>
          <c:order val="3"/>
          <c:tx>
            <c:strRef>
              <c:f>'06_Financing'!$A$108</c:f>
              <c:strCache>
                <c:ptCount val="1"/>
                <c:pt idx="0">
                  <c:v>Upper limit of debt 
coverage ratio</c:v>
                </c:pt>
              </c:strCache>
            </c:strRef>
          </c:tx>
          <c:spPr>
            <a:ln w="12700">
              <a:solidFill>
                <a:schemeClr val="tx2"/>
              </a:solidFill>
              <a:prstDash val="sysDash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1.6092738918313563E-2"/>
                  <c:y val="-6.2276481392955458E-5"/>
                </c:manualLayout>
              </c:layout>
              <c:tx>
                <c:strRef>
                  <c:f>'06_Financing'!$B$108</c:f>
                  <c:strCache>
                    <c:ptCount val="1"/>
                    <c:pt idx="0">
                      <c:v>2.1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{086128F8-2A51-4194-89A3-64D15A44D817}</c15:txfldGUID>
                      <c15:f>'06_Financing'!$B$108</c15:f>
                      <c15:dlblFieldTableCache>
                        <c:ptCount val="1"/>
                        <c:pt idx="0">
                          <c:v>2.1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tx2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'06_Financing'!$B$108:$G$108</c:f>
              <c:numCache>
                <c:formatCode>#,##0.0</c:formatCode>
                <c:ptCount val="6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  <c:pt idx="3">
                  <c:v>2.1</c:v>
                </c:pt>
                <c:pt idx="4">
                  <c:v>2.1</c:v>
                </c:pt>
                <c:pt idx="5">
                  <c:v>2.1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'06_Financing'!$A$109</c:f>
              <c:strCache>
                <c:ptCount val="1"/>
                <c:pt idx="0">
                  <c:v>Lower limit of interest 
coverage ratio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ysDash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1.6971119216615739E-2"/>
                  <c:y val="1.0920676393356721E-2"/>
                </c:manualLayout>
              </c:layout>
              <c:tx>
                <c:strRef>
                  <c:f>'06_Financing'!$B$109</c:f>
                  <c:strCache>
                    <c:ptCount val="1"/>
                    <c:pt idx="0">
                      <c:v>1.5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{406A774C-7DFE-4AB2-BDDC-6527A5079E22}</c15:txfldGUID>
                      <c15:f>'06_Financing'!$B$109</c15:f>
                      <c15:dlblFieldTableCache>
                        <c:ptCount val="1"/>
                        <c:pt idx="0">
                          <c:v>1.5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1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'06_Financing'!$B$109:$G$109</c:f>
              <c:numCache>
                <c:formatCode>#,##0.0</c:formatCode>
                <c:ptCount val="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'06_Financing'!$A$110</c:f>
              <c:strCache>
                <c:ptCount val="1"/>
                <c:pt idx="0">
                  <c:v>Limit XXX Covenant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ysDash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1.6978110176627731E-2"/>
                  <c:y val="1.5466151847753915E-2"/>
                </c:manualLayout>
              </c:layout>
              <c:tx>
                <c:strRef>
                  <c:f>'06_Financing'!$B$110</c:f>
                  <c:strCache>
                    <c:ptCount val="1"/>
                    <c:pt idx="0">
                      <c:v>1.1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700">
                      <a:solidFill>
                        <a:schemeClr val="accent2"/>
                      </a:solidFill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{6EEBD172-52B8-46DF-83F8-466605C55084}</c15:txfldGUID>
                      <c15:f>'06_Financing'!$B$110</c15:f>
                      <c15:dlblFieldTableCache>
                        <c:ptCount val="1"/>
                        <c:pt idx="0">
                          <c:v>1.1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accent2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'06_Financing'!$B$110:$G$110</c:f>
              <c:numCache>
                <c:formatCode>#,##0.0</c:formatCode>
                <c:ptCount val="6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  <c:pt idx="3">
                  <c:v>1.1000000000000001</c:v>
                </c:pt>
                <c:pt idx="4">
                  <c:v>1.1000000000000001</c:v>
                </c:pt>
                <c:pt idx="5">
                  <c:v>1.1000000000000001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3235400"/>
        <c:axId val="433233832"/>
      </c:lineChart>
      <c:catAx>
        <c:axId val="433235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233832"/>
        <c:crosses val="autoZero"/>
        <c:auto val="1"/>
        <c:lblAlgn val="ctr"/>
        <c:lblOffset val="100"/>
        <c:noMultiLvlLbl val="0"/>
      </c:catAx>
      <c:valAx>
        <c:axId val="433233832"/>
        <c:scaling>
          <c:orientation val="minMax"/>
          <c:min val="0.70000000000000062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de-DE"/>
                  <a:t>Coverage  rate</a:t>
                </a:r>
              </a:p>
            </c:rich>
          </c:tx>
          <c:layout>
            <c:manualLayout>
              <c:xMode val="edge"/>
              <c:yMode val="edge"/>
              <c:x val="8.8571428571429037E-2"/>
              <c:y val="0.26667826223214725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23540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2571428571428578"/>
          <c:y val="0.65443240490461063"/>
          <c:w val="0.78"/>
          <c:h val="0.2227330556155185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94510686164229"/>
          <c:y val="0.20726127415891196"/>
          <c:w val="0.63460663662470218"/>
          <c:h val="0.32663278453829642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'06_Financing'!$A$128</c:f>
              <c:strCache>
                <c:ptCount val="1"/>
                <c:pt idx="0">
                  <c:v>Borrowing requirements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multiLvlStrRef>
              <c:f>'06_Financing'!$B$125:$M$126</c:f>
              <c:multiLvlStrCache>
                <c:ptCount val="12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</c:lvl>
                <c:lvl>
                  <c:pt idx="0">
                    <c:v>2013</c:v>
                  </c:pt>
                  <c:pt idx="4">
                    <c:v>2014</c:v>
                  </c:pt>
                  <c:pt idx="8">
                    <c:v>2015</c:v>
                  </c:pt>
                </c:lvl>
              </c:multiLvlStrCache>
            </c:multiLvlStrRef>
          </c:cat>
          <c:val>
            <c:numRef>
              <c:f>'06_Financing'!$B$128:$M$128</c:f>
              <c:numCache>
                <c:formatCode>General</c:formatCode>
                <c:ptCount val="12"/>
                <c:pt idx="0">
                  <c:v>10</c:v>
                </c:pt>
                <c:pt idx="1">
                  <c:v>12</c:v>
                </c:pt>
                <c:pt idx="2">
                  <c:v>13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433230696"/>
        <c:axId val="433231088"/>
      </c:barChart>
      <c:lineChart>
        <c:grouping val="standard"/>
        <c:varyColors val="0"/>
        <c:ser>
          <c:idx val="0"/>
          <c:order val="0"/>
          <c:tx>
            <c:strRef>
              <c:f>'06_Financing'!$A$127</c:f>
              <c:strCache>
                <c:ptCount val="1"/>
                <c:pt idx="0">
                  <c:v>Agreed credit line A</c:v>
                </c:pt>
              </c:strCache>
            </c:strRef>
          </c:tx>
          <c:spPr>
            <a:ln w="12700">
              <a:solidFill>
                <a:srgbClr val="00338D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cat>
            <c:multiLvlStrRef>
              <c:f>'06_Financing'!$B$125:$M$126</c:f>
              <c:multiLvlStrCache>
                <c:ptCount val="12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</c:lvl>
                <c:lvl>
                  <c:pt idx="0">
                    <c:v>2013</c:v>
                  </c:pt>
                  <c:pt idx="4">
                    <c:v>2014</c:v>
                  </c:pt>
                  <c:pt idx="8">
                    <c:v>2015</c:v>
                  </c:pt>
                </c:lvl>
              </c:multiLvlStrCache>
            </c:multiLvlStrRef>
          </c:cat>
          <c:val>
            <c:numRef>
              <c:f>'06_Financing'!$B$127:$M$127</c:f>
              <c:numCache>
                <c:formatCode>General</c:formatCode>
                <c:ptCount val="12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3230696"/>
        <c:axId val="433231088"/>
      </c:lineChart>
      <c:catAx>
        <c:axId val="4332306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231088"/>
        <c:crosses val="autoZero"/>
        <c:auto val="1"/>
        <c:lblAlgn val="ctr"/>
        <c:lblOffset val="100"/>
        <c:noMultiLvlLbl val="0"/>
      </c:catAx>
      <c:valAx>
        <c:axId val="433231088"/>
        <c:scaling>
          <c:orientation val="minMax"/>
        </c:scaling>
        <c:delete val="0"/>
        <c:axPos val="l"/>
        <c:title>
          <c:tx>
            <c:strRef>
              <c:f>'06_Financing'!$A$125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3200662133142470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23069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4.3263347680728904E-2"/>
          <c:y val="0.68752994469909112"/>
          <c:w val="0.69212553430821411"/>
          <c:h val="6.747995705082353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91256278492231"/>
          <c:y val="0.15147384214696261"/>
          <c:w val="0.63917383461898958"/>
          <c:h val="0.44956178108904993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'06_Financing'!$A$155</c:f>
              <c:strCache>
                <c:ptCount val="1"/>
                <c:pt idx="0">
                  <c:v>Book value of debt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'06_Financing'!$B$152:$G$152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'06_Financing'!$B$155:$G$155</c:f>
              <c:numCache>
                <c:formatCode>General</c:formatCode>
                <c:ptCount val="6"/>
                <c:pt idx="0">
                  <c:v>50</c:v>
                </c:pt>
                <c:pt idx="1">
                  <c:v>55</c:v>
                </c:pt>
                <c:pt idx="2">
                  <c:v>58</c:v>
                </c:pt>
                <c:pt idx="3">
                  <c:v>60</c:v>
                </c:pt>
                <c:pt idx="4">
                  <c:v>62</c:v>
                </c:pt>
                <c:pt idx="5">
                  <c:v>65</c:v>
                </c:pt>
              </c:numCache>
            </c:numRef>
          </c:val>
        </c:ser>
        <c:ser>
          <c:idx val="0"/>
          <c:order val="1"/>
          <c:tx>
            <c:strRef>
              <c:f>'06_Financing'!$A$156</c:f>
              <c:strCache>
                <c:ptCount val="1"/>
                <c:pt idx="0">
                  <c:v>∆ Market value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1"/>
              <c:layout>
                <c:manualLayout>
                  <c:x val="0"/>
                  <c:y val="4.4584824624194714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0"/>
                  <c:y val="-8.7329992841804068E-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0"/>
                  <c:y val="-2.8679312813171412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0"/>
                  <c:y val="-1.2735325353631771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0"/>
                  <c:y val="3.1013290278265309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'06_Financing'!$B$152:$G$152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'06_Financing'!$B$156:$G$156</c:f>
              <c:numCache>
                <c:formatCode>General</c:formatCode>
                <c:ptCount val="6"/>
                <c:pt idx="0">
                  <c:v>10</c:v>
                </c:pt>
                <c:pt idx="1">
                  <c:v>9</c:v>
                </c:pt>
                <c:pt idx="2">
                  <c:v>9</c:v>
                </c:pt>
                <c:pt idx="3">
                  <c:v>8</c:v>
                </c:pt>
                <c:pt idx="4">
                  <c:v>7</c:v>
                </c:pt>
                <c:pt idx="5">
                  <c:v>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33241280"/>
        <c:axId val="433231480"/>
      </c:barChart>
      <c:catAx>
        <c:axId val="433241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231480"/>
        <c:crosses val="autoZero"/>
        <c:auto val="1"/>
        <c:lblAlgn val="ctr"/>
        <c:lblOffset val="100"/>
        <c:noMultiLvlLbl val="0"/>
      </c:catAx>
      <c:valAx>
        <c:axId val="433231480"/>
        <c:scaling>
          <c:orientation val="minMax"/>
        </c:scaling>
        <c:delete val="0"/>
        <c:axPos val="l"/>
        <c:title>
          <c:tx>
            <c:strRef>
              <c:f>'06_Financing'!$A$153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8571949332634874E-2"/>
              <c:y val="0.33676203061094079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24128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9.3120584926884228E-2"/>
          <c:y val="0.69545454545454544"/>
          <c:w val="0.57661597300337608"/>
          <c:h val="6.747995705082353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486383469582251"/>
          <c:y val="0.1527158196134574"/>
          <c:w val="0.70364812678669963"/>
          <c:h val="0.4449130279169649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'07_Investments'!$A$17</c:f>
              <c:strCache>
                <c:ptCount val="1"/>
                <c:pt idx="0">
                  <c:v>Output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'07_Investments'!$B$15:$G$15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'07_Investments'!$B$17:$G$17</c:f>
              <c:numCache>
                <c:formatCode>General</c:formatCode>
                <c:ptCount val="6"/>
                <c:pt idx="0">
                  <c:v>10</c:v>
                </c:pt>
                <c:pt idx="1">
                  <c:v>11.5</c:v>
                </c:pt>
                <c:pt idx="2">
                  <c:v>12.5</c:v>
                </c:pt>
                <c:pt idx="3">
                  <c:v>14</c:v>
                </c:pt>
                <c:pt idx="4">
                  <c:v>15.5</c:v>
                </c:pt>
                <c:pt idx="5">
                  <c:v>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33237360"/>
        <c:axId val="433232264"/>
      </c:barChart>
      <c:lineChart>
        <c:grouping val="standard"/>
        <c:varyColors val="0"/>
        <c:ser>
          <c:idx val="1"/>
          <c:order val="1"/>
          <c:tx>
            <c:strRef>
              <c:f>'07_Investments'!$A$18</c:f>
              <c:strCache>
                <c:ptCount val="1"/>
                <c:pt idx="0">
                  <c:v>Capacity</c:v>
                </c:pt>
              </c:strCache>
            </c:strRef>
          </c:tx>
          <c:spPr>
            <a:ln w="12700">
              <a:solidFill>
                <a:srgbClr val="00338D"/>
              </a:solidFill>
              <a:prstDash val="sysDash"/>
            </a:ln>
          </c:spPr>
          <c:marker>
            <c:symbol val="none"/>
          </c:marker>
          <c:val>
            <c:numRef>
              <c:f>'07_Investments'!$B$18:$G$18</c:f>
              <c:numCache>
                <c:formatCode>General</c:formatCode>
                <c:ptCount val="6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18</c:v>
                </c:pt>
                <c:pt idx="4">
                  <c:v>20</c:v>
                </c:pt>
                <c:pt idx="5">
                  <c:v>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3237360"/>
        <c:axId val="433232264"/>
      </c:lineChart>
      <c:lineChart>
        <c:grouping val="standard"/>
        <c:varyColors val="0"/>
        <c:ser>
          <c:idx val="2"/>
          <c:order val="2"/>
          <c:tx>
            <c:strRef>
              <c:f>'07_Investments'!$A$19</c:f>
              <c:strCache>
                <c:ptCount val="1"/>
                <c:pt idx="0">
                  <c:v>Degree of utilisation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1"/>
                    </a:solidFill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'07_Investments'!$B$19:$G$19</c:f>
              <c:numCache>
                <c:formatCode>0%</c:formatCode>
                <c:ptCount val="6"/>
                <c:pt idx="0">
                  <c:v>0.66666666666666663</c:v>
                </c:pt>
                <c:pt idx="1">
                  <c:v>0.76666666666666672</c:v>
                </c:pt>
                <c:pt idx="2">
                  <c:v>0.83333333333333337</c:v>
                </c:pt>
                <c:pt idx="3">
                  <c:v>0.77777777777777779</c:v>
                </c:pt>
                <c:pt idx="4">
                  <c:v>0.77500000000000002</c:v>
                </c:pt>
                <c:pt idx="5">
                  <c:v>0.77272727272727271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3231872"/>
        <c:axId val="433235792"/>
      </c:lineChart>
      <c:catAx>
        <c:axId val="433237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232264"/>
        <c:crosses val="autoZero"/>
        <c:auto val="1"/>
        <c:lblAlgn val="ctr"/>
        <c:lblOffset val="100"/>
        <c:noMultiLvlLbl val="0"/>
      </c:catAx>
      <c:valAx>
        <c:axId val="43323226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de-DE"/>
                  <a:t>t million</a:t>
                </a:r>
              </a:p>
            </c:rich>
          </c:tx>
          <c:layout>
            <c:manualLayout>
              <c:xMode val="edge"/>
              <c:yMode val="edge"/>
              <c:x val="2.5714285714285714E-2"/>
              <c:y val="0.32011560486757507"/>
            </c:manualLayout>
          </c:layout>
          <c:overlay val="0"/>
        </c:title>
        <c:numFmt formatCode="#,##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237360"/>
        <c:crosses val="autoZero"/>
        <c:crossBetween val="between"/>
      </c:valAx>
      <c:valAx>
        <c:axId val="433235792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33231872"/>
        <c:crosses val="max"/>
        <c:crossBetween val="between"/>
      </c:valAx>
      <c:catAx>
        <c:axId val="433231872"/>
        <c:scaling>
          <c:orientation val="minMax"/>
        </c:scaling>
        <c:delete val="1"/>
        <c:axPos val="b"/>
        <c:majorTickMark val="out"/>
        <c:minorTickMark val="none"/>
        <c:tickLblPos val="none"/>
        <c:crossAx val="433235792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6.6145835876619749E-2"/>
          <c:y val="0.6533411894648733"/>
          <c:w val="0.84914589497968951"/>
          <c:h val="0.11747995705082315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58452389460788"/>
          <c:y val="0.15288377779802098"/>
          <c:w val="0.68968678606371736"/>
          <c:h val="0.44661797861559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'07_Investments'!$A$39</c:f>
              <c:strCache>
                <c:ptCount val="1"/>
                <c:pt idx="0">
                  <c:v>Investments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'07_Investments'!$B$36:$G$36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'07_Investments'!$B$39:$G$39</c:f>
              <c:numCache>
                <c:formatCode>0.0</c:formatCode>
                <c:ptCount val="6"/>
                <c:pt idx="0">
                  <c:v>3</c:v>
                </c:pt>
                <c:pt idx="1">
                  <c:v>4</c:v>
                </c:pt>
                <c:pt idx="2">
                  <c:v>4.5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33233440"/>
        <c:axId val="433245984"/>
      </c:barChart>
      <c:lineChart>
        <c:grouping val="standard"/>
        <c:varyColors val="0"/>
        <c:ser>
          <c:idx val="3"/>
          <c:order val="3"/>
          <c:tx>
            <c:strRef>
              <c:f>'07_Investments'!$A$52</c:f>
              <c:strCache>
                <c:ptCount val="1"/>
                <c:pt idx="0">
                  <c:v>Ø Investments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ysDash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1.0530252820812906E-3"/>
                  <c:y val="-3.19700742589247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1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'07_Investments'!$B$47:$D$47</c:f>
              <c:numCache>
                <c:formatCode>0.0</c:formatCode>
                <c:ptCount val="3"/>
                <c:pt idx="0">
                  <c:v>3.8333333333333335</c:v>
                </c:pt>
                <c:pt idx="1">
                  <c:v>3.8333333333333335</c:v>
                </c:pt>
                <c:pt idx="2">
                  <c:v>3.8333333333333335</c:v>
                </c:pt>
              </c:numCache>
            </c:numRef>
          </c:val>
          <c:smooth val="0"/>
        </c:ser>
        <c:ser>
          <c:idx val="4"/>
          <c:order val="5"/>
          <c:tx>
            <c:strRef>
              <c:f>'07_Investments'!$A$52</c:f>
              <c:strCache>
                <c:ptCount val="1"/>
                <c:pt idx="0">
                  <c:v>Ø Investments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ysDash"/>
            </a:ln>
          </c:spPr>
          <c:marker>
            <c:symbol val="none"/>
          </c:marker>
          <c:dLbls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1.5283601941380323E-2"/>
                  <c:y val="-3.19700373893440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1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'07_Investments'!$B$48:$G$48</c:f>
              <c:numCache>
                <c:formatCode>General</c:formatCode>
                <c:ptCount val="6"/>
                <c:pt idx="3" formatCode="0.0">
                  <c:v>9</c:v>
                </c:pt>
                <c:pt idx="4" formatCode="0.0">
                  <c:v>9</c:v>
                </c:pt>
                <c:pt idx="5" formatCode="0.0">
                  <c:v>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3233440"/>
        <c:axId val="433245984"/>
      </c:lineChart>
      <c:lineChart>
        <c:grouping val="standard"/>
        <c:varyColors val="0"/>
        <c:ser>
          <c:idx val="5"/>
          <c:order val="1"/>
          <c:tx>
            <c:strRef>
              <c:f>'07_Investments'!$A$43</c:f>
              <c:strCache>
                <c:ptCount val="1"/>
                <c:pt idx="0">
                  <c:v>Investment ratio</c:v>
                </c:pt>
              </c:strCache>
            </c:strRef>
          </c:tx>
          <c:spPr>
            <a:ln w="12700">
              <a:solidFill>
                <a:srgbClr val="00338D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val>
            <c:numRef>
              <c:f>'07_Investments'!$B$43:$G$43</c:f>
              <c:numCache>
                <c:formatCode>0.0%</c:formatCode>
                <c:ptCount val="6"/>
                <c:pt idx="0">
                  <c:v>0.06</c:v>
                </c:pt>
                <c:pt idx="1">
                  <c:v>7.407407407407407E-2</c:v>
                </c:pt>
                <c:pt idx="2">
                  <c:v>8.0357142857142863E-2</c:v>
                </c:pt>
                <c:pt idx="3">
                  <c:v>0.13559322033898305</c:v>
                </c:pt>
                <c:pt idx="4">
                  <c:v>0.14754098360655737</c:v>
                </c:pt>
                <c:pt idx="5">
                  <c:v>0.14925373134328357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'07_Investments'!$A$51</c:f>
              <c:strCache>
                <c:ptCount val="1"/>
                <c:pt idx="0">
                  <c:v>Ø Investment ratio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none"/>
          </c:marker>
          <c:dLbls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0.14506442765092095"/>
                  <c:y val="-2.7171815203106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2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'07_Investments'!$B$46:$G$46</c:f>
              <c:numCache>
                <c:formatCode>General</c:formatCode>
                <c:ptCount val="6"/>
                <c:pt idx="3" formatCode="0.0%">
                  <c:v>0.14412931176294133</c:v>
                </c:pt>
                <c:pt idx="4" formatCode="0.0%">
                  <c:v>0.14412931176294133</c:v>
                </c:pt>
                <c:pt idx="5" formatCode="0.0%">
                  <c:v>0.14412931176294133</c:v>
                </c:pt>
              </c:numCache>
            </c:numRef>
          </c:val>
          <c:smooth val="0"/>
        </c:ser>
        <c:ser>
          <c:idx val="1"/>
          <c:order val="4"/>
          <c:tx>
            <c:strRef>
              <c:f>'07_Investments'!$A$51</c:f>
              <c:strCache>
                <c:ptCount val="1"/>
                <c:pt idx="0">
                  <c:v>Ø Investment ratio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0.13602643788222307"/>
                  <c:y val="-2.266061298126697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700">
                      <a:solidFill>
                        <a:schemeClr val="accent2"/>
                      </a:solidFill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rgbClr val="00338D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'07_Investments'!$B$45:$D$45</c:f>
              <c:numCache>
                <c:formatCode>0.0%</c:formatCode>
                <c:ptCount val="3"/>
                <c:pt idx="0">
                  <c:v>7.1477072310405634E-2</c:v>
                </c:pt>
                <c:pt idx="1">
                  <c:v>7.1477072310405634E-2</c:v>
                </c:pt>
                <c:pt idx="2">
                  <c:v>7.1477072310405634E-2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3245200"/>
        <c:axId val="433244416"/>
      </c:lineChart>
      <c:catAx>
        <c:axId val="433233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245984"/>
        <c:crosses val="autoZero"/>
        <c:auto val="1"/>
        <c:lblAlgn val="ctr"/>
        <c:lblOffset val="100"/>
        <c:noMultiLvlLbl val="0"/>
      </c:catAx>
      <c:valAx>
        <c:axId val="433245984"/>
        <c:scaling>
          <c:orientation val="minMax"/>
        </c:scaling>
        <c:delete val="0"/>
        <c:axPos val="l"/>
        <c:title>
          <c:tx>
            <c:strRef>
              <c:f>'07_Investments'!$A$53</c:f>
              <c:strCache>
                <c:ptCount val="1"/>
                <c:pt idx="0">
                  <c:v>Investments(€m)</c:v>
                </c:pt>
              </c:strCache>
            </c:strRef>
          </c:tx>
          <c:layout>
            <c:manualLayout>
              <c:xMode val="edge"/>
              <c:yMode val="edge"/>
              <c:x val="2.572671338523027E-2"/>
              <c:y val="0.2268408080006799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233440"/>
        <c:crosses val="autoZero"/>
        <c:crossBetween val="between"/>
      </c:valAx>
      <c:valAx>
        <c:axId val="433244416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33245200"/>
        <c:crosses val="max"/>
        <c:crossBetween val="between"/>
      </c:valAx>
      <c:catAx>
        <c:axId val="433245200"/>
        <c:scaling>
          <c:orientation val="minMax"/>
        </c:scaling>
        <c:delete val="1"/>
        <c:axPos val="b"/>
        <c:majorTickMark val="out"/>
        <c:minorTickMark val="none"/>
        <c:tickLblPos val="none"/>
        <c:crossAx val="433244416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egendEntry>
        <c:idx val="4"/>
        <c:delete val="1"/>
      </c:legendEntry>
      <c:layout>
        <c:manualLayout>
          <c:xMode val="edge"/>
          <c:yMode val="edge"/>
          <c:x val="7.1027526055978812E-2"/>
          <c:y val="0.69225421686272082"/>
          <c:w val="0.77211412629602161"/>
          <c:h val="0.10247036433564904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01664791901014"/>
          <c:y val="0.19445031547883679"/>
          <c:w val="0.65519434274537458"/>
          <c:h val="0.478909330395092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'07_Investments'!$A$92</c:f>
              <c:strCache>
                <c:ptCount val="1"/>
                <c:pt idx="0">
                  <c:v>Acquisition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'07_Investments'!$B$90:$G$90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'07_Investments'!$B$92:$G$92</c:f>
              <c:numCache>
                <c:formatCode>#,##0.0</c:formatCode>
                <c:ptCount val="6"/>
                <c:pt idx="0">
                  <c:v>1.5</c:v>
                </c:pt>
                <c:pt idx="1">
                  <c:v>1.9</c:v>
                </c:pt>
                <c:pt idx="2">
                  <c:v>1.9</c:v>
                </c:pt>
                <c:pt idx="3">
                  <c:v>4.5</c:v>
                </c:pt>
                <c:pt idx="4">
                  <c:v>5.5</c:v>
                </c:pt>
                <c:pt idx="5">
                  <c:v>8</c:v>
                </c:pt>
              </c:numCache>
            </c:numRef>
          </c:val>
        </c:ser>
        <c:ser>
          <c:idx val="1"/>
          <c:order val="1"/>
          <c:tx>
            <c:strRef>
              <c:f>'07_Investments'!$A$93</c:f>
              <c:strCache>
                <c:ptCount val="1"/>
                <c:pt idx="0">
                  <c:v>New construction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'07_Investments'!$B$90:$G$90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'07_Investments'!$B$93:$G$93</c:f>
              <c:numCache>
                <c:formatCode>#,##0.0</c:formatCode>
                <c:ptCount val="6"/>
                <c:pt idx="0">
                  <c:v>1</c:v>
                </c:pt>
                <c:pt idx="1">
                  <c:v>1.4</c:v>
                </c:pt>
                <c:pt idx="2">
                  <c:v>1.4</c:v>
                </c:pt>
                <c:pt idx="3">
                  <c:v>1.8</c:v>
                </c:pt>
                <c:pt idx="4">
                  <c:v>3</c:v>
                </c:pt>
                <c:pt idx="5">
                  <c:v>1.5</c:v>
                </c:pt>
              </c:numCache>
            </c:numRef>
          </c:val>
        </c:ser>
        <c:ser>
          <c:idx val="2"/>
          <c:order val="2"/>
          <c:tx>
            <c:strRef>
              <c:f>'07_Investments'!$A$94</c:f>
              <c:strCache>
                <c:ptCount val="1"/>
                <c:pt idx="0">
                  <c:v>Modernisation</c:v>
                </c:pt>
              </c:strCache>
            </c:strRef>
          </c:tx>
          <c:spPr>
            <a:solidFill>
              <a:srgbClr val="6D2077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'07_Investments'!$B$90:$G$90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'07_Investments'!$B$94:$G$94</c:f>
              <c:numCache>
                <c:formatCode>#,##0.0</c:formatCode>
                <c:ptCount val="6"/>
                <c:pt idx="0">
                  <c:v>0.3</c:v>
                </c:pt>
                <c:pt idx="1">
                  <c:v>0.5</c:v>
                </c:pt>
                <c:pt idx="2">
                  <c:v>0.8</c:v>
                </c:pt>
                <c:pt idx="3">
                  <c:v>0.9</c:v>
                </c:pt>
                <c:pt idx="4">
                  <c:v>0.3</c:v>
                </c:pt>
                <c:pt idx="5">
                  <c:v>0.3</c:v>
                </c:pt>
              </c:numCache>
            </c:numRef>
          </c:val>
        </c:ser>
        <c:ser>
          <c:idx val="3"/>
          <c:order val="3"/>
          <c:tx>
            <c:strRef>
              <c:f>'07_Investments'!$A$95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005EB8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0"/>
                  <c:y val="-2.152751810091354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0"/>
                  <c:y val="-2.583302172109625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5.8349391585628897E-17"/>
                  <c:y val="-2.583302172109625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5.8349391585628897E-17"/>
                  <c:y val="-4.3055036201827485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0"/>
                  <c:y val="-2.152751810091354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-1.1669878317125779E-16"/>
                  <c:y val="-3.0138525341278984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accent3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'07_Investments'!$B$90:$G$90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'07_Investments'!$B$95:$G$95</c:f>
              <c:numCache>
                <c:formatCode>#,##0.0</c:formatCode>
                <c:ptCount val="6"/>
                <c:pt idx="0">
                  <c:v>0.2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0.2</c:v>
                </c:pt>
                <c:pt idx="5">
                  <c:v>0.2</c:v>
                </c:pt>
              </c:numCache>
            </c:numRef>
          </c:val>
        </c:ser>
        <c:ser>
          <c:idx val="4"/>
          <c:order val="4"/>
          <c:tx>
            <c:v/>
          </c:tx>
          <c:spPr>
            <a:noFill/>
            <a:ln w="25400">
              <a:noFill/>
            </a:ln>
          </c:spPr>
          <c:invertIfNegative val="0"/>
          <c:cat>
            <c:numRef>
              <c:f>'07_Investments'!$B$90:$G$90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Lit>
              <c:formatCode>General</c:formatCode>
              <c:ptCount val="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33243632"/>
        <c:axId val="433244808"/>
      </c:barChart>
      <c:catAx>
        <c:axId val="433243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244808"/>
        <c:crosses val="autoZero"/>
        <c:auto val="1"/>
        <c:lblAlgn val="ctr"/>
        <c:lblOffset val="100"/>
        <c:noMultiLvlLbl val="0"/>
      </c:catAx>
      <c:valAx>
        <c:axId val="433244808"/>
        <c:scaling>
          <c:orientation val="minMax"/>
        </c:scaling>
        <c:delete val="0"/>
        <c:axPos val="l"/>
        <c:title>
          <c:tx>
            <c:strRef>
              <c:f>'07_Investments'!$A$91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6043381048338539E-2"/>
              <c:y val="0.38254831898113884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24363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9.0446093818993406E-2"/>
          <c:y val="0.74207261280612824"/>
          <c:w val="0.72603757030371263"/>
          <c:h val="6.747995705082353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11102778819321"/>
          <c:y val="0.14445906590443341"/>
          <c:w val="0.7194547348248137"/>
          <c:h val="0.58361341818574053"/>
        </c:manualLayout>
      </c:layout>
      <c:lineChart>
        <c:grouping val="standard"/>
        <c:varyColors val="0"/>
        <c:ser>
          <c:idx val="0"/>
          <c:order val="0"/>
          <c:tx>
            <c:strRef>
              <c:f>'07_Investments'!$A$118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00338D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tx2"/>
              </a:solidFill>
              <a:ln w="12700">
                <a:solidFill>
                  <a:schemeClr val="tx2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tx2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'07_Investments'!$B$110:$G$110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'07_Investments'!$B$114:$G$114</c:f>
              <c:numCache>
                <c:formatCode>0.0%</c:formatCode>
                <c:ptCount val="6"/>
                <c:pt idx="0">
                  <c:v>0.06</c:v>
                </c:pt>
                <c:pt idx="1">
                  <c:v>7.407407407407407E-2</c:v>
                </c:pt>
                <c:pt idx="2">
                  <c:v>8.0357142857142863E-2</c:v>
                </c:pt>
                <c:pt idx="3">
                  <c:v>0.13559322033898305</c:v>
                </c:pt>
                <c:pt idx="4">
                  <c:v>0.14754098360655737</c:v>
                </c:pt>
                <c:pt idx="5">
                  <c:v>0.14925373134328357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'07_Investments'!$A$115</c:f>
              <c:strCache>
                <c:ptCount val="1"/>
                <c:pt idx="0">
                  <c:v>TV</c:v>
                </c:pt>
              </c:strCache>
            </c:strRef>
          </c:tx>
          <c:spPr>
            <a:ln w="12700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'07_Investments'!$B$110:$G$110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'07_Investments'!$B$115:$G$115</c:f>
              <c:numCache>
                <c:formatCode>0%</c:formatCode>
                <c:ptCount val="6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3246376"/>
        <c:axId val="433247944"/>
      </c:lineChart>
      <c:catAx>
        <c:axId val="433246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247944"/>
        <c:crosses val="autoZero"/>
        <c:auto val="1"/>
        <c:lblAlgn val="ctr"/>
        <c:lblOffset val="100"/>
        <c:noMultiLvlLbl val="0"/>
      </c:catAx>
      <c:valAx>
        <c:axId val="433247944"/>
        <c:scaling>
          <c:orientation val="minMax"/>
        </c:scaling>
        <c:delete val="0"/>
        <c:axPos val="l"/>
        <c:title>
          <c:tx>
            <c:strRef>
              <c:f>'07_Investments'!$A$114</c:f>
              <c:strCache>
                <c:ptCount val="1"/>
                <c:pt idx="0">
                  <c:v>Investment ratio</c:v>
                </c:pt>
              </c:strCache>
            </c:strRef>
          </c:tx>
          <c:layout>
            <c:manualLayout>
              <c:xMode val="edge"/>
              <c:yMode val="edge"/>
              <c:x val="3.2648970779780774E-2"/>
              <c:y val="0.2424759446269409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24637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8627404451155924"/>
          <c:y val="0.84264480638550754"/>
          <c:w val="0.48224643152482682"/>
          <c:h val="9.0384112944786044E-2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26218889507486"/>
          <c:y val="0.22331889617801165"/>
          <c:w val="0.63937640168524024"/>
          <c:h val="0.452793114282335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'08_Adherence'!$A$16</c:f>
              <c:strCache>
                <c:ptCount val="1"/>
                <c:pt idx="0">
                  <c:v>Original planning</c:v>
                </c:pt>
              </c:strCache>
            </c:strRef>
          </c:tx>
          <c:spPr>
            <a:solidFill>
              <a:srgbClr val="00338D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'08_Adherence'!$E$15:$G$15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'08_Adherence'!$E$16:$G$16</c:f>
              <c:numCache>
                <c:formatCode>#,##0</c:formatCode>
                <c:ptCount val="3"/>
                <c:pt idx="0">
                  <c:v>61</c:v>
                </c:pt>
                <c:pt idx="1">
                  <c:v>63</c:v>
                </c:pt>
                <c:pt idx="2">
                  <c:v>70</c:v>
                </c:pt>
              </c:numCache>
            </c:numRef>
          </c:val>
        </c:ser>
        <c:ser>
          <c:idx val="1"/>
          <c:order val="1"/>
          <c:tx>
            <c:strRef>
              <c:f>'08_Adherence'!$A$17</c:f>
              <c:strCache>
                <c:ptCount val="1"/>
                <c:pt idx="0">
                  <c:v>Adjusted planning</c:v>
                </c:pt>
              </c:strCache>
            </c:strRef>
          </c:tx>
          <c:spPr>
            <a:solidFill>
              <a:srgbClr val="0091DA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'08_Adherence'!$E$15:$G$15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'08_Adherence'!$E$17:$G$17</c:f>
              <c:numCache>
                <c:formatCode>#,##0</c:formatCode>
                <c:ptCount val="3"/>
                <c:pt idx="0">
                  <c:v>59</c:v>
                </c:pt>
                <c:pt idx="1">
                  <c:v>61</c:v>
                </c:pt>
                <c:pt idx="2">
                  <c:v>67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433250688"/>
        <c:axId val="433252256"/>
      </c:barChart>
      <c:catAx>
        <c:axId val="433250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252256"/>
        <c:crosses val="autoZero"/>
        <c:auto val="1"/>
        <c:lblAlgn val="ctr"/>
        <c:lblOffset val="100"/>
        <c:noMultiLvlLbl val="0"/>
      </c:catAx>
      <c:valAx>
        <c:axId val="43325225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en-US"/>
                  <a:t>Sales (€m)</a:t>
                </a:r>
              </a:p>
            </c:rich>
          </c:tx>
          <c:layout>
            <c:manualLayout>
              <c:xMode val="edge"/>
              <c:yMode val="edge"/>
              <c:x val="2.5721472681455651E-2"/>
              <c:y val="0.34678160761074389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25068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2620624255416249"/>
          <c:y val="0.76025445576955297"/>
          <c:w val="0.47864683096423039"/>
          <c:h val="6.497195584061489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25400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55928008998876"/>
          <c:y val="0.12089763779527557"/>
          <c:w val="0.63729786276715406"/>
          <c:h val="0.476731209735146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'08_Adherence'!$A$36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0"/>
                  <c:y val="1.173983002314317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('08_Adherence'!$B$34,'08_Adherence'!$F$34,'08_Adherence'!$J$34)</c:f>
              <c:numCache>
                <c:formatCode>General</c:formatCode>
                <c:ptCount val="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</c:numCache>
            </c:numRef>
          </c:cat>
          <c:val>
            <c:numRef>
              <c:f>('08_Adherence'!$E$36,'08_Adherence'!$I$36,'08_Adherence'!$M$36)</c:f>
              <c:numCache>
                <c:formatCode>#,##0.0%\ ;\(#,##0.0\)%;</c:formatCode>
                <c:ptCount val="3"/>
                <c:pt idx="0">
                  <c:v>4.1666666666666741E-2</c:v>
                </c:pt>
                <c:pt idx="1">
                  <c:v>-1.8181818181818188E-2</c:v>
                </c:pt>
                <c:pt idx="2">
                  <c:v>1.8181818181818077E-2</c:v>
                </c:pt>
              </c:numCache>
            </c:numRef>
          </c:val>
        </c:ser>
        <c:ser>
          <c:idx val="1"/>
          <c:order val="1"/>
          <c:tx>
            <c:strRef>
              <c:f>'08_Adherence'!$A$37</c:f>
              <c:strCache>
                <c:ptCount val="1"/>
                <c:pt idx="0">
                  <c:v>EBITDA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-2.8582450015596566E-3"/>
                  <c:y val="8.7602887547300855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8.574735004678969E-3"/>
                  <c:y val="8.7602887547301635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1.1432980006238627E-2"/>
                  <c:y val="1.73069119300765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('08_Adherence'!$B$34,'08_Adherence'!$F$34,'08_Adherence'!$J$34)</c:f>
              <c:numCache>
                <c:formatCode>General</c:formatCode>
                <c:ptCount val="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</c:numCache>
            </c:numRef>
          </c:cat>
          <c:val>
            <c:numRef>
              <c:f>('08_Adherence'!$E$37,'08_Adherence'!$I$37,'08_Adherence'!$M$37)</c:f>
              <c:numCache>
                <c:formatCode>#,##0.0%\ ;\(#,##0.0\)%;</c:formatCode>
                <c:ptCount val="3"/>
                <c:pt idx="0">
                  <c:v>-0.29411764705882348</c:v>
                </c:pt>
                <c:pt idx="1">
                  <c:v>-0.32291666666666663</c:v>
                </c:pt>
                <c:pt idx="2">
                  <c:v>-0.31818181818181823</c:v>
                </c:pt>
              </c:numCache>
            </c:numRef>
          </c:val>
        </c:ser>
        <c:ser>
          <c:idx val="2"/>
          <c:order val="2"/>
          <c:tx>
            <c:strRef>
              <c:f>'08_Adherence'!$A$38</c:f>
              <c:strCache>
                <c:ptCount val="1"/>
                <c:pt idx="0">
                  <c:v>EBIT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2.8582450015596826E-3"/>
                  <c:y val="1.303393682363067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0"/>
                  <c:y val="1.73069119300765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1.0480110605253392E-16"/>
                  <c:y val="1.303360034240329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('08_Adherence'!$B$34,'08_Adherence'!$F$34,'08_Adherence'!$J$34)</c:f>
              <c:numCache>
                <c:formatCode>General</c:formatCode>
                <c:ptCount val="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</c:numCache>
            </c:numRef>
          </c:cat>
          <c:val>
            <c:numRef>
              <c:f>('08_Adherence'!$E$38,'08_Adherence'!$I$38,'08_Adherence'!$M$38)</c:f>
              <c:numCache>
                <c:formatCode>#,##0.0%\ ;\(#,##0.0\)%;</c:formatCode>
                <c:ptCount val="3"/>
                <c:pt idx="0">
                  <c:v>-0.43999999999999995</c:v>
                </c:pt>
                <c:pt idx="1">
                  <c:v>-0.38461538461538458</c:v>
                </c:pt>
                <c:pt idx="2">
                  <c:v>-0.35606060606060608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433253432"/>
        <c:axId val="433252648"/>
      </c:barChart>
      <c:catAx>
        <c:axId val="433253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252648"/>
        <c:crosses val="autoZero"/>
        <c:auto val="1"/>
        <c:lblAlgn val="ctr"/>
        <c:lblOffset val="100"/>
        <c:noMultiLvlLbl val="0"/>
      </c:catAx>
      <c:valAx>
        <c:axId val="433252648"/>
        <c:scaling>
          <c:orientation val="minMax"/>
        </c:scaling>
        <c:delete val="0"/>
        <c:axPos val="l"/>
        <c:numFmt formatCode="#,##0.0%\ ;\(#,##0.0\)%;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25343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6765804274465687"/>
          <c:y val="0.69545454545454544"/>
          <c:w val="0.41039820022497392"/>
          <c:h val="6.747995705082353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234015029353505"/>
          <c:y val="0.14934095787197152"/>
          <c:w val="0.70391766029246339"/>
          <c:h val="0.49166590142577782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'08_Adherence'!$A$65</c:f>
              <c:strCache>
                <c:ptCount val="1"/>
                <c:pt idx="0">
                  <c:v>Planning 2009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'08_Adherence'!$B$65</c:f>
              <c:numCache>
                <c:formatCode>#,##0</c:formatCode>
                <c:ptCount val="1"/>
                <c:pt idx="0">
                  <c:v>49</c:v>
                </c:pt>
              </c:numCache>
            </c:numRef>
          </c:val>
        </c:ser>
        <c:ser>
          <c:idx val="4"/>
          <c:order val="1"/>
          <c:tx>
            <c:strRef>
              <c:f>'08_Adherence'!$A$64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'08_Adherence'!$B$64</c:f>
              <c:numCache>
                <c:formatCode>#,##0</c:formatCode>
                <c:ptCount val="1"/>
                <c:pt idx="0">
                  <c:v>50</c:v>
                </c:pt>
              </c:numCache>
            </c:numRef>
          </c:val>
        </c:ser>
        <c:ser>
          <c:idx val="9"/>
          <c:order val="2"/>
          <c:tx>
            <c:strRef>
              <c:f>'08_Adherence'!$A$68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'08_Adherence'!$B$68</c:f>
              <c:numCache>
                <c:formatCode>General</c:formatCode>
                <c:ptCount val="1"/>
              </c:numCache>
            </c:numRef>
          </c:val>
        </c:ser>
        <c:ser>
          <c:idx val="2"/>
          <c:order val="3"/>
          <c:tx>
            <c:strRef>
              <c:f>'08_Adherence'!$A$65</c:f>
              <c:strCache>
                <c:ptCount val="1"/>
                <c:pt idx="0">
                  <c:v>Planning 2009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'08_Adherence'!$C$65</c:f>
              <c:numCache>
                <c:formatCode>#,##0</c:formatCode>
                <c:ptCount val="1"/>
                <c:pt idx="0">
                  <c:v>51</c:v>
                </c:pt>
              </c:numCache>
            </c:numRef>
          </c:val>
        </c:ser>
        <c:ser>
          <c:idx val="6"/>
          <c:order val="4"/>
          <c:tx>
            <c:strRef>
              <c:f>'08_Adherence'!$A$66</c:f>
              <c:strCache>
                <c:ptCount val="1"/>
                <c:pt idx="0">
                  <c:v>Planning 2010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'08_Adherence'!$C$66</c:f>
              <c:numCache>
                <c:formatCode>#,##0</c:formatCode>
                <c:ptCount val="1"/>
                <c:pt idx="0">
                  <c:v>52</c:v>
                </c:pt>
              </c:numCache>
            </c:numRef>
          </c:val>
        </c:ser>
        <c:ser>
          <c:idx val="0"/>
          <c:order val="5"/>
          <c:tx>
            <c:strRef>
              <c:f>'08_Adherence'!$A$64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'08_Adherence'!$C$64</c:f>
              <c:numCache>
                <c:formatCode>#,##0</c:formatCode>
                <c:ptCount val="1"/>
                <c:pt idx="0">
                  <c:v>54</c:v>
                </c:pt>
              </c:numCache>
            </c:numRef>
          </c:val>
        </c:ser>
        <c:ser>
          <c:idx val="10"/>
          <c:order val="6"/>
          <c:tx>
            <c:strRef>
              <c:f>'08_Adherence'!$A$68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'08_Adherence'!$B$68</c:f>
              <c:numCache>
                <c:formatCode>General</c:formatCode>
                <c:ptCount val="1"/>
              </c:numCache>
            </c:numRef>
          </c:val>
        </c:ser>
        <c:ser>
          <c:idx val="3"/>
          <c:order val="7"/>
          <c:tx>
            <c:strRef>
              <c:f>'08_Adherence'!$A$65</c:f>
              <c:strCache>
                <c:ptCount val="1"/>
                <c:pt idx="0">
                  <c:v>Planning 2009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'08_Adherence'!$D$65</c:f>
              <c:numCache>
                <c:formatCode>#,##0</c:formatCode>
                <c:ptCount val="1"/>
                <c:pt idx="0">
                  <c:v>53</c:v>
                </c:pt>
              </c:numCache>
            </c:numRef>
          </c:val>
        </c:ser>
        <c:ser>
          <c:idx val="7"/>
          <c:order val="8"/>
          <c:tx>
            <c:strRef>
              <c:f>'08_Adherence'!$A$66</c:f>
              <c:strCache>
                <c:ptCount val="1"/>
                <c:pt idx="0">
                  <c:v>Planning 2010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'08_Adherence'!$D$66</c:f>
              <c:numCache>
                <c:formatCode>#,##0</c:formatCode>
                <c:ptCount val="1"/>
                <c:pt idx="0">
                  <c:v>54</c:v>
                </c:pt>
              </c:numCache>
            </c:numRef>
          </c:val>
        </c:ser>
        <c:ser>
          <c:idx val="8"/>
          <c:order val="9"/>
          <c:tx>
            <c:strRef>
              <c:f>'08_Adherence'!$A$67</c:f>
              <c:strCache>
                <c:ptCount val="1"/>
                <c:pt idx="0">
                  <c:v>Planning 2011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'08_Adherence'!$D$67</c:f>
              <c:numCache>
                <c:formatCode>#,##0</c:formatCode>
                <c:ptCount val="1"/>
                <c:pt idx="0">
                  <c:v>55</c:v>
                </c:pt>
              </c:numCache>
            </c:numRef>
          </c:val>
        </c:ser>
        <c:ser>
          <c:idx val="5"/>
          <c:order val="10"/>
          <c:tx>
            <c:strRef>
              <c:f>'08_Adherence'!$A$64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'08_Adherence'!$D$64</c:f>
              <c:numCache>
                <c:formatCode>#,##0</c:formatCode>
                <c:ptCount val="1"/>
                <c:pt idx="0">
                  <c:v>56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5"/>
        <c:overlap val="-34"/>
        <c:axId val="433248336"/>
        <c:axId val="433253824"/>
      </c:barChart>
      <c:catAx>
        <c:axId val="433248336"/>
        <c:scaling>
          <c:orientation val="minMax"/>
        </c:scaling>
        <c:delete val="0"/>
        <c:axPos val="b"/>
        <c:numFmt formatCode="0000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253824"/>
        <c:crosses val="autoZero"/>
        <c:auto val="0"/>
        <c:lblAlgn val="ctr"/>
        <c:lblOffset val="100"/>
        <c:noMultiLvlLbl val="0"/>
      </c:catAx>
      <c:valAx>
        <c:axId val="433253824"/>
        <c:scaling>
          <c:orientation val="minMax"/>
          <c:max val="70"/>
          <c:min val="20"/>
        </c:scaling>
        <c:delete val="0"/>
        <c:axPos val="l"/>
        <c:title>
          <c:tx>
            <c:strRef>
              <c:f>'08_Adherence'!$A$75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6.3548572983382234E-2"/>
              <c:y val="0.2853033783020876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24833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55928008998876"/>
          <c:y val="0.16180672870436638"/>
          <c:w val="0.49444071991001343"/>
          <c:h val="0.4949130279169662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2"/>
            </a:solidFill>
            <a:ln w="25400">
              <a:noFill/>
            </a:ln>
          </c:spPr>
          <c:invertIfNegative val="0"/>
          <c:dPt>
            <c:idx val="1"/>
            <c:invertIfNegative val="0"/>
            <c:bubble3D val="0"/>
            <c:spPr>
              <a:solidFill>
                <a:schemeClr val="tx2"/>
              </a:solidFill>
              <a:ln w="25400">
                <a:noFill/>
              </a:ln>
            </c:spPr>
          </c:dPt>
          <c:dPt>
            <c:idx val="2"/>
            <c:invertIfNegative val="0"/>
            <c:bubble3D val="0"/>
            <c:spPr>
              <a:solidFill>
                <a:schemeClr val="tx2"/>
              </a:solidFill>
              <a:ln w="25400">
                <a:noFill/>
              </a:ln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'08_Adherence'!$E$82:$G$82</c:f>
              <c:numCache>
                <c:formatCode>General</c:formatCode>
                <c:ptCount val="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</c:numCache>
            </c:numRef>
          </c:cat>
          <c:val>
            <c:numRef>
              <c:f>('08_Adherence'!$E$86,'08_Adherence'!$F$89,'08_Adherence'!$G$92)</c:f>
              <c:numCache>
                <c:formatCode>0.0%</c:formatCode>
                <c:ptCount val="3"/>
                <c:pt idx="0">
                  <c:v>2.0408163265306145E-2</c:v>
                </c:pt>
                <c:pt idx="1">
                  <c:v>3.8461538461538547E-2</c:v>
                </c:pt>
                <c:pt idx="2">
                  <c:v>1.8181818181818077E-2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433249120"/>
        <c:axId val="433242456"/>
      </c:barChart>
      <c:catAx>
        <c:axId val="433249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∆ Actual/Plan Sales</a:t>
                </a:r>
              </a:p>
            </c:rich>
          </c:tx>
          <c:layout>
            <c:manualLayout>
              <c:xMode val="edge"/>
              <c:yMode val="edge"/>
              <c:x val="0.25525871766029246"/>
              <c:y val="0.7452747821104326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242456"/>
        <c:crosses val="autoZero"/>
        <c:auto val="1"/>
        <c:lblAlgn val="ctr"/>
        <c:lblOffset val="100"/>
        <c:noMultiLvlLbl val="0"/>
      </c:catAx>
      <c:valAx>
        <c:axId val="43324245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de-DE"/>
                  <a:t>Deviations (in %)</a:t>
                </a:r>
              </a:p>
            </c:rich>
          </c:tx>
          <c:layout>
            <c:manualLayout>
              <c:xMode val="edge"/>
              <c:yMode val="edge"/>
              <c:x val="2.5714285714285714E-2"/>
              <c:y val="0.24738833214030206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24912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87829021372327"/>
          <c:y val="0.15391385391113446"/>
          <c:w val="0.77555545556805605"/>
          <c:h val="0.527059790307652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'09_Sustainable year'!$B$16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tx2"/>
            </a:solidFill>
            <a:ln w="3175">
              <a:noFill/>
              <a:prstDash val="solid"/>
            </a:ln>
          </c:spPr>
          <c:invertIfNegative val="0"/>
          <c:dPt>
            <c:idx val="3"/>
            <c:invertIfNegative val="0"/>
            <c:bubble3D val="0"/>
            <c:spPr>
              <a:solidFill>
                <a:schemeClr val="accent1"/>
              </a:solidFill>
              <a:ln w="3175">
                <a:noFill/>
                <a:prstDash val="solid"/>
              </a:ln>
            </c:spPr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 w="3175">
                <a:noFill/>
                <a:prstDash val="solid"/>
              </a:ln>
            </c:spPr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 w="3175">
                <a:noFill/>
                <a:prstDash val="solid"/>
              </a:ln>
            </c:spPr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 w="3175">
                <a:noFill/>
                <a:prstDash val="solid"/>
              </a:ln>
            </c:spPr>
          </c:dPt>
          <c:trendline>
            <c:name>Trend</c:name>
            <c:spPr>
              <a:ln w="12700">
                <a:solidFill>
                  <a:schemeClr val="accent3"/>
                </a:solidFill>
              </a:ln>
            </c:spPr>
            <c:trendlineType val="linear"/>
            <c:dispRSqr val="0"/>
            <c:dispEq val="0"/>
          </c:trendline>
          <c:cat>
            <c:strRef>
              <c:f>'09_Sustainable year'!$B$15:$I$15</c:f>
              <c:strCach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7">
                  <c:v>Ø TV</c:v>
                </c:pt>
              </c:strCache>
            </c:strRef>
          </c:cat>
          <c:val>
            <c:numRef>
              <c:f>'09_Sustainable year'!$B$17:$I$17</c:f>
              <c:numCache>
                <c:formatCode>0.0</c:formatCode>
                <c:ptCount val="8"/>
                <c:pt idx="0">
                  <c:v>35</c:v>
                </c:pt>
                <c:pt idx="1">
                  <c:v>60</c:v>
                </c:pt>
                <c:pt idx="2">
                  <c:v>45</c:v>
                </c:pt>
                <c:pt idx="3">
                  <c:v>38</c:v>
                </c:pt>
                <c:pt idx="4">
                  <c:v>65</c:v>
                </c:pt>
                <c:pt idx="5">
                  <c:v>50</c:v>
                </c:pt>
                <c:pt idx="7" formatCode="0.00">
                  <c:v>57</c:v>
                </c:pt>
              </c:numCache>
            </c:numRef>
          </c:val>
        </c:ser>
        <c:ser>
          <c:idx val="1"/>
          <c:order val="1"/>
          <c:tx>
            <c:strRef>
              <c:f>'09_Sustainable year'!$E$16</c:f>
              <c:strCache>
                <c:ptCount val="1"/>
                <c:pt idx="0">
                  <c:v>Plan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'09_Sustainable year'!$B$15:$I$15</c:f>
              <c:strCach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7">
                  <c:v>Ø TV</c:v>
                </c:pt>
              </c:strCache>
            </c:strRef>
          </c:cat>
          <c:val>
            <c:numRef>
              <c:f>'09_Sustainable year'!$A$13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33249904"/>
        <c:axId val="433247552"/>
      </c:barChart>
      <c:catAx>
        <c:axId val="433249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247552"/>
        <c:crosses val="autoZero"/>
        <c:auto val="1"/>
        <c:lblAlgn val="ctr"/>
        <c:lblOffset val="100"/>
        <c:noMultiLvlLbl val="0"/>
      </c:catAx>
      <c:valAx>
        <c:axId val="433247552"/>
        <c:scaling>
          <c:orientation val="minMax"/>
        </c:scaling>
        <c:delete val="0"/>
        <c:axPos val="l"/>
        <c:title>
          <c:tx>
            <c:strRef>
              <c:f>'09_Sustainable year'!$A$20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1.2864846864085334E-2"/>
              <c:y val="0.31296436308649689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24990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8581375924600274"/>
          <c:y val="0.80454603045528306"/>
          <c:w val="0.49388321433028198"/>
          <c:h val="6.3639515035564934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25400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01489489657488"/>
          <c:y val="0.21684405548377694"/>
          <c:w val="0.66415750021481068"/>
          <c:h val="0.53968682707231252"/>
        </c:manualLayout>
      </c:layout>
      <c:areaChart>
        <c:grouping val="standard"/>
        <c:varyColors val="0"/>
        <c:ser>
          <c:idx val="0"/>
          <c:order val="0"/>
          <c:tx>
            <c:strRef>
              <c:f>'09_Sustainable year'!$A$51</c:f>
              <c:strCache>
                <c:ptCount val="1"/>
                <c:pt idx="0">
                  <c:v>Peer group Min-Max Sales growth</c:v>
                </c:pt>
              </c:strCache>
            </c:strRef>
          </c:tx>
          <c:spPr>
            <a:solidFill>
              <a:schemeClr val="tx2"/>
            </a:solidFill>
            <a:ln w="3175">
              <a:noFill/>
              <a:prstDash val="solid"/>
            </a:ln>
          </c:spPr>
          <c:cat>
            <c:numRef>
              <c:f>'09_Sustainable year'!$B$39:$G$39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'09_Sustainable year'!$B$46:$G$46</c:f>
              <c:numCache>
                <c:formatCode>0.0%</c:formatCode>
                <c:ptCount val="6"/>
                <c:pt idx="0">
                  <c:v>5.5E-2</c:v>
                </c:pt>
                <c:pt idx="1">
                  <c:v>5.1999999999999998E-2</c:v>
                </c:pt>
                <c:pt idx="2">
                  <c:v>5.1999999999999998E-2</c:v>
                </c:pt>
                <c:pt idx="3">
                  <c:v>5.1999999999999998E-2</c:v>
                </c:pt>
                <c:pt idx="4">
                  <c:v>5.1999999999999998E-2</c:v>
                </c:pt>
                <c:pt idx="5">
                  <c:v>5.1999999999999998E-2</c:v>
                </c:pt>
              </c:numCache>
            </c:numRef>
          </c:val>
        </c:ser>
        <c:ser>
          <c:idx val="1"/>
          <c:order val="1"/>
          <c:tx>
            <c:strRef>
              <c:f>'09_Sustainable year'!$A$52</c:f>
              <c:strCache>
                <c:ptCount val="1"/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'09_Sustainable year'!$B$39:$G$39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'09_Sustainable year'!$B$47:$G$47</c:f>
              <c:numCache>
                <c:formatCode>0.0%</c:formatCode>
                <c:ptCount val="6"/>
                <c:pt idx="0">
                  <c:v>3.7999999999999999E-2</c:v>
                </c:pt>
                <c:pt idx="1">
                  <c:v>0.04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  <c:pt idx="5">
                  <c:v>0.04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250296"/>
        <c:axId val="433251472"/>
      </c:areaChart>
      <c:areaChart>
        <c:grouping val="standard"/>
        <c:varyColors val="0"/>
        <c:ser>
          <c:idx val="2"/>
          <c:order val="3"/>
          <c:tx>
            <c:strRef>
              <c:f>'09_Sustainable year'!$A$68</c:f>
              <c:strCache>
                <c:ptCount val="1"/>
                <c:pt idx="0">
                  <c:v>Peer group Min-Max EBIT margin</c:v>
                </c:pt>
              </c:strCache>
            </c:strRef>
          </c:tx>
          <c:spPr>
            <a:solidFill>
              <a:schemeClr val="accent1"/>
            </a:solidFill>
          </c:spPr>
          <c:val>
            <c:numRef>
              <c:f>'09_Sustainable year'!$B$63:$G$63</c:f>
              <c:numCache>
                <c:formatCode>0.0%</c:formatCode>
                <c:ptCount val="6"/>
                <c:pt idx="0">
                  <c:v>2.3E-2</c:v>
                </c:pt>
                <c:pt idx="1">
                  <c:v>2.1999999999999999E-2</c:v>
                </c:pt>
                <c:pt idx="2">
                  <c:v>2.1999999999999999E-2</c:v>
                </c:pt>
                <c:pt idx="3">
                  <c:v>0.02</c:v>
                </c:pt>
                <c:pt idx="4">
                  <c:v>2.1999999999999999E-2</c:v>
                </c:pt>
                <c:pt idx="5">
                  <c:v>2.4E-2</c:v>
                </c:pt>
              </c:numCache>
            </c:numRef>
          </c:val>
        </c:ser>
        <c:ser>
          <c:idx val="5"/>
          <c:order val="4"/>
          <c:tx>
            <c:strRef>
              <c:f>'09_Sustainable year'!$A$69</c:f>
              <c:strCache>
                <c:ptCount val="1"/>
              </c:strCache>
            </c:strRef>
          </c:tx>
          <c:spPr>
            <a:solidFill>
              <a:schemeClr val="bg1"/>
            </a:solidFill>
          </c:spPr>
          <c:val>
            <c:numRef>
              <c:f>'09_Sustainable year'!$B$64:$G$64</c:f>
              <c:numCache>
                <c:formatCode>0.0%</c:formatCode>
                <c:ptCount val="6"/>
                <c:pt idx="0">
                  <c:v>0.01</c:v>
                </c:pt>
                <c:pt idx="1">
                  <c:v>0.01</c:v>
                </c:pt>
                <c:pt idx="2">
                  <c:v>1.2E-2</c:v>
                </c:pt>
                <c:pt idx="3">
                  <c:v>1.2999999999999999E-2</c:v>
                </c:pt>
                <c:pt idx="4">
                  <c:v>1.2E-2</c:v>
                </c:pt>
                <c:pt idx="5">
                  <c:v>0.01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251864"/>
        <c:axId val="433254216"/>
      </c:areaChart>
      <c:lineChart>
        <c:grouping val="standard"/>
        <c:varyColors val="0"/>
        <c:ser>
          <c:idx val="3"/>
          <c:order val="2"/>
          <c:tx>
            <c:strRef>
              <c:f>'09_Sustainable year'!$A$50</c:f>
              <c:strCache>
                <c:ptCount val="1"/>
                <c:pt idx="0">
                  <c:v>XXX AG Sales growth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'09_Sustainable year'!$B$41:$G$41</c:f>
              <c:numCache>
                <c:formatCode>0.0%</c:formatCode>
                <c:ptCount val="6"/>
                <c:pt idx="0">
                  <c:v>0.06</c:v>
                </c:pt>
                <c:pt idx="1">
                  <c:v>5.7000000000000002E-2</c:v>
                </c:pt>
                <c:pt idx="2">
                  <c:v>5.1999999999999998E-2</c:v>
                </c:pt>
                <c:pt idx="3">
                  <c:v>0.05</c:v>
                </c:pt>
                <c:pt idx="4">
                  <c:v>4.9000000000000002E-2</c:v>
                </c:pt>
                <c:pt idx="5">
                  <c:v>4.8000000000000001E-2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3250296"/>
        <c:axId val="433251472"/>
      </c:lineChart>
      <c:lineChart>
        <c:grouping val="standard"/>
        <c:varyColors val="0"/>
        <c:ser>
          <c:idx val="4"/>
          <c:order val="5"/>
          <c:tx>
            <c:strRef>
              <c:f>'09_Sustainable year'!$A$67</c:f>
              <c:strCache>
                <c:ptCount val="1"/>
                <c:pt idx="0">
                  <c:v>XXX AG EBIT margin</c:v>
                </c:pt>
              </c:strCache>
            </c:strRef>
          </c:tx>
          <c:spPr>
            <a:ln w="12700">
              <a:solidFill>
                <a:schemeClr val="accent3"/>
              </a:solidFill>
            </a:ln>
          </c:spPr>
          <c:marker>
            <c:symbol val="diamond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cat>
            <c:numRef>
              <c:f>'09_Sustainable year'!$B$56:$G$56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'09_Sustainable year'!$B$58:$G$58</c:f>
              <c:numCache>
                <c:formatCode>0.0%</c:formatCode>
                <c:ptCount val="6"/>
                <c:pt idx="0">
                  <c:v>-0.01</c:v>
                </c:pt>
                <c:pt idx="1">
                  <c:v>0</c:v>
                </c:pt>
                <c:pt idx="2">
                  <c:v>0.01</c:v>
                </c:pt>
                <c:pt idx="3">
                  <c:v>1.2999999999999999E-2</c:v>
                </c:pt>
                <c:pt idx="4">
                  <c:v>1.4E-2</c:v>
                </c:pt>
                <c:pt idx="5">
                  <c:v>1.4999999999999999E-2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3251864"/>
        <c:axId val="433254216"/>
      </c:lineChart>
      <c:catAx>
        <c:axId val="433250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251472"/>
        <c:crosses val="autoZero"/>
        <c:auto val="1"/>
        <c:lblAlgn val="ctr"/>
        <c:lblOffset val="100"/>
        <c:noMultiLvlLbl val="0"/>
      </c:catAx>
      <c:valAx>
        <c:axId val="433251472"/>
        <c:scaling>
          <c:orientation val="minMax"/>
          <c:min val="-2.0000000000000011E-2"/>
        </c:scaling>
        <c:delete val="0"/>
        <c:axPos val="l"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800" b="0" i="0" u="none" strike="noStrike" kern="1200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800" b="0" i="0" baseline="0"/>
                  <a:t>EBIT margin/</a:t>
                </a:r>
                <a:endParaRPr lang="de-DE" sz="800"/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800" b="0" i="0" u="none" strike="noStrike" kern="1200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DE"/>
                  <a:t>Sales  growth</a:t>
                </a:r>
              </a:p>
            </c:rich>
          </c:tx>
          <c:layout>
            <c:manualLayout>
              <c:xMode val="edge"/>
              <c:yMode val="edge"/>
              <c:x val="6.1479944065145019E-4"/>
              <c:y val="0.3523352430094473"/>
            </c:manualLayout>
          </c:layout>
          <c:overlay val="0"/>
        </c:title>
        <c:numFmt formatCode="0%;\(0\)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250296"/>
        <c:crosses val="autoZero"/>
        <c:crossBetween val="between"/>
      </c:valAx>
      <c:valAx>
        <c:axId val="433254216"/>
        <c:scaling>
          <c:orientation val="minMax"/>
          <c:max val="7.0000000000000021E-2"/>
        </c:scaling>
        <c:delete val="1"/>
        <c:axPos val="r"/>
        <c:numFmt formatCode="0%" sourceLinked="0"/>
        <c:majorTickMark val="out"/>
        <c:minorTickMark val="none"/>
        <c:tickLblPos val="none"/>
        <c:crossAx val="433251864"/>
        <c:crosses val="max"/>
        <c:crossBetween val="between"/>
        <c:majorUnit val="1.0000000000000005E-2"/>
      </c:valAx>
      <c:catAx>
        <c:axId val="433251864"/>
        <c:scaling>
          <c:orientation val="minMax"/>
        </c:scaling>
        <c:delete val="1"/>
        <c:axPos val="b"/>
        <c:majorTickMark val="out"/>
        <c:minorTickMark val="none"/>
        <c:tickLblPos val="none"/>
        <c:crossAx val="433254216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"/>
          <c:y val="0.79814842648719797"/>
          <c:w val="0.80692877739195035"/>
          <c:h val="0.1074789335543583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11969063369743"/>
          <c:y val="0.15905251781607793"/>
          <c:w val="0.63910882069485331"/>
          <c:h val="0.49015122335714395"/>
        </c:manualLayout>
      </c:layout>
      <c:areaChart>
        <c:grouping val="standard"/>
        <c:varyColors val="0"/>
        <c:ser>
          <c:idx val="0"/>
          <c:order val="0"/>
          <c:tx>
            <c:strRef>
              <c:f>'09_Sustainable year'!$A$88</c:f>
              <c:strCache>
                <c:ptCount val="1"/>
                <c:pt idx="0">
                  <c:v>PG Min-Max EBIT margin</c:v>
                </c:pt>
              </c:strCache>
            </c:strRef>
          </c:tx>
          <c:spPr>
            <a:solidFill>
              <a:schemeClr val="tx2"/>
            </a:solidFill>
            <a:ln w="3175">
              <a:noFill/>
              <a:prstDash val="solid"/>
            </a:ln>
          </c:spPr>
          <c:cat>
            <c:numRef>
              <c:f>'09_Sustainable year'!$B$75:$G$75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'09_Sustainable year'!$B$83:$G$83</c:f>
              <c:numCache>
                <c:formatCode>0.0%</c:formatCode>
                <c:ptCount val="6"/>
                <c:pt idx="0">
                  <c:v>5.5E-2</c:v>
                </c:pt>
                <c:pt idx="1">
                  <c:v>5.1999999999999998E-2</c:v>
                </c:pt>
                <c:pt idx="2">
                  <c:v>5.1999999999999998E-2</c:v>
                </c:pt>
                <c:pt idx="3">
                  <c:v>5.1999999999999998E-2</c:v>
                </c:pt>
                <c:pt idx="4">
                  <c:v>5.1999999999999998E-2</c:v>
                </c:pt>
                <c:pt idx="5">
                  <c:v>5.1999999999999998E-2</c:v>
                </c:pt>
              </c:numCache>
            </c:numRef>
          </c:val>
        </c:ser>
        <c:ser>
          <c:idx val="1"/>
          <c:order val="1"/>
          <c:tx>
            <c:strRef>
              <c:f>'09_Sustainable year'!$A$87</c:f>
              <c:strCache>
                <c:ptCount val="1"/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'09_Sustainable year'!$B$75:$G$75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'09_Sustainable year'!$B$84:$G$84</c:f>
              <c:numCache>
                <c:formatCode>0.0%</c:formatCode>
                <c:ptCount val="6"/>
                <c:pt idx="0">
                  <c:v>3.7999999999999999E-2</c:v>
                </c:pt>
                <c:pt idx="1">
                  <c:v>0.04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  <c:pt idx="5">
                  <c:v>0.04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244024"/>
        <c:axId val="433242848"/>
      </c:areaChart>
      <c:lineChart>
        <c:grouping val="standard"/>
        <c:varyColors val="0"/>
        <c:ser>
          <c:idx val="3"/>
          <c:order val="2"/>
          <c:tx>
            <c:strRef>
              <c:f>'09_Sustainable year'!$A$77</c:f>
              <c:strCache>
                <c:ptCount val="1"/>
                <c:pt idx="0">
                  <c:v>XXX AG Excess return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'09_Sustainable year'!$B$77:$G$77</c:f>
              <c:numCache>
                <c:formatCode>0.0%</c:formatCode>
                <c:ptCount val="6"/>
                <c:pt idx="0">
                  <c:v>0.06</c:v>
                </c:pt>
                <c:pt idx="1">
                  <c:v>5.7000000000000002E-2</c:v>
                </c:pt>
                <c:pt idx="2">
                  <c:v>5.1999999999999998E-2</c:v>
                </c:pt>
                <c:pt idx="3">
                  <c:v>0.05</c:v>
                </c:pt>
                <c:pt idx="4">
                  <c:v>4.9000000000000002E-2</c:v>
                </c:pt>
                <c:pt idx="5">
                  <c:v>4.8000000000000001E-2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'09_Sustainable year'!$A$78</c:f>
              <c:strCache>
                <c:ptCount val="1"/>
                <c:pt idx="0">
                  <c:v>XXX AG Returns below the margin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'09_Sustainable year'!$B$78:$G$78</c:f>
              <c:numCache>
                <c:formatCode>0.0%</c:formatCode>
                <c:ptCount val="6"/>
                <c:pt idx="0">
                  <c:v>3.5000000000000003E-2</c:v>
                </c:pt>
                <c:pt idx="1">
                  <c:v>3.6999999999999998E-2</c:v>
                </c:pt>
                <c:pt idx="2">
                  <c:v>0.04</c:v>
                </c:pt>
                <c:pt idx="3">
                  <c:v>4.2000000000000003E-2</c:v>
                </c:pt>
                <c:pt idx="4">
                  <c:v>4.2999999999999997E-2</c:v>
                </c:pt>
                <c:pt idx="5">
                  <c:v>4.2999999999999997E-2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3244024"/>
        <c:axId val="433242848"/>
      </c:lineChart>
      <c:catAx>
        <c:axId val="433244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242848"/>
        <c:crosses val="autoZero"/>
        <c:auto val="1"/>
        <c:lblAlgn val="ctr"/>
        <c:lblOffset val="100"/>
        <c:noMultiLvlLbl val="0"/>
      </c:catAx>
      <c:valAx>
        <c:axId val="433242848"/>
        <c:scaling>
          <c:orientation val="minMax"/>
          <c:max val="6.5000000000000002E-2"/>
          <c:min val="3.0000000000000002E-2"/>
        </c:scaling>
        <c:delete val="0"/>
        <c:axPos val="l"/>
        <c:title>
          <c:tx>
            <c:strRef>
              <c:f>'09_Sustainable year'!$A$75</c:f>
              <c:strCache>
                <c:ptCount val="1"/>
                <c:pt idx="0">
                  <c:v>EBIT margin</c:v>
                </c:pt>
              </c:strCache>
            </c:strRef>
          </c:tx>
          <c:layout>
            <c:manualLayout>
              <c:xMode val="edge"/>
              <c:yMode val="edge"/>
              <c:x val="9.6136127510056766E-3"/>
              <c:y val="0.26859343155171456"/>
            </c:manualLayout>
          </c:layout>
          <c:overlay val="0"/>
          <c:txPr>
            <a:bodyPr rot="-5400000" vert="horz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800" b="0" i="0" u="none" strike="noStrike" kern="1200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0.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244024"/>
        <c:crosses val="autoZero"/>
        <c:crossBetween val="midCat"/>
        <c:majorUnit val="5.0000000000000114E-3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1.4023721264854357E-2"/>
          <c:y val="0.73001586836029453"/>
          <c:w val="0.80128688412371318"/>
          <c:h val="0.1181950680233738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01664791901014"/>
          <c:y val="0.1527158196134574"/>
          <c:w val="0.69513017232990937"/>
          <c:h val="0.4160980672870446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'09_Sustainable year'!$A$103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Pt>
            <c:idx val="6"/>
            <c:invertIfNegative val="0"/>
            <c:bubble3D val="0"/>
            <c:spPr>
              <a:solidFill>
                <a:schemeClr val="accent1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'09_Sustainable year'!$B$101:$I$101</c:f>
              <c:strCach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Ø 2010-2015</c:v>
                </c:pt>
                <c:pt idx="7">
                  <c:v>Ø Market</c:v>
                </c:pt>
              </c:strCache>
            </c:strRef>
          </c:cat>
          <c:val>
            <c:numRef>
              <c:f>'09_Sustainable year'!$B$103:$I$103</c:f>
              <c:numCache>
                <c:formatCode>0</c:formatCode>
                <c:ptCount val="8"/>
                <c:pt idx="0">
                  <c:v>50</c:v>
                </c:pt>
                <c:pt idx="1">
                  <c:v>54</c:v>
                </c:pt>
                <c:pt idx="2">
                  <c:v>56</c:v>
                </c:pt>
                <c:pt idx="3">
                  <c:v>59</c:v>
                </c:pt>
                <c:pt idx="4">
                  <c:v>61</c:v>
                </c:pt>
                <c:pt idx="5">
                  <c:v>67</c:v>
                </c:pt>
                <c:pt idx="6">
                  <c:v>57.833333333333336</c:v>
                </c:pt>
                <c:pt idx="7">
                  <c:v>55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45035424"/>
        <c:axId val="445044440"/>
      </c:barChart>
      <c:catAx>
        <c:axId val="445035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anchor="t" anchorCtr="0"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45044440"/>
        <c:crosses val="autoZero"/>
        <c:auto val="1"/>
        <c:lblAlgn val="ctr"/>
        <c:lblOffset val="100"/>
        <c:tickLblSkip val="1"/>
        <c:noMultiLvlLbl val="0"/>
      </c:catAx>
      <c:valAx>
        <c:axId val="445044440"/>
        <c:scaling>
          <c:orientation val="minMax"/>
        </c:scaling>
        <c:delete val="0"/>
        <c:axPos val="l"/>
        <c:title>
          <c:tx>
            <c:strRef>
              <c:f>'09_Sustainable year'!$A$106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2.5714339285379466E-2"/>
              <c:y val="0.27187826966976208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4503542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696611509095544"/>
          <c:y val="0.10208251150117764"/>
          <c:w val="0.74105568236855868"/>
          <c:h val="0.62640336950435527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tx2"/>
            </a:solidFill>
            <a:ln w="3175">
              <a:solidFill>
                <a:schemeClr val="bg1"/>
              </a:solidFill>
            </a:ln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'09_Sustainable year'!$A$121:$A$125</c:f>
              <c:strCache>
                <c:ptCount val="5"/>
                <c:pt idx="0">
                  <c:v>EBITDA margin 2015</c:v>
                </c:pt>
                <c:pt idx="1">
                  <c:v>Effect 1</c:v>
                </c:pt>
                <c:pt idx="2">
                  <c:v>Effect 2</c:v>
                </c:pt>
                <c:pt idx="3">
                  <c:v>Effect 3</c:v>
                </c:pt>
                <c:pt idx="4">
                  <c:v>EBITDA margin TV</c:v>
                </c:pt>
              </c:strCache>
            </c:strRef>
          </c:cat>
          <c:val>
            <c:numRef>
              <c:f>'09_Sustainable year'!$C$121:$C$125</c:f>
              <c:numCache>
                <c:formatCode>0.0%</c:formatCode>
                <c:ptCount val="5"/>
                <c:pt idx="0">
                  <c:v>0.224</c:v>
                </c:pt>
                <c:pt idx="4">
                  <c:v>0.23400000000000001</c:v>
                </c:pt>
              </c:numCache>
            </c:numRef>
          </c:val>
        </c:ser>
        <c:ser>
          <c:idx val="1"/>
          <c:order val="1"/>
          <c:spPr>
            <a:solidFill>
              <a:srgbClr val="BFDEE4">
                <a:alpha val="0"/>
              </a:srgbClr>
            </a:solidFill>
            <a:ln w="25400">
              <a:noFill/>
            </a:ln>
          </c:spPr>
          <c:invertIfNegative val="0"/>
          <c:dLbls>
            <c:delete val="1"/>
          </c:dLbls>
          <c:cat>
            <c:strRef>
              <c:f>'09_Sustainable year'!$A$121:$A$125</c:f>
              <c:strCache>
                <c:ptCount val="5"/>
                <c:pt idx="0">
                  <c:v>EBITDA margin 2015</c:v>
                </c:pt>
                <c:pt idx="1">
                  <c:v>Effect 1</c:v>
                </c:pt>
                <c:pt idx="2">
                  <c:v>Effect 2</c:v>
                </c:pt>
                <c:pt idx="3">
                  <c:v>Effect 3</c:v>
                </c:pt>
                <c:pt idx="4">
                  <c:v>EBITDA margin TV</c:v>
                </c:pt>
              </c:strCache>
            </c:strRef>
          </c:cat>
          <c:val>
            <c:numRef>
              <c:f>'09_Sustainable year'!$D$121:$D$125</c:f>
              <c:numCache>
                <c:formatCode>0.0%</c:formatCode>
                <c:ptCount val="5"/>
                <c:pt idx="1">
                  <c:v>0.222</c:v>
                </c:pt>
                <c:pt idx="2">
                  <c:v>0.222</c:v>
                </c:pt>
                <c:pt idx="3">
                  <c:v>0.224</c:v>
                </c:pt>
              </c:numCache>
            </c:numRef>
          </c:val>
        </c:ser>
        <c:ser>
          <c:idx val="2"/>
          <c:order val="2"/>
          <c:spPr>
            <a:solidFill>
              <a:schemeClr val="accent1"/>
            </a:solidFill>
            <a:ln w="3175">
              <a:solidFill>
                <a:schemeClr val="bg1"/>
              </a:solidFill>
            </a:ln>
          </c:spPr>
          <c:invertIfNegative val="0"/>
          <c:dLbls>
            <c:dLbl>
              <c:idx val="1"/>
              <c:layout>
                <c:manualLayout>
                  <c:x val="0"/>
                  <c:y val="-5.11213145020837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6.5966416422192294E-17"/>
                  <c:y val="-5.18966835577558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7.1964194696578837E-3"/>
                  <c:y val="-2.9069089306773895E-3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7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0"/>
                  <c:y val="6.81617526694450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'09_Sustainable year'!$A$121:$A$125</c:f>
              <c:strCache>
                <c:ptCount val="5"/>
                <c:pt idx="0">
                  <c:v>EBITDA margin 2015</c:v>
                </c:pt>
                <c:pt idx="1">
                  <c:v>Effect 1</c:v>
                </c:pt>
                <c:pt idx="2">
                  <c:v>Effect 2</c:v>
                </c:pt>
                <c:pt idx="3">
                  <c:v>Effect 3</c:v>
                </c:pt>
                <c:pt idx="4">
                  <c:v>EBITDA margin TV</c:v>
                </c:pt>
              </c:strCache>
            </c:strRef>
          </c:cat>
          <c:val>
            <c:numRef>
              <c:f>'09_Sustainable year'!$E$121:$E$125</c:f>
              <c:numCache>
                <c:formatCode>0.0%</c:formatCode>
                <c:ptCount val="5"/>
                <c:pt idx="1">
                  <c:v>2E-3</c:v>
                </c:pt>
                <c:pt idx="2">
                  <c:v>2E-3</c:v>
                </c:pt>
                <c:pt idx="3">
                  <c:v>0.01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100"/>
        <c:axId val="445037776"/>
        <c:axId val="445045224"/>
      </c:barChart>
      <c:catAx>
        <c:axId val="445037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445045224"/>
        <c:crosses val="autoZero"/>
        <c:auto val="1"/>
        <c:lblAlgn val="ctr"/>
        <c:lblOffset val="100"/>
        <c:tickLblSkip val="1"/>
        <c:noMultiLvlLbl val="0"/>
      </c:catAx>
      <c:valAx>
        <c:axId val="445045224"/>
        <c:scaling>
          <c:orientation val="minMax"/>
          <c:min val="0.2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EBITDA  </a:t>
                </a:r>
                <a:r>
                  <a:rPr lang="de-DE" baseline="0"/>
                  <a:t> margin</a:t>
                </a:r>
                <a:endParaRPr lang="de-DE"/>
              </a:p>
            </c:rich>
          </c:tx>
          <c:layout>
            <c:manualLayout>
              <c:xMode val="edge"/>
              <c:yMode val="edge"/>
              <c:x val="3.2813315561456897E-2"/>
              <c:y val="0.21133601839973348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crossAx val="445037776"/>
        <c:crosses val="autoZero"/>
        <c:crossBetween val="between"/>
        <c:majorUnit val="1.0000000000000005E-2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 algn="ctr">
        <a:defRPr lang="de-DE" sz="800" b="0" i="0" u="none" strike="noStrike" kern="1200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075995842400043"/>
          <c:y val="0.14748721115742885"/>
          <c:w val="0.75056972579282033"/>
          <c:h val="0.67676516905974993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'09_Sustainable year'!$B$142</c:f>
              <c:strCache>
                <c:ptCount val="1"/>
                <c:pt idx="0">
                  <c:v>France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('09_Sustainable year'!$A$144,'09_Sustainable year'!$A$147)</c:f>
              <c:strCache>
                <c:ptCount val="2"/>
                <c:pt idx="0">
                  <c:v>EBT TV share</c:v>
                </c:pt>
                <c:pt idx="1">
                  <c:v>Proportionate tax rate</c:v>
                </c:pt>
              </c:strCache>
            </c:strRef>
          </c:cat>
          <c:val>
            <c:numRef>
              <c:f>('09_Sustainable year'!$B$144,'09_Sustainable year'!$B$147)</c:f>
              <c:numCache>
                <c:formatCode>0.0%</c:formatCode>
                <c:ptCount val="2"/>
                <c:pt idx="0">
                  <c:v>0.4</c:v>
                </c:pt>
                <c:pt idx="1">
                  <c:v>0.14399999999999999</c:v>
                </c:pt>
              </c:numCache>
            </c:numRef>
          </c:val>
        </c:ser>
        <c:ser>
          <c:idx val="1"/>
          <c:order val="1"/>
          <c:tx>
            <c:strRef>
              <c:f>'09_Sustainable year'!$C$142</c:f>
              <c:strCache>
                <c:ptCount val="1"/>
                <c:pt idx="0">
                  <c:v>Germany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('09_Sustainable year'!$A$144,'09_Sustainable year'!$A$147)</c:f>
              <c:strCache>
                <c:ptCount val="2"/>
                <c:pt idx="0">
                  <c:v>EBT TV share</c:v>
                </c:pt>
                <c:pt idx="1">
                  <c:v>Proportionate tax rate</c:v>
                </c:pt>
              </c:strCache>
            </c:strRef>
          </c:cat>
          <c:val>
            <c:numRef>
              <c:f>('09_Sustainable year'!$C$144,'09_Sustainable year'!$C$147)</c:f>
              <c:numCache>
                <c:formatCode>0.0%</c:formatCode>
                <c:ptCount val="2"/>
                <c:pt idx="0">
                  <c:v>0.3</c:v>
                </c:pt>
                <c:pt idx="1">
                  <c:v>0.09</c:v>
                </c:pt>
              </c:numCache>
            </c:numRef>
          </c:val>
        </c:ser>
        <c:ser>
          <c:idx val="2"/>
          <c:order val="2"/>
          <c:tx>
            <c:strRef>
              <c:f>'09_Sustainable year'!$D$142</c:f>
              <c:strCache>
                <c:ptCount val="1"/>
                <c:pt idx="0">
                  <c:v>Estonia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('09_Sustainable year'!$A$144,'09_Sustainable year'!$A$147)</c:f>
              <c:strCache>
                <c:ptCount val="2"/>
                <c:pt idx="0">
                  <c:v>EBT TV share</c:v>
                </c:pt>
                <c:pt idx="1">
                  <c:v>Proportionate tax rate</c:v>
                </c:pt>
              </c:strCache>
            </c:strRef>
          </c:cat>
          <c:val>
            <c:numRef>
              <c:f>('09_Sustainable year'!$D$144,'09_Sustainable year'!$D$147)</c:f>
              <c:numCache>
                <c:formatCode>0.0%</c:formatCode>
                <c:ptCount val="2"/>
                <c:pt idx="0">
                  <c:v>0.3</c:v>
                </c:pt>
                <c:pt idx="1">
                  <c:v>0.06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serLines>
          <c:spPr>
            <a:ln>
              <a:prstDash val="dash"/>
            </a:ln>
          </c:spPr>
        </c:serLines>
        <c:axId val="445040520"/>
        <c:axId val="445038952"/>
      </c:barChart>
      <c:catAx>
        <c:axId val="445040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45038952"/>
        <c:crosses val="autoZero"/>
        <c:auto val="1"/>
        <c:lblAlgn val="ctr"/>
        <c:lblOffset val="100"/>
        <c:noMultiLvlLbl val="0"/>
      </c:catAx>
      <c:valAx>
        <c:axId val="44503895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4504052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0158087739032624"/>
          <c:y val="0.91255418072740446"/>
          <c:w val="0.60660759285431265"/>
          <c:h val="4.7128858892638417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6549149324323978"/>
          <c:y val="0.46335749123806053"/>
          <c:w val="0.26351771593298712"/>
          <c:h val="0.35065087728119632"/>
        </c:manualLayout>
      </c:layout>
      <c:radarChart>
        <c:radarStyle val="filled"/>
        <c:varyColors val="0"/>
        <c:ser>
          <c:idx val="0"/>
          <c:order val="0"/>
          <c:tx>
            <c:strRef>
              <c:f>'99_Others'!$Y$5</c:f>
              <c:strCache>
                <c:ptCount val="1"/>
                <c:pt idx="0">
                  <c:v>XXX AG</c:v>
                </c:pt>
              </c:strCache>
            </c:strRef>
          </c:tx>
          <c:spPr>
            <a:solidFill>
              <a:schemeClr val="tx2"/>
            </a:solidFill>
            <a:ln>
              <a:solidFill>
                <a:schemeClr val="tx2"/>
              </a:solidFill>
            </a:ln>
            <a:scene3d>
              <a:camera prst="orthographicFront"/>
              <a:lightRig rig="threePt" dir="t"/>
            </a:scene3d>
            <a:sp3d>
              <a:bevelT/>
            </a:sp3d>
          </c:spPr>
          <c:cat>
            <c:strRef>
              <c:f>'99_Others'!$X$10:$X$14</c:f>
              <c:strCache>
                <c:ptCount val="5"/>
                <c:pt idx="0">
                  <c:v>Share Germany</c:v>
                </c:pt>
                <c:pt idx="1">
                  <c:v>Share France</c:v>
                </c:pt>
                <c:pt idx="2">
                  <c:v>Share Netherlands</c:v>
                </c:pt>
                <c:pt idx="3">
                  <c:v>Share Poland</c:v>
                </c:pt>
                <c:pt idx="4">
                  <c:v>Share Serbia</c:v>
                </c:pt>
              </c:strCache>
            </c:strRef>
          </c:cat>
          <c:val>
            <c:numRef>
              <c:f>'99_Others'!$Y$10:$Y$14</c:f>
              <c:numCache>
                <c:formatCode>0.0%</c:formatCode>
                <c:ptCount val="5"/>
                <c:pt idx="0">
                  <c:v>65</c:v>
                </c:pt>
                <c:pt idx="1">
                  <c:v>30</c:v>
                </c:pt>
                <c:pt idx="2">
                  <c:v>20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</c:ser>
        <c:ser>
          <c:idx val="1"/>
          <c:order val="1"/>
          <c:tx>
            <c:strRef>
              <c:f>'99_Others'!$Z$5</c:f>
              <c:strCache>
                <c:ptCount val="1"/>
                <c:pt idx="0">
                  <c:v>Total market</c:v>
                </c:pt>
              </c:strCache>
            </c:strRef>
          </c:tx>
          <c:spPr>
            <a:noFill/>
            <a:ln w="12700">
              <a:solidFill>
                <a:srgbClr val="0091DA"/>
              </a:solidFill>
              <a:prstDash val="solid"/>
            </a:ln>
            <a:scene3d>
              <a:camera prst="orthographicFront"/>
              <a:lightRig rig="threePt" dir="t"/>
            </a:scene3d>
            <a:sp3d>
              <a:bevelT/>
            </a:sp3d>
          </c:spPr>
          <c:cat>
            <c:strRef>
              <c:f>'99_Others'!$X$10:$X$14</c:f>
              <c:strCache>
                <c:ptCount val="5"/>
                <c:pt idx="0">
                  <c:v>Share Germany</c:v>
                </c:pt>
                <c:pt idx="1">
                  <c:v>Share France</c:v>
                </c:pt>
                <c:pt idx="2">
                  <c:v>Share Netherlands</c:v>
                </c:pt>
                <c:pt idx="3">
                  <c:v>Share Poland</c:v>
                </c:pt>
                <c:pt idx="4">
                  <c:v>Share Serbia</c:v>
                </c:pt>
              </c:strCache>
            </c:strRef>
          </c:cat>
          <c:val>
            <c:numRef>
              <c:f>'99_Others'!$Z$10:$Z$14</c:f>
              <c:numCache>
                <c:formatCode>0.0%</c:formatCode>
                <c:ptCount val="5"/>
                <c:pt idx="0">
                  <c:v>42.67</c:v>
                </c:pt>
                <c:pt idx="1">
                  <c:v>26.669999999999998</c:v>
                </c:pt>
                <c:pt idx="2">
                  <c:v>25</c:v>
                </c:pt>
                <c:pt idx="3">
                  <c:v>7.0000000000000009</c:v>
                </c:pt>
                <c:pt idx="4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046792"/>
        <c:axId val="445035032"/>
      </c:radarChart>
      <c:catAx>
        <c:axId val="44504679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445035032"/>
        <c:crosses val="autoZero"/>
        <c:auto val="1"/>
        <c:lblAlgn val="ctr"/>
        <c:lblOffset val="100"/>
        <c:noMultiLvlLbl val="0"/>
      </c:catAx>
      <c:valAx>
        <c:axId val="445035032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0.0%" sourceLinked="0"/>
        <c:majorTickMark val="cross"/>
        <c:minorTickMark val="none"/>
        <c:tickLblPos val="none"/>
        <c:spPr>
          <a:solidFill>
            <a:schemeClr val="tx2"/>
          </a:solidFill>
          <a:ln>
            <a:solidFill>
              <a:schemeClr val="bg1">
                <a:lumMod val="85000"/>
              </a:schemeClr>
            </a:solidFill>
          </a:ln>
        </c:spPr>
        <c:crossAx val="4450467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6232217467056817"/>
          <c:y val="0.87153018372703073"/>
          <c:w val="0.32621735443474498"/>
          <c:h val="7.0894058697208301E-2"/>
        </c:manualLayout>
      </c:layout>
      <c:overlay val="0"/>
    </c:legend>
    <c:plotVisOnly val="0"/>
    <c:dispBlanksAs val="gap"/>
    <c:showDLblsOverMax val="0"/>
  </c:chart>
  <c:spPr>
    <a:noFill/>
    <a:ln>
      <a:noFill/>
    </a:ln>
  </c:spPr>
  <c:txPr>
    <a:bodyPr/>
    <a:lstStyle/>
    <a:p>
      <a:pPr>
        <a:defRPr sz="8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trlProps/ctrlProp1.xml><?xml version="1.0" encoding="utf-8"?>
<formControlPr xmlns="http://schemas.microsoft.com/office/spreadsheetml/2009/9/main" objectType="Radio" checked="Checked" firstButton="1" fmlaLink="$B$6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Scroll" dx="16" fmlaLink="$I$30" horiz="1" max="100" page="10"/>
</file>

<file path=xl/ctrlProps/ctrlProp4.xml><?xml version="1.0" encoding="utf-8"?>
<formControlPr xmlns="http://schemas.microsoft.com/office/spreadsheetml/2009/9/main" objectType="Scroll" dx="16" fmlaLink="$I$23" horiz="1" max="100" page="10"/>
</file>

<file path=xl/ctrlProps/ctrlProp5.xml><?xml version="1.0" encoding="utf-8"?>
<formControlPr xmlns="http://schemas.microsoft.com/office/spreadsheetml/2009/9/main" objectType="Scroll" dx="16" fmlaLink="$I$16" horiz="1" max="100" page="10"/>
</file>

<file path=xl/ctrlProps/ctrlProp6.xml><?xml version="1.0" encoding="utf-8"?>
<formControlPr xmlns="http://schemas.microsoft.com/office/spreadsheetml/2009/9/main" objectType="Scroll" dx="16" fmlaLink="$I$9" horiz="1" max="100" page="1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10" Type="http://schemas.openxmlformats.org/officeDocument/2006/relationships/chart" Target="../charts/chart13.xml"/><Relationship Id="rId19" Type="http://schemas.openxmlformats.org/officeDocument/2006/relationships/image" Target="../media/image1.png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9.xml"/><Relationship Id="rId13" Type="http://schemas.openxmlformats.org/officeDocument/2006/relationships/chart" Target="../charts/chart34.xml"/><Relationship Id="rId18" Type="http://schemas.openxmlformats.org/officeDocument/2006/relationships/chart" Target="../charts/chart38.xml"/><Relationship Id="rId3" Type="http://schemas.openxmlformats.org/officeDocument/2006/relationships/chart" Target="../charts/chart24.xml"/><Relationship Id="rId7" Type="http://schemas.openxmlformats.org/officeDocument/2006/relationships/chart" Target="../charts/chart28.xml"/><Relationship Id="rId12" Type="http://schemas.openxmlformats.org/officeDocument/2006/relationships/chart" Target="../charts/chart33.xml"/><Relationship Id="rId17" Type="http://schemas.openxmlformats.org/officeDocument/2006/relationships/chart" Target="../charts/chart37.xml"/><Relationship Id="rId2" Type="http://schemas.openxmlformats.org/officeDocument/2006/relationships/chart" Target="../charts/chart23.xml"/><Relationship Id="rId16" Type="http://schemas.openxmlformats.org/officeDocument/2006/relationships/image" Target="../media/image1.png"/><Relationship Id="rId1" Type="http://schemas.openxmlformats.org/officeDocument/2006/relationships/chart" Target="../charts/chart22.xml"/><Relationship Id="rId6" Type="http://schemas.openxmlformats.org/officeDocument/2006/relationships/chart" Target="../charts/chart27.xml"/><Relationship Id="rId11" Type="http://schemas.openxmlformats.org/officeDocument/2006/relationships/chart" Target="../charts/chart32.xml"/><Relationship Id="rId5" Type="http://schemas.openxmlformats.org/officeDocument/2006/relationships/chart" Target="../charts/chart26.xml"/><Relationship Id="rId15" Type="http://schemas.openxmlformats.org/officeDocument/2006/relationships/chart" Target="../charts/chart36.xml"/><Relationship Id="rId10" Type="http://schemas.openxmlformats.org/officeDocument/2006/relationships/chart" Target="../charts/chart31.xml"/><Relationship Id="rId19" Type="http://schemas.openxmlformats.org/officeDocument/2006/relationships/chart" Target="../charts/chart39.xml"/><Relationship Id="rId4" Type="http://schemas.openxmlformats.org/officeDocument/2006/relationships/chart" Target="../charts/chart25.xml"/><Relationship Id="rId9" Type="http://schemas.openxmlformats.org/officeDocument/2006/relationships/chart" Target="../charts/chart30.xml"/><Relationship Id="rId14" Type="http://schemas.openxmlformats.org/officeDocument/2006/relationships/chart" Target="../charts/chart35.xml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7.xml"/><Relationship Id="rId13" Type="http://schemas.openxmlformats.org/officeDocument/2006/relationships/chart" Target="../charts/chart52.xml"/><Relationship Id="rId18" Type="http://schemas.openxmlformats.org/officeDocument/2006/relationships/chart" Target="../charts/chart57.xml"/><Relationship Id="rId26" Type="http://schemas.openxmlformats.org/officeDocument/2006/relationships/chart" Target="../charts/chart64.xml"/><Relationship Id="rId3" Type="http://schemas.openxmlformats.org/officeDocument/2006/relationships/chart" Target="../charts/chart42.xml"/><Relationship Id="rId21" Type="http://schemas.openxmlformats.org/officeDocument/2006/relationships/chart" Target="../charts/chart60.xml"/><Relationship Id="rId7" Type="http://schemas.openxmlformats.org/officeDocument/2006/relationships/chart" Target="../charts/chart46.xml"/><Relationship Id="rId12" Type="http://schemas.openxmlformats.org/officeDocument/2006/relationships/chart" Target="../charts/chart51.xml"/><Relationship Id="rId17" Type="http://schemas.openxmlformats.org/officeDocument/2006/relationships/chart" Target="../charts/chart56.xml"/><Relationship Id="rId25" Type="http://schemas.openxmlformats.org/officeDocument/2006/relationships/image" Target="../media/image1.png"/><Relationship Id="rId2" Type="http://schemas.openxmlformats.org/officeDocument/2006/relationships/chart" Target="../charts/chart41.xml"/><Relationship Id="rId16" Type="http://schemas.openxmlformats.org/officeDocument/2006/relationships/chart" Target="../charts/chart55.xml"/><Relationship Id="rId20" Type="http://schemas.openxmlformats.org/officeDocument/2006/relationships/chart" Target="../charts/chart59.xml"/><Relationship Id="rId1" Type="http://schemas.openxmlformats.org/officeDocument/2006/relationships/chart" Target="../charts/chart40.xml"/><Relationship Id="rId6" Type="http://schemas.openxmlformats.org/officeDocument/2006/relationships/chart" Target="../charts/chart45.xml"/><Relationship Id="rId11" Type="http://schemas.openxmlformats.org/officeDocument/2006/relationships/chart" Target="../charts/chart50.xml"/><Relationship Id="rId24" Type="http://schemas.openxmlformats.org/officeDocument/2006/relationships/chart" Target="../charts/chart63.xml"/><Relationship Id="rId5" Type="http://schemas.openxmlformats.org/officeDocument/2006/relationships/chart" Target="../charts/chart44.xml"/><Relationship Id="rId15" Type="http://schemas.openxmlformats.org/officeDocument/2006/relationships/chart" Target="../charts/chart54.xml"/><Relationship Id="rId23" Type="http://schemas.openxmlformats.org/officeDocument/2006/relationships/chart" Target="../charts/chart62.xml"/><Relationship Id="rId28" Type="http://schemas.openxmlformats.org/officeDocument/2006/relationships/chart" Target="../charts/chart66.xml"/><Relationship Id="rId10" Type="http://schemas.openxmlformats.org/officeDocument/2006/relationships/chart" Target="../charts/chart49.xml"/><Relationship Id="rId19" Type="http://schemas.openxmlformats.org/officeDocument/2006/relationships/chart" Target="../charts/chart58.xml"/><Relationship Id="rId4" Type="http://schemas.openxmlformats.org/officeDocument/2006/relationships/chart" Target="../charts/chart43.xml"/><Relationship Id="rId9" Type="http://schemas.openxmlformats.org/officeDocument/2006/relationships/chart" Target="../charts/chart48.xml"/><Relationship Id="rId14" Type="http://schemas.openxmlformats.org/officeDocument/2006/relationships/chart" Target="../charts/chart53.xml"/><Relationship Id="rId22" Type="http://schemas.openxmlformats.org/officeDocument/2006/relationships/chart" Target="../charts/chart61.xml"/><Relationship Id="rId27" Type="http://schemas.openxmlformats.org/officeDocument/2006/relationships/chart" Target="../charts/chart65.xml"/></Relationships>
</file>

<file path=xl/drawings/_rels/drawing5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3" Type="http://schemas.openxmlformats.org/officeDocument/2006/relationships/chart" Target="../charts/chart69.xml"/><Relationship Id="rId7" Type="http://schemas.openxmlformats.org/officeDocument/2006/relationships/chart" Target="../charts/chart73.xml"/><Relationship Id="rId2" Type="http://schemas.openxmlformats.org/officeDocument/2006/relationships/chart" Target="../charts/chart68.xml"/><Relationship Id="rId1" Type="http://schemas.openxmlformats.org/officeDocument/2006/relationships/chart" Target="../charts/chart67.xml"/><Relationship Id="rId6" Type="http://schemas.openxmlformats.org/officeDocument/2006/relationships/chart" Target="../charts/chart72.xml"/><Relationship Id="rId5" Type="http://schemas.openxmlformats.org/officeDocument/2006/relationships/chart" Target="../charts/chart71.xml"/><Relationship Id="rId4" Type="http://schemas.openxmlformats.org/officeDocument/2006/relationships/chart" Target="../charts/chart70.xml"/></Relationships>
</file>

<file path=xl/drawings/_rels/drawing5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5.xml"/><Relationship Id="rId2" Type="http://schemas.openxmlformats.org/officeDocument/2006/relationships/image" Target="../media/image1.png"/><Relationship Id="rId1" Type="http://schemas.openxmlformats.org/officeDocument/2006/relationships/chart" Target="../charts/chart74.xml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76.xml"/></Relationships>
</file>

<file path=xl/drawings/_rels/drawing5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77.xml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0.xml"/><Relationship Id="rId2" Type="http://schemas.openxmlformats.org/officeDocument/2006/relationships/chart" Target="../charts/chart79.xml"/><Relationship Id="rId1" Type="http://schemas.openxmlformats.org/officeDocument/2006/relationships/chart" Target="../charts/chart78.xml"/><Relationship Id="rId5" Type="http://schemas.openxmlformats.org/officeDocument/2006/relationships/image" Target="../media/image1.png"/><Relationship Id="rId4" Type="http://schemas.openxmlformats.org/officeDocument/2006/relationships/chart" Target="../charts/chart81.xml"/></Relationships>
</file>

<file path=xl/drawings/_rels/drawing6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4.xml"/><Relationship Id="rId2" Type="http://schemas.openxmlformats.org/officeDocument/2006/relationships/chart" Target="../charts/chart83.xml"/><Relationship Id="rId1" Type="http://schemas.openxmlformats.org/officeDocument/2006/relationships/chart" Target="../charts/chart82.xml"/><Relationship Id="rId5" Type="http://schemas.openxmlformats.org/officeDocument/2006/relationships/image" Target="../media/image1.png"/><Relationship Id="rId4" Type="http://schemas.openxmlformats.org/officeDocument/2006/relationships/chart" Target="../charts/chart85.xml"/></Relationships>
</file>

<file path=xl/drawings/_rels/drawing7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8.xml"/><Relationship Id="rId2" Type="http://schemas.openxmlformats.org/officeDocument/2006/relationships/chart" Target="../charts/chart87.xml"/><Relationship Id="rId1" Type="http://schemas.openxmlformats.org/officeDocument/2006/relationships/chart" Target="../charts/chart86.xml"/><Relationship Id="rId5" Type="http://schemas.openxmlformats.org/officeDocument/2006/relationships/image" Target="../media/image1.png"/><Relationship Id="rId4" Type="http://schemas.openxmlformats.org/officeDocument/2006/relationships/chart" Target="../charts/chart89.xml"/></Relationships>
</file>

<file path=xl/drawings/_rels/drawing7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2.xml"/><Relationship Id="rId7" Type="http://schemas.openxmlformats.org/officeDocument/2006/relationships/image" Target="../media/image1.png"/><Relationship Id="rId2" Type="http://schemas.openxmlformats.org/officeDocument/2006/relationships/chart" Target="../charts/chart91.xml"/><Relationship Id="rId1" Type="http://schemas.openxmlformats.org/officeDocument/2006/relationships/chart" Target="../charts/chart90.xml"/><Relationship Id="rId6" Type="http://schemas.openxmlformats.org/officeDocument/2006/relationships/chart" Target="../charts/chart95.xml"/><Relationship Id="rId5" Type="http://schemas.openxmlformats.org/officeDocument/2006/relationships/chart" Target="../charts/chart94.xml"/><Relationship Id="rId4" Type="http://schemas.openxmlformats.org/officeDocument/2006/relationships/chart" Target="../charts/chart93.xml"/></Relationships>
</file>

<file path=xl/drawings/_rels/drawing7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96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4</xdr:row>
          <xdr:rowOff>161925</xdr:rowOff>
        </xdr:from>
        <xdr:to>
          <xdr:col>3</xdr:col>
          <xdr:colOff>1828800</xdr:colOff>
          <xdr:row>6</xdr:row>
          <xdr:rowOff>19050</xdr:rowOff>
        </xdr:to>
        <xdr:sp macro="" textlink="">
          <xdr:nvSpPr>
            <xdr:cNvPr id="5193" name="Option Button 73" descr="Cost of Sales approach" hidden="1">
              <a:extLst>
                <a:ext uri="{63B3BB69-23CF-44E3-9099-C40C66FF867C}">
                  <a14:compatExt spid="_x0000_s5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Cost of Sales approach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5</xdr:row>
          <xdr:rowOff>171450</xdr:rowOff>
        </xdr:from>
        <xdr:to>
          <xdr:col>3</xdr:col>
          <xdr:colOff>1828800</xdr:colOff>
          <xdr:row>7</xdr:row>
          <xdr:rowOff>28575</xdr:rowOff>
        </xdr:to>
        <xdr:sp macro="" textlink="">
          <xdr:nvSpPr>
            <xdr:cNvPr id="5194" name="Option Button 74" hidden="1">
              <a:extLst>
                <a:ext uri="{63B3BB69-23CF-44E3-9099-C40C66FF867C}">
                  <a14:compatExt spid="_x0000_s5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Total Cost approach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10767</xdr:colOff>
      <xdr:row>0</xdr:row>
      <xdr:rowOff>0</xdr:rowOff>
    </xdr:from>
    <xdr:to>
      <xdr:col>3</xdr:col>
      <xdr:colOff>16565</xdr:colOff>
      <xdr:row>0</xdr:row>
      <xdr:rowOff>255539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67" y="0"/>
          <a:ext cx="569015" cy="2555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397565</xdr:colOff>
      <xdr:row>0</xdr:row>
      <xdr:rowOff>255539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124238</xdr:colOff>
      <xdr:row>15</xdr:row>
      <xdr:rowOff>54666</xdr:rowOff>
    </xdr:from>
    <xdr:to>
      <xdr:col>11</xdr:col>
      <xdr:colOff>196021</xdr:colOff>
      <xdr:row>32</xdr:row>
      <xdr:rowOff>11642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245993</xdr:colOff>
      <xdr:row>15</xdr:row>
      <xdr:rowOff>82827</xdr:rowOff>
    </xdr:from>
    <xdr:to>
      <xdr:col>17</xdr:col>
      <xdr:colOff>599384</xdr:colOff>
      <xdr:row>32</xdr:row>
      <xdr:rowOff>39803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0</xdr:colOff>
      <xdr:row>49</xdr:row>
      <xdr:rowOff>0</xdr:rowOff>
    </xdr:from>
    <xdr:to>
      <xdr:col>9</xdr:col>
      <xdr:colOff>101600</xdr:colOff>
      <xdr:row>68</xdr:row>
      <xdr:rowOff>79375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7" name="Grafik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49697</xdr:colOff>
      <xdr:row>16</xdr:row>
      <xdr:rowOff>129208</xdr:rowOff>
    </xdr:from>
    <xdr:to>
      <xdr:col>12</xdr:col>
      <xdr:colOff>356152</xdr:colOff>
      <xdr:row>29</xdr:row>
      <xdr:rowOff>1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139413</xdr:colOff>
      <xdr:row>41</xdr:row>
      <xdr:rowOff>66675</xdr:rowOff>
    </xdr:from>
    <xdr:to>
      <xdr:col>16</xdr:col>
      <xdr:colOff>82827</xdr:colOff>
      <xdr:row>58</xdr:row>
      <xdr:rowOff>27421</xdr:rowOff>
    </xdr:to>
    <xdr:graphicFrame macro="">
      <xdr:nvGraphicFramePr>
        <xdr:cNvPr id="10" name="Diagramm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217005</xdr:colOff>
      <xdr:row>76</xdr:row>
      <xdr:rowOff>120097</xdr:rowOff>
    </xdr:from>
    <xdr:to>
      <xdr:col>9</xdr:col>
      <xdr:colOff>377687</xdr:colOff>
      <xdr:row>92</xdr:row>
      <xdr:rowOff>7003</xdr:rowOff>
    </xdr:to>
    <xdr:graphicFrame macro="">
      <xdr:nvGraphicFramePr>
        <xdr:cNvPr id="25" name="Diagramm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273884</xdr:colOff>
      <xdr:row>97</xdr:row>
      <xdr:rowOff>44263</xdr:rowOff>
    </xdr:from>
    <xdr:to>
      <xdr:col>16</xdr:col>
      <xdr:colOff>217298</xdr:colOff>
      <xdr:row>115</xdr:row>
      <xdr:rowOff>5009</xdr:rowOff>
    </xdr:to>
    <xdr:graphicFrame macro="">
      <xdr:nvGraphicFramePr>
        <xdr:cNvPr id="26" name="Diagramm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773797</xdr:colOff>
      <xdr:row>114</xdr:row>
      <xdr:rowOff>92127</xdr:rowOff>
    </xdr:from>
    <xdr:to>
      <xdr:col>16</xdr:col>
      <xdr:colOff>33563</xdr:colOff>
      <xdr:row>129</xdr:row>
      <xdr:rowOff>4844</xdr:rowOff>
    </xdr:to>
    <xdr:graphicFrame macro="">
      <xdr:nvGraphicFramePr>
        <xdr:cNvPr id="27" name="Diagramm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10</xdr:col>
      <xdr:colOff>742942</xdr:colOff>
      <xdr:row>127</xdr:row>
      <xdr:rowOff>57139</xdr:rowOff>
    </xdr:from>
    <xdr:to>
      <xdr:col>16</xdr:col>
      <xdr:colOff>381957</xdr:colOff>
      <xdr:row>141</xdr:row>
      <xdr:rowOff>193078</xdr:rowOff>
    </xdr:to>
    <xdr:graphicFrame macro="">
      <xdr:nvGraphicFramePr>
        <xdr:cNvPr id="29" name="Diagramm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11</xdr:col>
      <xdr:colOff>281181</xdr:colOff>
      <xdr:row>144</xdr:row>
      <xdr:rowOff>65941</xdr:rowOff>
    </xdr:from>
    <xdr:to>
      <xdr:col>15</xdr:col>
      <xdr:colOff>547926</xdr:colOff>
      <xdr:row>162</xdr:row>
      <xdr:rowOff>31217</xdr:rowOff>
    </xdr:to>
    <xdr:graphicFrame macro="">
      <xdr:nvGraphicFramePr>
        <xdr:cNvPr id="30" name="Diagramm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11</xdr:col>
      <xdr:colOff>500823</xdr:colOff>
      <xdr:row>161</xdr:row>
      <xdr:rowOff>92124</xdr:rowOff>
    </xdr:from>
    <xdr:to>
      <xdr:col>16</xdr:col>
      <xdr:colOff>271096</xdr:colOff>
      <xdr:row>175</xdr:row>
      <xdr:rowOff>139210</xdr:rowOff>
    </xdr:to>
    <xdr:graphicFrame macro="">
      <xdr:nvGraphicFramePr>
        <xdr:cNvPr id="31" name="Diagramm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395212</xdr:colOff>
      <xdr:row>164</xdr:row>
      <xdr:rowOff>81916</xdr:rowOff>
    </xdr:from>
    <xdr:to>
      <xdr:col>14</xdr:col>
      <xdr:colOff>264806</xdr:colOff>
      <xdr:row>165</xdr:row>
      <xdr:rowOff>114300</xdr:rowOff>
    </xdr:to>
    <xdr:sp macro="" textlink="">
      <xdr:nvSpPr>
        <xdr:cNvPr id="32" name="Rechteck 31"/>
        <xdr:cNvSpPr/>
      </xdr:nvSpPr>
      <xdr:spPr>
        <a:xfrm rot="20340763">
          <a:off x="10252226" y="26425345"/>
          <a:ext cx="1643966" cy="173898"/>
        </a:xfrm>
        <a:prstGeom prst="rect">
          <a:avLst/>
        </a:prstGeom>
        <a:solidFill>
          <a:srgbClr val="C6007E">
            <a:alpha val="99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9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Alternative</a:t>
          </a:r>
        </a:p>
      </xdr:txBody>
    </xdr:sp>
    <xdr:clientData/>
  </xdr:twoCellAnchor>
  <xdr:twoCellAnchor editAs="oneCell">
    <xdr:from>
      <xdr:col>11</xdr:col>
      <xdr:colOff>563439</xdr:colOff>
      <xdr:row>177</xdr:row>
      <xdr:rowOff>10989</xdr:rowOff>
    </xdr:from>
    <xdr:to>
      <xdr:col>17</xdr:col>
      <xdr:colOff>11722</xdr:colOff>
      <xdr:row>190</xdr:row>
      <xdr:rowOff>131410</xdr:rowOff>
    </xdr:to>
    <xdr:graphicFrame macro="">
      <xdr:nvGraphicFramePr>
        <xdr:cNvPr id="33" name="Diagramm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11</xdr:col>
      <xdr:colOff>609600</xdr:colOff>
      <xdr:row>194</xdr:row>
      <xdr:rowOff>38100</xdr:rowOff>
    </xdr:from>
    <xdr:to>
      <xdr:col>17</xdr:col>
      <xdr:colOff>438150</xdr:colOff>
      <xdr:row>209</xdr:row>
      <xdr:rowOff>135548</xdr:rowOff>
    </xdr:to>
    <xdr:graphicFrame macro="">
      <xdr:nvGraphicFramePr>
        <xdr:cNvPr id="34" name="Diagramm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5</xdr:col>
      <xdr:colOff>819422</xdr:colOff>
      <xdr:row>227</xdr:row>
      <xdr:rowOff>90394</xdr:rowOff>
    </xdr:from>
    <xdr:to>
      <xdr:col>12</xdr:col>
      <xdr:colOff>387868</xdr:colOff>
      <xdr:row>245</xdr:row>
      <xdr:rowOff>98456</xdr:rowOff>
    </xdr:to>
    <xdr:graphicFrame macro="">
      <xdr:nvGraphicFramePr>
        <xdr:cNvPr id="35" name="Diagramm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5</xdr:col>
      <xdr:colOff>847176</xdr:colOff>
      <xdr:row>243</xdr:row>
      <xdr:rowOff>110361</xdr:rowOff>
    </xdr:from>
    <xdr:to>
      <xdr:col>12</xdr:col>
      <xdr:colOff>405118</xdr:colOff>
      <xdr:row>262</xdr:row>
      <xdr:rowOff>7020</xdr:rowOff>
    </xdr:to>
    <xdr:graphicFrame macro="">
      <xdr:nvGraphicFramePr>
        <xdr:cNvPr id="36" name="Diagramm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5</xdr:col>
      <xdr:colOff>705971</xdr:colOff>
      <xdr:row>263</xdr:row>
      <xdr:rowOff>30064</xdr:rowOff>
    </xdr:from>
    <xdr:to>
      <xdr:col>11</xdr:col>
      <xdr:colOff>711787</xdr:colOff>
      <xdr:row>277</xdr:row>
      <xdr:rowOff>56029</xdr:rowOff>
    </xdr:to>
    <xdr:graphicFrame macro="">
      <xdr:nvGraphicFramePr>
        <xdr:cNvPr id="37" name="Diagramm 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5</xdr:col>
      <xdr:colOff>716258</xdr:colOff>
      <xdr:row>281</xdr:row>
      <xdr:rowOff>245622</xdr:rowOff>
    </xdr:from>
    <xdr:to>
      <xdr:col>11</xdr:col>
      <xdr:colOff>694766</xdr:colOff>
      <xdr:row>296</xdr:row>
      <xdr:rowOff>0</xdr:rowOff>
    </xdr:to>
    <xdr:graphicFrame macro="">
      <xdr:nvGraphicFramePr>
        <xdr:cNvPr id="38" name="Diagramm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5</xdr:col>
      <xdr:colOff>886945</xdr:colOff>
      <xdr:row>299</xdr:row>
      <xdr:rowOff>67236</xdr:rowOff>
    </xdr:from>
    <xdr:to>
      <xdr:col>11</xdr:col>
      <xdr:colOff>728383</xdr:colOff>
      <xdr:row>313</xdr:row>
      <xdr:rowOff>46585</xdr:rowOff>
    </xdr:to>
    <xdr:graphicFrame macro="">
      <xdr:nvGraphicFramePr>
        <xdr:cNvPr id="39" name="Diagramm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7</xdr:col>
      <xdr:colOff>300404</xdr:colOff>
      <xdr:row>315</xdr:row>
      <xdr:rowOff>11256</xdr:rowOff>
    </xdr:from>
    <xdr:to>
      <xdr:col>13</xdr:col>
      <xdr:colOff>732691</xdr:colOff>
      <xdr:row>332</xdr:row>
      <xdr:rowOff>43961</xdr:rowOff>
    </xdr:to>
    <xdr:graphicFrame macro="">
      <xdr:nvGraphicFramePr>
        <xdr:cNvPr id="40" name="Diagramm 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oneCell">
    <xdr:from>
      <xdr:col>8</xdr:col>
      <xdr:colOff>0</xdr:colOff>
      <xdr:row>338</xdr:row>
      <xdr:rowOff>0</xdr:rowOff>
    </xdr:from>
    <xdr:to>
      <xdr:col>13</xdr:col>
      <xdr:colOff>627673</xdr:colOff>
      <xdr:row>357</xdr:row>
      <xdr:rowOff>9769</xdr:rowOff>
    </xdr:to>
    <xdr:graphicFrame macro="">
      <xdr:nvGraphicFramePr>
        <xdr:cNvPr id="41" name="Diagramm 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7</xdr:col>
      <xdr:colOff>0</xdr:colOff>
      <xdr:row>364</xdr:row>
      <xdr:rowOff>0</xdr:rowOff>
    </xdr:from>
    <xdr:to>
      <xdr:col>13</xdr:col>
      <xdr:colOff>48846</xdr:colOff>
      <xdr:row>383</xdr:row>
      <xdr:rowOff>26437</xdr:rowOff>
    </xdr:to>
    <xdr:graphicFrame macro="">
      <xdr:nvGraphicFramePr>
        <xdr:cNvPr id="42" name="Diagramm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22" name="Grafik 21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0.71786</cdr:x>
      <cdr:y>0.13362</cdr:y>
    </cdr:from>
    <cdr:to>
      <cdr:x>0.93782</cdr:x>
      <cdr:y>0.58592</cdr:y>
    </cdr:to>
    <cdr:grpSp>
      <cdr:nvGrpSpPr>
        <cdr:cNvPr id="14" name="Gruppieren 13"/>
        <cdr:cNvGrpSpPr/>
      </cdr:nvGrpSpPr>
      <cdr:grpSpPr>
        <a:xfrm xmlns:a="http://schemas.openxmlformats.org/drawingml/2006/main">
          <a:off x="3140358" y="314598"/>
          <a:ext cx="962239" cy="1064904"/>
          <a:chOff x="-28575" y="-9525"/>
          <a:chExt cx="977742" cy="1257476"/>
        </a:xfrm>
      </cdr:grpSpPr>
      <cdr:sp macro="" textlink="'10_Sales &amp; GP'!$I$45">
        <cdr:nvSpPr>
          <cdr:cNvPr id="2" name="Textfeld 19"/>
          <cdr:cNvSpPr txBox="1"/>
        </cdr:nvSpPr>
        <cdr:spPr>
          <a:xfrm xmlns:a="http://schemas.openxmlformats.org/drawingml/2006/main">
            <a:off x="36076" y="1083600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tx2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4224EBBD-6AE8-4884-B534-0521C80FCCE0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4.2%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45">
        <cdr:nvSpPr>
          <cdr:cNvPr id="3" name="Textfeld 20"/>
          <cdr:cNvSpPr txBox="1"/>
        </cdr:nvSpPr>
        <cdr:spPr>
          <a:xfrm xmlns:a="http://schemas.openxmlformats.org/drawingml/2006/main">
            <a:off x="532091" y="1081698"/>
            <a:ext cx="352425" cy="166253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tx2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13E91411-B1A2-405C-998F-A6FB843B7202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7.9%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47">
        <cdr:nvSpPr>
          <cdr:cNvPr id="4" name="Textfeld 21"/>
          <cdr:cNvSpPr txBox="1"/>
        </cdr:nvSpPr>
        <cdr:spPr>
          <a:xfrm xmlns:a="http://schemas.openxmlformats.org/drawingml/2006/main">
            <a:off x="36076" y="855000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9496058A-91A8-45B9-B453-E5954879BECF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(0.3)%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47">
        <cdr:nvSpPr>
          <cdr:cNvPr id="5" name="Textfeld 22"/>
          <cdr:cNvSpPr txBox="1"/>
        </cdr:nvSpPr>
        <cdr:spPr>
          <a:xfrm xmlns:a="http://schemas.openxmlformats.org/drawingml/2006/main">
            <a:off x="532091" y="867750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8D01C931-AC36-416D-8690-33CD9D2BB30B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3.2%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49">
        <cdr:nvSpPr>
          <cdr:cNvPr id="6" name="Textfeld 23"/>
          <cdr:cNvSpPr txBox="1"/>
        </cdr:nvSpPr>
        <cdr:spPr>
          <a:xfrm xmlns:a="http://schemas.openxmlformats.org/drawingml/2006/main">
            <a:off x="36076" y="629625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2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725DF452-3182-4243-94B2-B0A4F596070C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19.2%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49">
        <cdr:nvSpPr>
          <cdr:cNvPr id="7" name="Textfeld 24"/>
          <cdr:cNvSpPr txBox="1"/>
        </cdr:nvSpPr>
        <cdr:spPr>
          <a:xfrm xmlns:a="http://schemas.openxmlformats.org/drawingml/2006/main">
            <a:off x="532091" y="625386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2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1E8B251D-86F4-4B6E-9756-13AF871A39ED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8.9%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44">
        <cdr:nvSpPr>
          <cdr:cNvPr id="8" name="Textfeld 1"/>
          <cdr:cNvSpPr txBox="1"/>
        </cdr:nvSpPr>
        <cdr:spPr>
          <a:xfrm xmlns:a="http://schemas.openxmlformats.org/drawingml/2006/main">
            <a:off x="-28575" y="-9525"/>
            <a:ext cx="481727" cy="152387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fld id="{E1A9D0FC-1946-4EC2-BBEF-353F997D1F5E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/>
              <a:t>CAGR
10 - 12</a:t>
            </a:fld>
            <a:endParaRPr lang="de-DE" sz="6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44">
        <cdr:nvSpPr>
          <cdr:cNvPr id="9" name="Textfeld 1"/>
          <cdr:cNvSpPr txBox="1"/>
        </cdr:nvSpPr>
        <cdr:spPr>
          <a:xfrm xmlns:a="http://schemas.openxmlformats.org/drawingml/2006/main">
            <a:off x="467440" y="0"/>
            <a:ext cx="481727" cy="152387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fld id="{7F99C58C-5D5B-4438-8AB8-AF9CE98E4711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/>
              <a:t>CAGR
13 - 15</a:t>
            </a:fld>
            <a:endParaRPr lang="de-DE" sz="6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53">
        <cdr:nvSpPr>
          <cdr:cNvPr id="10" name="Textfeld 1"/>
          <cdr:cNvSpPr txBox="1"/>
        </cdr:nvSpPr>
        <cdr:spPr>
          <a:xfrm xmlns:a="http://schemas.openxmlformats.org/drawingml/2006/main">
            <a:off x="-28575" y="209550"/>
            <a:ext cx="481727" cy="152387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01B45600-B456-426B-B0E9-AE9DA08B66BD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 algn="ctr"/>
              <a:t>5.8% </a:t>
            </a:fld>
            <a:endParaRPr lang="de-DE" sz="6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53">
        <cdr:nvSpPr>
          <cdr:cNvPr id="11" name="Textfeld 1"/>
          <cdr:cNvSpPr txBox="1"/>
        </cdr:nvSpPr>
        <cdr:spPr>
          <a:xfrm xmlns:a="http://schemas.openxmlformats.org/drawingml/2006/main">
            <a:off x="467440" y="219075"/>
            <a:ext cx="481727" cy="152387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5FBEBEB3-F923-4B72-85D1-B2E931260ACA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 algn="ctr"/>
              <a:t>6.6% </a:t>
            </a:fld>
            <a:endParaRPr lang="de-DE" sz="6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51">
        <cdr:nvSpPr>
          <cdr:cNvPr id="12" name="Textfeld 29"/>
          <cdr:cNvSpPr txBox="1"/>
        </cdr:nvSpPr>
        <cdr:spPr>
          <a:xfrm xmlns:a="http://schemas.openxmlformats.org/drawingml/2006/main">
            <a:off x="36076" y="397800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9A09B729-F82F-4FC1-BC90-6C7A7ABB62D3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20.6%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51">
        <cdr:nvSpPr>
          <cdr:cNvPr id="13" name="Textfeld 30"/>
          <cdr:cNvSpPr txBox="1"/>
        </cdr:nvSpPr>
        <cdr:spPr>
          <a:xfrm xmlns:a="http://schemas.openxmlformats.org/drawingml/2006/main">
            <a:off x="526567" y="397761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EFDE16EA-788F-4EA2-8EA0-BE05ABACF91D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2.5%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0.14601</cdr:x>
      <cdr:y>0.03761</cdr:y>
    </cdr:from>
    <cdr:to>
      <cdr:x>0.65487</cdr:x>
      <cdr:y>0.09878</cdr:y>
    </cdr:to>
    <cdr:grpSp>
      <cdr:nvGrpSpPr>
        <cdr:cNvPr id="15" name="Gruppieren 14"/>
        <cdr:cNvGrpSpPr/>
      </cdr:nvGrpSpPr>
      <cdr:grpSpPr>
        <a:xfrm xmlns:a="http://schemas.openxmlformats.org/drawingml/2006/main">
          <a:off x="638737" y="88550"/>
          <a:ext cx="2226064" cy="144020"/>
          <a:chOff x="198726" y="20547"/>
          <a:chExt cx="2261914" cy="198324"/>
        </a:xfrm>
      </cdr:grpSpPr>
      <cdr:sp macro="" textlink="'10_Sales &amp; GP'!$C$44">
        <cdr:nvSpPr>
          <cdr:cNvPr id="17" name="Textfeld 3"/>
          <cdr:cNvSpPr txBox="1"/>
        </cdr:nvSpPr>
        <cdr:spPr>
          <a:xfrm xmlns:a="http://schemas.openxmlformats.org/drawingml/2006/main">
            <a:off x="198726" y="20547"/>
            <a:ext cx="1085332" cy="19832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F1F0237E-528F-4F1A-81DA-F85A20D7CF23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F$44">
        <cdr:nvSpPr>
          <cdr:cNvPr id="18" name="Textfeld 1"/>
          <cdr:cNvSpPr txBox="1"/>
        </cdr:nvSpPr>
        <cdr:spPr>
          <a:xfrm xmlns:a="http://schemas.openxmlformats.org/drawingml/2006/main">
            <a:off x="1373440" y="20548"/>
            <a:ext cx="1087200" cy="19832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54EBF244-696D-4984-AD43-7814C4B783B4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0.72441</cdr:x>
      <cdr:y>0.05186</cdr:y>
    </cdr:from>
    <cdr:to>
      <cdr:x>0.84194</cdr:x>
      <cdr:y>0.68844</cdr:y>
    </cdr:to>
    <cdr:grpSp>
      <cdr:nvGrpSpPr>
        <cdr:cNvPr id="2" name="Gruppieren 1"/>
        <cdr:cNvGrpSpPr/>
      </cdr:nvGrpSpPr>
      <cdr:grpSpPr>
        <a:xfrm xmlns:a="http://schemas.openxmlformats.org/drawingml/2006/main">
          <a:off x="3902402" y="110969"/>
          <a:ext cx="633136" cy="1362138"/>
          <a:chOff x="6854" y="-50033"/>
          <a:chExt cx="523875" cy="1645676"/>
        </a:xfrm>
      </cdr:grpSpPr>
      <cdr:sp macro="" textlink="'10_Sales &amp; GP'!$I$75">
        <cdr:nvSpPr>
          <cdr:cNvPr id="3" name="Textfeld 3"/>
          <cdr:cNvSpPr txBox="1"/>
        </cdr:nvSpPr>
        <cdr:spPr>
          <a:xfrm xmlns:a="http://schemas.openxmlformats.org/drawingml/2006/main">
            <a:off x="18219" y="215785"/>
            <a:ext cx="468000" cy="182222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C738FE03-16C1-4DC3-A110-61895DC33315}" type="TxLink">
              <a:rPr lang="en-US" sz="700" b="0" i="0" u="none" strike="noStrike" baseline="0">
                <a:solidFill>
                  <a:schemeClr val="bg1"/>
                </a:solidFill>
                <a:latin typeface="Arial"/>
                <a:cs typeface="Arial"/>
              </a:rPr>
              <a:pPr algn="ctr"/>
              <a:t>6.2% </a:t>
            </a:fld>
            <a:endParaRPr lang="de-DE" sz="700" i="0">
              <a:solidFill>
                <a:schemeClr val="bg1"/>
              </a:solidFill>
            </a:endParaRPr>
          </a:p>
        </cdr:txBody>
      </cdr:sp>
      <cdr:sp macro="" textlink="'10_Sales &amp; GP'!$I$74">
        <cdr:nvSpPr>
          <cdr:cNvPr id="4" name="Textfeld 4"/>
          <cdr:cNvSpPr txBox="1"/>
        </cdr:nvSpPr>
        <cdr:spPr>
          <a:xfrm xmlns:a="http://schemas.openxmlformats.org/drawingml/2006/main">
            <a:off x="18219" y="518736"/>
            <a:ext cx="468000" cy="182222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22952081-FC18-4A81-9B4B-C40AF254139D}" type="TxLink">
              <a:rPr lang="en-US" sz="700" b="0" i="0" u="none" strike="noStrike" baseline="0">
                <a:solidFill>
                  <a:schemeClr val="bg1"/>
                </a:solidFill>
                <a:latin typeface="Arial"/>
                <a:cs typeface="Arial"/>
              </a:rPr>
              <a:pPr algn="ctr"/>
              <a:t>(4.6)%</a:t>
            </a:fld>
            <a:endParaRPr lang="de-DE" sz="700" i="0">
              <a:solidFill>
                <a:schemeClr val="bg1"/>
              </a:solidFill>
            </a:endParaRPr>
          </a:p>
        </cdr:txBody>
      </cdr:sp>
      <cdr:sp macro="" textlink="'10_Sales &amp; GP'!$I$73">
        <cdr:nvSpPr>
          <cdr:cNvPr id="5" name="Textfeld 5"/>
          <cdr:cNvSpPr txBox="1"/>
        </cdr:nvSpPr>
        <cdr:spPr>
          <a:xfrm xmlns:a="http://schemas.openxmlformats.org/drawingml/2006/main">
            <a:off x="9526" y="807521"/>
            <a:ext cx="466725" cy="182221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63DC8252-730C-4BAA-BB36-C06B8CFEB92B}" type="TxLink">
              <a:rPr lang="en-US" sz="700" b="0" i="0" u="none" strike="noStrike" baseline="0">
                <a:solidFill>
                  <a:schemeClr val="bg1"/>
                </a:solidFill>
                <a:latin typeface="Arial"/>
                <a:cs typeface="Arial"/>
              </a:rPr>
              <a:pPr algn="ctr"/>
              <a:t>0.4% </a:t>
            </a:fld>
            <a:endParaRPr lang="de-DE" sz="700" i="0">
              <a:solidFill>
                <a:schemeClr val="bg1"/>
              </a:solidFill>
            </a:endParaRPr>
          </a:p>
        </cdr:txBody>
      </cdr:sp>
      <cdr:sp macro="" textlink="'10_Sales &amp; GP'!$I$72">
        <cdr:nvSpPr>
          <cdr:cNvPr id="6" name="Textfeld 6"/>
          <cdr:cNvSpPr txBox="1"/>
        </cdr:nvSpPr>
        <cdr:spPr>
          <a:xfrm xmlns:a="http://schemas.openxmlformats.org/drawingml/2006/main">
            <a:off x="9526" y="1110471"/>
            <a:ext cx="468000" cy="182221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7F8988F7-3E0D-4B51-AA33-98AB9CB55A80}" type="TxLink">
              <a:rPr lang="en-US" sz="700" b="0" i="0" u="none" strike="noStrike" baseline="0">
                <a:solidFill>
                  <a:schemeClr val="bg1"/>
                </a:solidFill>
                <a:latin typeface="Arial"/>
                <a:cs typeface="Arial"/>
              </a:rPr>
              <a:pPr algn="ctr"/>
              <a:t>8.3% </a:t>
            </a:fld>
            <a:endParaRPr lang="de-DE" sz="700" i="0">
              <a:solidFill>
                <a:schemeClr val="bg1"/>
              </a:solidFill>
            </a:endParaRPr>
          </a:p>
        </cdr:txBody>
      </cdr:sp>
      <cdr:sp macro="" textlink="'10_Sales &amp; GP'!$I$71">
        <cdr:nvSpPr>
          <cdr:cNvPr id="7" name="Textfeld 7"/>
          <cdr:cNvSpPr txBox="1"/>
        </cdr:nvSpPr>
        <cdr:spPr>
          <a:xfrm xmlns:a="http://schemas.openxmlformats.org/drawingml/2006/main">
            <a:off x="9526" y="1413421"/>
            <a:ext cx="468000" cy="182222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520907C0-08FD-4278-86F5-AE7C37A47D28}" type="TxLink">
              <a:rPr lang="en-US" sz="7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8.2% </a:t>
            </a:fld>
            <a:endParaRPr lang="de-DE" sz="700" i="0">
              <a:solidFill>
                <a:schemeClr val="bg1"/>
              </a:solidFill>
            </a:endParaRPr>
          </a:p>
        </cdr:txBody>
      </cdr:sp>
      <cdr:sp macro="" textlink="'10_Sales &amp; GP'!$I$69">
        <cdr:nvSpPr>
          <cdr:cNvPr id="8" name="Textfeld 8"/>
          <cdr:cNvSpPr txBox="1"/>
        </cdr:nvSpPr>
        <cdr:spPr>
          <a:xfrm xmlns:a="http://schemas.openxmlformats.org/drawingml/2006/main">
            <a:off x="6854" y="-50033"/>
            <a:ext cx="523875" cy="201618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044F1B33-DD62-4445-8470-20AF0FD1481A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 algn="ctr"/>
              <a:t>CAGR
13 - 15</a:t>
            </a:fld>
            <a:endParaRPr lang="de-DE" sz="800" b="1" i="0"/>
          </a:p>
        </cdr:txBody>
      </cdr:sp>
    </cdr:grp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0.71786</cdr:x>
      <cdr:y>0.13362</cdr:y>
    </cdr:from>
    <cdr:to>
      <cdr:x>0.93782</cdr:x>
      <cdr:y>0.58727</cdr:y>
    </cdr:to>
    <cdr:grpSp>
      <cdr:nvGrpSpPr>
        <cdr:cNvPr id="14" name="Gruppieren 13"/>
        <cdr:cNvGrpSpPr/>
      </cdr:nvGrpSpPr>
      <cdr:grpSpPr>
        <a:xfrm xmlns:a="http://schemas.openxmlformats.org/drawingml/2006/main">
          <a:off x="3140358" y="333412"/>
          <a:ext cx="962239" cy="1131959"/>
          <a:chOff x="-28575" y="-9525"/>
          <a:chExt cx="977742" cy="1261234"/>
        </a:xfrm>
      </cdr:grpSpPr>
      <cdr:sp macro="" textlink="'10_Sales &amp; GP'!$I$101">
        <cdr:nvSpPr>
          <cdr:cNvPr id="2" name="Textfeld 19"/>
          <cdr:cNvSpPr txBox="1"/>
        </cdr:nvSpPr>
        <cdr:spPr>
          <a:xfrm xmlns:a="http://schemas.openxmlformats.org/drawingml/2006/main">
            <a:off x="36076" y="1083600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tx2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5C5B3D90-171C-4C63-B9D4-CD225F342C0E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3.9%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101">
        <cdr:nvSpPr>
          <cdr:cNvPr id="3" name="Textfeld 20"/>
          <cdr:cNvSpPr txBox="1"/>
        </cdr:nvSpPr>
        <cdr:spPr>
          <a:xfrm xmlns:a="http://schemas.openxmlformats.org/drawingml/2006/main">
            <a:off x="532091" y="1088510"/>
            <a:ext cx="352424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tx2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A9DFA3DF-5F95-4462-AA91-153CF8E46929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9.0%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104">
        <cdr:nvSpPr>
          <cdr:cNvPr id="4" name="Textfeld 21"/>
          <cdr:cNvSpPr txBox="1"/>
        </cdr:nvSpPr>
        <cdr:spPr>
          <a:xfrm xmlns:a="http://schemas.openxmlformats.org/drawingml/2006/main">
            <a:off x="36076" y="855000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1EC932FA-E5EF-4DBA-BC9E-08FC68B83327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(0.5)%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104">
        <cdr:nvSpPr>
          <cdr:cNvPr id="5" name="Textfeld 22"/>
          <cdr:cNvSpPr txBox="1"/>
        </cdr:nvSpPr>
        <cdr:spPr>
          <a:xfrm xmlns:a="http://schemas.openxmlformats.org/drawingml/2006/main">
            <a:off x="532091" y="859911"/>
            <a:ext cx="352424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EBCB81CB-8C23-4DA3-B014-0960744EE562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5.2%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107">
        <cdr:nvSpPr>
          <cdr:cNvPr id="6" name="Textfeld 23"/>
          <cdr:cNvSpPr txBox="1"/>
        </cdr:nvSpPr>
        <cdr:spPr>
          <a:xfrm xmlns:a="http://schemas.openxmlformats.org/drawingml/2006/main">
            <a:off x="36076" y="629625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2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2923B261-B7B5-47B3-92E7-4ED782193696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17.9%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107">
        <cdr:nvSpPr>
          <cdr:cNvPr id="7" name="Textfeld 24"/>
          <cdr:cNvSpPr txBox="1"/>
        </cdr:nvSpPr>
        <cdr:spPr>
          <a:xfrm xmlns:a="http://schemas.openxmlformats.org/drawingml/2006/main">
            <a:off x="532091" y="630335"/>
            <a:ext cx="352424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2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129997BD-7B41-4DD5-95DC-2AA5295D8AD4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11.4%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100">
        <cdr:nvSpPr>
          <cdr:cNvPr id="8" name="Textfeld 1"/>
          <cdr:cNvSpPr txBox="1"/>
        </cdr:nvSpPr>
        <cdr:spPr>
          <a:xfrm xmlns:a="http://schemas.openxmlformats.org/drawingml/2006/main">
            <a:off x="-28575" y="-9525"/>
            <a:ext cx="481727" cy="152387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fld id="{306D5A9F-56AF-4D1C-B4B2-C7302447720C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/>
              <a:t>CAGR
10 - 12</a:t>
            </a:fld>
            <a:endParaRPr lang="de-DE" sz="6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100">
        <cdr:nvSpPr>
          <cdr:cNvPr id="9" name="Textfeld 1"/>
          <cdr:cNvSpPr txBox="1"/>
        </cdr:nvSpPr>
        <cdr:spPr>
          <a:xfrm xmlns:a="http://schemas.openxmlformats.org/drawingml/2006/main">
            <a:off x="467440" y="0"/>
            <a:ext cx="481727" cy="152387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fld id="{F4E1BAC3-8C4D-467F-9804-F38A3F5810E7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/>
              <a:t>CAGR
13 - 15</a:t>
            </a:fld>
            <a:endParaRPr lang="de-DE" sz="6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113">
        <cdr:nvSpPr>
          <cdr:cNvPr id="10" name="Textfeld 1"/>
          <cdr:cNvSpPr txBox="1"/>
        </cdr:nvSpPr>
        <cdr:spPr>
          <a:xfrm xmlns:a="http://schemas.openxmlformats.org/drawingml/2006/main">
            <a:off x="-28575" y="209550"/>
            <a:ext cx="481727" cy="152387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BF28C71A-8705-4725-8F86-3EB51F0DD249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 algn="ctr"/>
              <a:t>5.7% </a:t>
            </a:fld>
            <a:endParaRPr lang="de-DE" sz="6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113">
        <cdr:nvSpPr>
          <cdr:cNvPr id="11" name="Textfeld 1"/>
          <cdr:cNvSpPr txBox="1"/>
        </cdr:nvSpPr>
        <cdr:spPr>
          <a:xfrm xmlns:a="http://schemas.openxmlformats.org/drawingml/2006/main">
            <a:off x="467440" y="219075"/>
            <a:ext cx="481727" cy="152387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A02F55E3-F8F2-4923-8F11-FDDF0D5F02E6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 algn="ctr"/>
              <a:t>8.0% </a:t>
            </a:fld>
            <a:endParaRPr lang="de-DE" sz="6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110">
        <cdr:nvSpPr>
          <cdr:cNvPr id="12" name="Textfeld 29"/>
          <cdr:cNvSpPr txBox="1"/>
        </cdr:nvSpPr>
        <cdr:spPr>
          <a:xfrm xmlns:a="http://schemas.openxmlformats.org/drawingml/2006/main">
            <a:off x="36076" y="397800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3B2B71C0-14A4-4476-9418-BF4CD1A883B9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22.7%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110">
        <cdr:nvSpPr>
          <cdr:cNvPr id="13" name="Textfeld 30"/>
          <cdr:cNvSpPr txBox="1"/>
        </cdr:nvSpPr>
        <cdr:spPr>
          <a:xfrm xmlns:a="http://schemas.openxmlformats.org/drawingml/2006/main">
            <a:off x="532091" y="394871"/>
            <a:ext cx="352424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F4641A61-22ED-4D41-859F-8AB1FDC44695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1.7%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0.15236</cdr:x>
      <cdr:y>0.04132</cdr:y>
    </cdr:from>
    <cdr:to>
      <cdr:x>0.66122</cdr:x>
      <cdr:y>0.10249</cdr:y>
    </cdr:to>
    <cdr:grpSp>
      <cdr:nvGrpSpPr>
        <cdr:cNvPr id="15" name="Gruppieren 14"/>
        <cdr:cNvGrpSpPr/>
      </cdr:nvGrpSpPr>
      <cdr:grpSpPr>
        <a:xfrm xmlns:a="http://schemas.openxmlformats.org/drawingml/2006/main">
          <a:off x="666516" y="103103"/>
          <a:ext cx="2226064" cy="152633"/>
          <a:chOff x="198726" y="20547"/>
          <a:chExt cx="2261914" cy="198324"/>
        </a:xfrm>
      </cdr:grpSpPr>
      <cdr:sp macro="" textlink="'10_Sales &amp; GP'!$C$100">
        <cdr:nvSpPr>
          <cdr:cNvPr id="17" name="Textfeld 3"/>
          <cdr:cNvSpPr txBox="1"/>
        </cdr:nvSpPr>
        <cdr:spPr>
          <a:xfrm xmlns:a="http://schemas.openxmlformats.org/drawingml/2006/main">
            <a:off x="198726" y="20547"/>
            <a:ext cx="1085332" cy="19832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4522D9E1-48F0-49A9-B82E-EFEE1A0675BA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F$100">
        <cdr:nvSpPr>
          <cdr:cNvPr id="18" name="Textfeld 1"/>
          <cdr:cNvSpPr txBox="1"/>
        </cdr:nvSpPr>
        <cdr:spPr>
          <a:xfrm xmlns:a="http://schemas.openxmlformats.org/drawingml/2006/main">
            <a:off x="1373440" y="20548"/>
            <a:ext cx="1087200" cy="19832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2334C002-5229-4894-8881-ADC24A2F4019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0.13392</cdr:x>
      <cdr:y>0.04436</cdr:y>
    </cdr:from>
    <cdr:to>
      <cdr:x>0.59311</cdr:x>
      <cdr:y>0.11548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12979" y="89819"/>
          <a:ext cx="2101805" cy="144003"/>
          <a:chOff x="109196" y="0"/>
          <a:chExt cx="2041118" cy="226008"/>
        </a:xfrm>
      </cdr:grpSpPr>
      <cdr:sp macro="" textlink="'10_Sales &amp; GP'!$C$100">
        <cdr:nvSpPr>
          <cdr:cNvPr id="4" name="Textfeld 3"/>
          <cdr:cNvSpPr txBox="1"/>
        </cdr:nvSpPr>
        <cdr:spPr>
          <a:xfrm xmlns:a="http://schemas.openxmlformats.org/drawingml/2006/main">
            <a:off x="109196" y="0"/>
            <a:ext cx="976135" cy="226008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4C8EF57D-02BF-404D-8FC0-8E6CD6DD1464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F$100">
        <cdr:nvSpPr>
          <cdr:cNvPr id="5" name="Textfeld 1"/>
          <cdr:cNvSpPr txBox="1"/>
        </cdr:nvSpPr>
        <cdr:spPr>
          <a:xfrm xmlns:a="http://schemas.openxmlformats.org/drawingml/2006/main">
            <a:off x="1174714" y="0"/>
            <a:ext cx="975600" cy="226008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9B70ED2-29CF-4FAF-8B9F-D27EAC55D873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0.1511</cdr:x>
      <cdr:y>0.05965</cdr:y>
    </cdr:from>
    <cdr:to>
      <cdr:x>0.6576</cdr:x>
      <cdr:y>0.12828</cdr:y>
    </cdr:to>
    <cdr:grpSp>
      <cdr:nvGrpSpPr>
        <cdr:cNvPr id="2" name="Gruppieren 1"/>
        <cdr:cNvGrpSpPr/>
      </cdr:nvGrpSpPr>
      <cdr:grpSpPr>
        <a:xfrm xmlns:a="http://schemas.openxmlformats.org/drawingml/2006/main">
          <a:off x="748920" y="125694"/>
          <a:ext cx="2510442" cy="144618"/>
          <a:chOff x="-104098" y="0"/>
          <a:chExt cx="2251386" cy="217790"/>
        </a:xfrm>
      </cdr:grpSpPr>
      <cdr:sp macro="" textlink="'10_Sales &amp; GP'!$C$100">
        <cdr:nvSpPr>
          <cdr:cNvPr id="4" name="Textfeld 3"/>
          <cdr:cNvSpPr txBox="1"/>
        </cdr:nvSpPr>
        <cdr:spPr>
          <a:xfrm xmlns:a="http://schemas.openxmlformats.org/drawingml/2006/main">
            <a:off x="-104098" y="0"/>
            <a:ext cx="1080233" cy="21779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31378B6B-A03F-4BAC-85BB-FD1D6B52A98B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F$100">
        <cdr:nvSpPr>
          <cdr:cNvPr id="5" name="Textfeld 1"/>
          <cdr:cNvSpPr txBox="1"/>
        </cdr:nvSpPr>
        <cdr:spPr>
          <a:xfrm xmlns:a="http://schemas.openxmlformats.org/drawingml/2006/main">
            <a:off x="1065518" y="0"/>
            <a:ext cx="1081770" cy="21779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206E417E-8386-40B2-BB53-50DB93C7B2BC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0.60323</cdr:x>
      <cdr:y>0.06268</cdr:y>
    </cdr:from>
    <cdr:to>
      <cdr:x>0.96284</cdr:x>
      <cdr:y>0.13861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2094499" y="136971"/>
          <a:ext cx="1248608" cy="165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r>
            <a:rPr lang="de-DE" sz="8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Bubble size ≙ Sales</a:t>
          </a:r>
        </a:p>
      </cdr:txBody>
    </cdr:sp>
  </cdr:relSizeAnchor>
  <cdr:relSizeAnchor xmlns:cdr="http://schemas.openxmlformats.org/drawingml/2006/chartDrawing">
    <cdr:from>
      <cdr:x>0.3305</cdr:x>
      <cdr:y>0.39009</cdr:y>
    </cdr:from>
    <cdr:to>
      <cdr:x>0.38464</cdr:x>
      <cdr:y>0.43106</cdr:y>
    </cdr:to>
    <cdr:sp macro="" textlink="">
      <cdr:nvSpPr>
        <cdr:cNvPr id="4" name="Pfeil nach rechts 3"/>
        <cdr:cNvSpPr/>
      </cdr:nvSpPr>
      <cdr:spPr>
        <a:xfrm xmlns:a="http://schemas.openxmlformats.org/drawingml/2006/main" rot="20244304">
          <a:off x="1260180" y="1017384"/>
          <a:ext cx="206462" cy="106847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470A68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0.65938</cdr:x>
      <cdr:y>0.26722</cdr:y>
    </cdr:from>
    <cdr:to>
      <cdr:x>0.67413</cdr:x>
      <cdr:y>0.32118</cdr:y>
    </cdr:to>
    <cdr:sp macro="" textlink="">
      <cdr:nvSpPr>
        <cdr:cNvPr id="5" name="Pfeil nach rechts 4"/>
        <cdr:cNvSpPr/>
      </cdr:nvSpPr>
      <cdr:spPr>
        <a:xfrm xmlns:a="http://schemas.openxmlformats.org/drawingml/2006/main" rot="3849827">
          <a:off x="2471941" y="739164"/>
          <a:ext cx="140749" cy="56253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009A44"/>
        </a:solidFill>
        <a:ln xmlns:a="http://schemas.openxmlformats.org/drawingml/2006/main" w="25400" cap="flat" cmpd="sng" algn="ctr">
          <a:solidFill>
            <a:srgbClr val="009A44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0.36048</cdr:x>
      <cdr:y>0.29494</cdr:y>
    </cdr:from>
    <cdr:to>
      <cdr:x>0.4973</cdr:x>
      <cdr:y>0.32298</cdr:y>
    </cdr:to>
    <cdr:sp macro="" textlink="">
      <cdr:nvSpPr>
        <cdr:cNvPr id="6" name="Pfeil nach rechts 5"/>
        <cdr:cNvSpPr/>
      </cdr:nvSpPr>
      <cdr:spPr>
        <a:xfrm xmlns:a="http://schemas.openxmlformats.org/drawingml/2006/main" rot="2518167">
          <a:off x="1374510" y="769217"/>
          <a:ext cx="521700" cy="73120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9B642E"/>
        </a:solidFill>
        <a:ln xmlns:a="http://schemas.openxmlformats.org/drawingml/2006/main" w="25400" cap="flat" cmpd="sng" algn="ctr">
          <a:solidFill>
            <a:srgbClr val="9B642E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0.63831</cdr:x>
      <cdr:y>0.34357</cdr:y>
    </cdr:from>
    <cdr:to>
      <cdr:x>0.69067</cdr:x>
      <cdr:y>0.37752</cdr:y>
    </cdr:to>
    <cdr:sp macro="" textlink="">
      <cdr:nvSpPr>
        <cdr:cNvPr id="3" name="Pfeil nach rechts 2"/>
        <cdr:cNvSpPr/>
      </cdr:nvSpPr>
      <cdr:spPr>
        <a:xfrm xmlns:a="http://schemas.openxmlformats.org/drawingml/2006/main" rot="20145107">
          <a:off x="2433865" y="896059"/>
          <a:ext cx="199632" cy="88532"/>
        </a:xfrm>
        <a:prstGeom xmlns:a="http://schemas.openxmlformats.org/drawingml/2006/main" prst="rightArrow">
          <a:avLst/>
        </a:prstGeom>
        <a:solidFill xmlns:a="http://schemas.openxmlformats.org/drawingml/2006/main">
          <a:schemeClr val="accent3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0.57036</cdr:x>
      <cdr:y>0.16504</cdr:y>
    </cdr:from>
    <cdr:to>
      <cdr:x>0.92997</cdr:x>
      <cdr:y>0.24067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2393554" y="397992"/>
          <a:ext cx="1509138" cy="1823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r>
            <a:rPr lang="de-DE" sz="8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Bubble size ≙ Sales</a:t>
          </a: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0.4612</cdr:x>
      <cdr:y>0.05119</cdr:y>
    </cdr:from>
    <cdr:to>
      <cdr:x>0.79524</cdr:x>
      <cdr:y>0.12411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2198832" y="116431"/>
          <a:ext cx="1592579" cy="16585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de-DE" sz="8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Bubble size ≙ Gross profit</a:t>
          </a:r>
        </a:p>
      </cdr:txBody>
    </cdr:sp>
  </cdr:relSizeAnchor>
  <cdr:relSizeAnchor xmlns:cdr="http://schemas.openxmlformats.org/drawingml/2006/chartDrawing">
    <cdr:from>
      <cdr:x>0.48314</cdr:x>
      <cdr:y>0.20212</cdr:y>
    </cdr:from>
    <cdr:to>
      <cdr:x>0.52286</cdr:x>
      <cdr:y>0.23838</cdr:y>
    </cdr:to>
    <cdr:sp macro="" textlink="">
      <cdr:nvSpPr>
        <cdr:cNvPr id="3" name="Pfeil nach rechts 2"/>
        <cdr:cNvSpPr/>
      </cdr:nvSpPr>
      <cdr:spPr>
        <a:xfrm xmlns:a="http://schemas.openxmlformats.org/drawingml/2006/main" rot="19548586">
          <a:off x="2303452" y="459721"/>
          <a:ext cx="189332" cy="82480"/>
        </a:xfrm>
        <a:prstGeom xmlns:a="http://schemas.openxmlformats.org/drawingml/2006/main" prst="rightArrow">
          <a:avLst/>
        </a:prstGeom>
        <a:solidFill xmlns:a="http://schemas.openxmlformats.org/drawingml/2006/main">
          <a:schemeClr val="accent3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0.32027</cdr:x>
      <cdr:y>0.44201</cdr:y>
    </cdr:from>
    <cdr:to>
      <cdr:x>0.37597</cdr:x>
      <cdr:y>0.48051</cdr:y>
    </cdr:to>
    <cdr:sp macro="" textlink="">
      <cdr:nvSpPr>
        <cdr:cNvPr id="4" name="Pfeil nach rechts 3"/>
        <cdr:cNvSpPr/>
      </cdr:nvSpPr>
      <cdr:spPr>
        <a:xfrm xmlns:a="http://schemas.openxmlformats.org/drawingml/2006/main" rot="20788513">
          <a:off x="1528155" y="984261"/>
          <a:ext cx="265767" cy="85744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470A68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0.49273</cdr:x>
      <cdr:y>0.51807</cdr:y>
    </cdr:from>
    <cdr:to>
      <cdr:x>0.52058</cdr:x>
      <cdr:y>0.53818</cdr:y>
    </cdr:to>
    <cdr:sp macro="" textlink="">
      <cdr:nvSpPr>
        <cdr:cNvPr id="5" name="Pfeil nach rechts 4"/>
        <cdr:cNvSpPr/>
      </cdr:nvSpPr>
      <cdr:spPr>
        <a:xfrm xmlns:a="http://schemas.openxmlformats.org/drawingml/2006/main" rot="21376827">
          <a:off x="2351026" y="1153632"/>
          <a:ext cx="132884" cy="44781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009A44"/>
        </a:solidFill>
        <a:ln xmlns:a="http://schemas.openxmlformats.org/drawingml/2006/main" w="25400" cap="flat" cmpd="sng" algn="ctr">
          <a:solidFill>
            <a:srgbClr val="009A44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0.3749</cdr:x>
      <cdr:y>0.54762</cdr:y>
    </cdr:from>
    <cdr:to>
      <cdr:x>0.39229</cdr:x>
      <cdr:y>0.56772</cdr:y>
    </cdr:to>
    <cdr:sp macro="" textlink="">
      <cdr:nvSpPr>
        <cdr:cNvPr id="6" name="Pfeil nach rechts 5"/>
        <cdr:cNvSpPr/>
      </cdr:nvSpPr>
      <cdr:spPr>
        <a:xfrm xmlns:a="http://schemas.openxmlformats.org/drawingml/2006/main" rot="656863">
          <a:off x="1787393" y="1245579"/>
          <a:ext cx="82894" cy="45719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9B642E"/>
        </a:solidFill>
        <a:ln xmlns:a="http://schemas.openxmlformats.org/drawingml/2006/main" w="25400" cap="flat" cmpd="sng" algn="ctr">
          <a:solidFill>
            <a:srgbClr val="9B642E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0.46206</cdr:x>
      <cdr:y>0.11463</cdr:y>
    </cdr:from>
    <cdr:to>
      <cdr:x>0.74906</cdr:x>
      <cdr:y>0.17585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2376621" y="313355"/>
          <a:ext cx="1476184" cy="16735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r>
            <a:rPr lang="de-DE" sz="8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Bubble size ≙ Gross profit</a:t>
          </a:r>
        </a:p>
      </cdr:txBody>
    </cdr:sp>
  </cdr:relSizeAnchor>
  <cdr:relSizeAnchor xmlns:cdr="http://schemas.openxmlformats.org/drawingml/2006/chartDrawing">
    <cdr:from>
      <cdr:x>0.52533</cdr:x>
      <cdr:y>0.24792</cdr:y>
    </cdr:from>
    <cdr:to>
      <cdr:x>0.56192</cdr:x>
      <cdr:y>0.28184</cdr:y>
    </cdr:to>
    <cdr:sp macro="" textlink="">
      <cdr:nvSpPr>
        <cdr:cNvPr id="3" name="Pfeil nach rechts 2"/>
        <cdr:cNvSpPr/>
      </cdr:nvSpPr>
      <cdr:spPr>
        <a:xfrm xmlns:a="http://schemas.openxmlformats.org/drawingml/2006/main" rot="21400098">
          <a:off x="2705791" y="678326"/>
          <a:ext cx="188463" cy="92800"/>
        </a:xfrm>
        <a:prstGeom xmlns:a="http://schemas.openxmlformats.org/drawingml/2006/main" prst="rightArrow">
          <a:avLst/>
        </a:prstGeom>
        <a:solidFill xmlns:a="http://schemas.openxmlformats.org/drawingml/2006/main">
          <a:schemeClr val="accent3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0.2208</cdr:x>
      <cdr:y>0.48953</cdr:y>
    </cdr:from>
    <cdr:to>
      <cdr:x>0.30085</cdr:x>
      <cdr:y>0.53149</cdr:y>
    </cdr:to>
    <cdr:sp macro="" textlink="">
      <cdr:nvSpPr>
        <cdr:cNvPr id="4" name="Pfeil nach rechts 3"/>
        <cdr:cNvSpPr/>
      </cdr:nvSpPr>
      <cdr:spPr>
        <a:xfrm xmlns:a="http://schemas.openxmlformats.org/drawingml/2006/main" rot="21325726">
          <a:off x="1137269" y="1339385"/>
          <a:ext cx="412304" cy="114802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470A68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0.52567</cdr:x>
      <cdr:y>0.57278</cdr:y>
    </cdr:from>
    <cdr:to>
      <cdr:x>0.57813</cdr:x>
      <cdr:y>0.58988</cdr:y>
    </cdr:to>
    <cdr:sp macro="" textlink="">
      <cdr:nvSpPr>
        <cdr:cNvPr id="5" name="Pfeil nach rechts 4"/>
        <cdr:cNvSpPr/>
      </cdr:nvSpPr>
      <cdr:spPr>
        <a:xfrm xmlns:a="http://schemas.openxmlformats.org/drawingml/2006/main" rot="421026">
          <a:off x="2707526" y="1567149"/>
          <a:ext cx="270230" cy="46809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009A44"/>
        </a:solidFill>
        <a:ln xmlns:a="http://schemas.openxmlformats.org/drawingml/2006/main" w="25400" cap="flat" cmpd="sng" algn="ctr">
          <a:solidFill>
            <a:srgbClr val="009A44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0.32171</cdr:x>
      <cdr:y>0.61085</cdr:y>
    </cdr:from>
    <cdr:to>
      <cdr:x>0.34666</cdr:x>
      <cdr:y>0.62756</cdr:y>
    </cdr:to>
    <cdr:sp macro="" textlink="">
      <cdr:nvSpPr>
        <cdr:cNvPr id="6" name="Pfeil nach rechts 5"/>
        <cdr:cNvSpPr/>
      </cdr:nvSpPr>
      <cdr:spPr>
        <a:xfrm xmlns:a="http://schemas.openxmlformats.org/drawingml/2006/main" rot="505044">
          <a:off x="1657006" y="1671333"/>
          <a:ext cx="128502" cy="45719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9B642E"/>
        </a:solidFill>
        <a:ln xmlns:a="http://schemas.openxmlformats.org/drawingml/2006/main" w="25400" cap="flat" cmpd="sng" algn="ctr">
          <a:solidFill>
            <a:srgbClr val="9B642E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</c:userShapes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0.66769</cdr:x>
      <cdr:y>0.49041</cdr:y>
    </cdr:from>
    <cdr:to>
      <cdr:x>0.70509</cdr:x>
      <cdr:y>0.55899</cdr:y>
    </cdr:to>
    <cdr:sp macro="" textlink="">
      <cdr:nvSpPr>
        <cdr:cNvPr id="2" name="Oval 20"/>
        <cdr:cNvSpPr/>
      </cdr:nvSpPr>
      <cdr:spPr>
        <a:xfrm xmlns:a="http://schemas.openxmlformats.org/drawingml/2006/main">
          <a:off x="2570744" y="1029716"/>
          <a:ext cx="144000" cy="144000"/>
        </a:xfrm>
        <a:prstGeom xmlns:a="http://schemas.openxmlformats.org/drawingml/2006/main" prst="ellipse">
          <a:avLst/>
        </a:prstGeom>
        <a:solidFill xmlns:a="http://schemas.openxmlformats.org/drawingml/2006/main">
          <a:srgbClr val="BABBBC"/>
        </a:solidFill>
        <a:ln xmlns:a="http://schemas.openxmlformats.org/drawingml/2006/main" w="12700" cap="rnd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tlCol="0" anchor="ctr"/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1pPr>
          <a:lvl2pPr marL="4572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2pPr>
          <a:lvl3pPr marL="9144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3pPr>
          <a:lvl4pPr marL="13716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4pPr>
          <a:lvl5pPr marL="18288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5pPr>
          <a:lvl6pPr marL="22860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6pPr>
          <a:lvl7pPr marL="27432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7pPr>
          <a:lvl8pPr marL="32004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8pPr>
          <a:lvl9pPr marL="36576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9pPr>
        </a:lstStyle>
        <a:p xmlns:a="http://schemas.openxmlformats.org/drawingml/2006/main">
          <a:pPr algn="ctr"/>
          <a:r>
            <a:rPr lang="de-DE" sz="800" b="1" dirty="0" smtClean="0">
              <a:solidFill>
                <a:srgbClr val="000000"/>
              </a:solidFill>
            </a:rPr>
            <a:t>+</a:t>
          </a:r>
          <a:endParaRPr lang="de-DE" sz="800" b="1" dirty="0">
            <a:solidFill>
              <a:srgbClr val="000000"/>
            </a:solidFill>
          </a:endParaRPr>
        </a:p>
      </cdr:txBody>
    </cdr:sp>
  </cdr:relSizeAnchor>
  <cdr:relSizeAnchor xmlns:cdr="http://schemas.openxmlformats.org/drawingml/2006/chartDrawing">
    <cdr:from>
      <cdr:x>0.47976</cdr:x>
      <cdr:y>0.45288</cdr:y>
    </cdr:from>
    <cdr:to>
      <cdr:x>0.51716</cdr:x>
      <cdr:y>0.52146</cdr:y>
    </cdr:to>
    <cdr:sp macro="" textlink="">
      <cdr:nvSpPr>
        <cdr:cNvPr id="3" name="Oval 20"/>
        <cdr:cNvSpPr/>
      </cdr:nvSpPr>
      <cdr:spPr>
        <a:xfrm xmlns:a="http://schemas.openxmlformats.org/drawingml/2006/main">
          <a:off x="1847182" y="950911"/>
          <a:ext cx="144000" cy="144000"/>
        </a:xfrm>
        <a:prstGeom xmlns:a="http://schemas.openxmlformats.org/drawingml/2006/main" prst="ellipse">
          <a:avLst/>
        </a:prstGeom>
        <a:solidFill xmlns:a="http://schemas.openxmlformats.org/drawingml/2006/main">
          <a:srgbClr val="BABBBC"/>
        </a:solidFill>
        <a:ln xmlns:a="http://schemas.openxmlformats.org/drawingml/2006/main" w="12700" cap="rnd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tlCol="0" anchor="ctr"/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1pPr>
          <a:lvl2pPr marL="4572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2pPr>
          <a:lvl3pPr marL="9144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3pPr>
          <a:lvl4pPr marL="13716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4pPr>
          <a:lvl5pPr marL="18288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5pPr>
          <a:lvl6pPr marL="22860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6pPr>
          <a:lvl7pPr marL="27432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7pPr>
          <a:lvl8pPr marL="32004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8pPr>
          <a:lvl9pPr marL="36576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9pPr>
        </a:lstStyle>
        <a:p xmlns:a="http://schemas.openxmlformats.org/drawingml/2006/main">
          <a:pPr algn="ctr"/>
          <a:r>
            <a:rPr lang="de-DE" sz="800" b="1" dirty="0" smtClean="0">
              <a:solidFill>
                <a:srgbClr val="000000"/>
              </a:solidFill>
            </a:rPr>
            <a:t>+</a:t>
          </a:r>
          <a:endParaRPr lang="de-DE" sz="800" b="1" dirty="0">
            <a:solidFill>
              <a:srgbClr val="000000"/>
            </a:solidFill>
          </a:endParaRPr>
        </a:p>
      </cdr:txBody>
    </cdr:sp>
  </cdr:relSizeAnchor>
  <cdr:relSizeAnchor xmlns:cdr="http://schemas.openxmlformats.org/drawingml/2006/chartDrawing">
    <cdr:from>
      <cdr:x>0.28365</cdr:x>
      <cdr:y>0.33389</cdr:y>
    </cdr:from>
    <cdr:to>
      <cdr:x>0.32105</cdr:x>
      <cdr:y>0.40247</cdr:y>
    </cdr:to>
    <cdr:sp macro="" textlink="">
      <cdr:nvSpPr>
        <cdr:cNvPr id="4" name="Oval 20"/>
        <cdr:cNvSpPr/>
      </cdr:nvSpPr>
      <cdr:spPr>
        <a:xfrm xmlns:a="http://schemas.openxmlformats.org/drawingml/2006/main">
          <a:off x="1092110" y="701075"/>
          <a:ext cx="144000" cy="144000"/>
        </a:xfrm>
        <a:prstGeom xmlns:a="http://schemas.openxmlformats.org/drawingml/2006/main" prst="ellipse">
          <a:avLst/>
        </a:prstGeom>
        <a:solidFill xmlns:a="http://schemas.openxmlformats.org/drawingml/2006/main">
          <a:srgbClr val="BABBBC"/>
        </a:solidFill>
        <a:ln xmlns:a="http://schemas.openxmlformats.org/drawingml/2006/main" w="12700" cap="rnd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tlCol="0" anchor="ctr"/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1pPr>
          <a:lvl2pPr marL="4572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2pPr>
          <a:lvl3pPr marL="9144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3pPr>
          <a:lvl4pPr marL="13716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4pPr>
          <a:lvl5pPr marL="18288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5pPr>
          <a:lvl6pPr marL="22860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6pPr>
          <a:lvl7pPr marL="27432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7pPr>
          <a:lvl8pPr marL="32004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8pPr>
          <a:lvl9pPr marL="36576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9pPr>
        </a:lstStyle>
        <a:p xmlns:a="http://schemas.openxmlformats.org/drawingml/2006/main">
          <a:pPr algn="ctr"/>
          <a:r>
            <a:rPr lang="de-DE" sz="800" b="1" dirty="0" smtClean="0">
              <a:solidFill>
                <a:srgbClr val="000000"/>
              </a:solidFill>
            </a:rPr>
            <a:t>=</a:t>
          </a:r>
          <a:endParaRPr lang="de-DE" sz="800" b="1" dirty="0">
            <a:solidFill>
              <a:srgbClr val="000000"/>
            </a:solidFill>
          </a:endParaRPr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0.14346</cdr:x>
      <cdr:y>0.05635</cdr:y>
    </cdr:from>
    <cdr:to>
      <cdr:x>0.5831</cdr:x>
      <cdr:y>0.1134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92962" y="136726"/>
          <a:ext cx="2123617" cy="138425"/>
          <a:chOff x="147822" y="-1"/>
          <a:chExt cx="1954194" cy="181064"/>
        </a:xfrm>
      </cdr:grpSpPr>
      <cdr:sp macro="" textlink="'10_Sales &amp; GP'!$C$319">
        <cdr:nvSpPr>
          <cdr:cNvPr id="4" name="Textfeld 3"/>
          <cdr:cNvSpPr txBox="1"/>
        </cdr:nvSpPr>
        <cdr:spPr>
          <a:xfrm xmlns:a="http://schemas.openxmlformats.org/drawingml/2006/main">
            <a:off x="147822" y="-1"/>
            <a:ext cx="932411" cy="181064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DAE2AE72-2CAF-494E-BAB9-467F25CC3F78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F$319">
        <cdr:nvSpPr>
          <cdr:cNvPr id="5" name="Textfeld 1"/>
          <cdr:cNvSpPr txBox="1"/>
        </cdr:nvSpPr>
        <cdr:spPr>
          <a:xfrm xmlns:a="http://schemas.openxmlformats.org/drawingml/2006/main">
            <a:off x="1169616" y="-1"/>
            <a:ext cx="932400" cy="181064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1D359CE4-1B32-4C40-A177-1C4D4F284B21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0.16957</cdr:x>
      <cdr:y>0.04336</cdr:y>
    </cdr:from>
    <cdr:to>
      <cdr:x>0.57681</cdr:x>
      <cdr:y>0.0949</cdr:y>
    </cdr:to>
    <cdr:grpSp>
      <cdr:nvGrpSpPr>
        <cdr:cNvPr id="2" name="Gruppieren 1"/>
        <cdr:cNvGrpSpPr/>
      </cdr:nvGrpSpPr>
      <cdr:grpSpPr>
        <a:xfrm xmlns:a="http://schemas.openxmlformats.org/drawingml/2006/main">
          <a:off x="753901" y="116424"/>
          <a:ext cx="1810571" cy="138387"/>
          <a:chOff x="219808" y="-1"/>
          <a:chExt cx="1810208" cy="163559"/>
        </a:xfrm>
      </cdr:grpSpPr>
      <cdr:sp macro="" textlink="'10_Sales &amp; GP'!$C$340">
        <cdr:nvSpPr>
          <cdr:cNvPr id="4" name="Textfeld 3"/>
          <cdr:cNvSpPr txBox="1"/>
        </cdr:nvSpPr>
        <cdr:spPr>
          <a:xfrm xmlns:a="http://schemas.openxmlformats.org/drawingml/2006/main">
            <a:off x="219808" y="-1"/>
            <a:ext cx="860425" cy="163558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C99302D6-5CC9-4B1D-8559-713B8A6A410F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F$340">
        <cdr:nvSpPr>
          <cdr:cNvPr id="5" name="Textfeld 1"/>
          <cdr:cNvSpPr txBox="1"/>
        </cdr:nvSpPr>
        <cdr:spPr>
          <a:xfrm xmlns:a="http://schemas.openxmlformats.org/drawingml/2006/main">
            <a:off x="1169616" y="0"/>
            <a:ext cx="860400" cy="163558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7992F983-414A-48D0-A941-10CC3BAD939F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0.13918</cdr:x>
      <cdr:y>0.05503</cdr:y>
    </cdr:from>
    <cdr:to>
      <cdr:x>0.64543</cdr:x>
      <cdr:y>0.10626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18921" y="148676"/>
          <a:ext cx="2251249" cy="138409"/>
          <a:chOff x="494109" y="-1"/>
          <a:chExt cx="2250281" cy="164352"/>
        </a:xfrm>
      </cdr:grpSpPr>
      <cdr:sp macro="" textlink="">
        <cdr:nvSpPr>
          <cdr:cNvPr id="4" name="Textfeld 3"/>
          <cdr:cNvSpPr txBox="1"/>
        </cdr:nvSpPr>
        <cdr:spPr>
          <a:xfrm xmlns:a="http://schemas.openxmlformats.org/drawingml/2006/main">
            <a:off x="494109" y="0"/>
            <a:ext cx="514502" cy="164351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r>
              <a:rPr lang="de-DE" sz="800" b="1">
                <a:solidFill>
                  <a:schemeClr val="bg1"/>
                </a:solidFill>
                <a:latin typeface="Arial" pitchFamily="34" charset="0"/>
                <a:cs typeface="Arial" pitchFamily="34" charset="0"/>
              </a:rPr>
              <a:t>Actual</a:t>
            </a:r>
          </a:p>
        </cdr:txBody>
      </cdr:sp>
      <cdr:sp macro="" textlink="">
        <cdr:nvSpPr>
          <cdr:cNvPr id="5" name="Textfeld 1"/>
          <cdr:cNvSpPr txBox="1"/>
        </cdr:nvSpPr>
        <cdr:spPr>
          <a:xfrm xmlns:a="http://schemas.openxmlformats.org/drawingml/2006/main">
            <a:off x="1097994" y="-1"/>
            <a:ext cx="1646396" cy="164351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r>
              <a:rPr lang="de-DE" sz="800" b="1">
                <a:solidFill>
                  <a:schemeClr val="bg1"/>
                </a:solidFill>
                <a:latin typeface="Arial" pitchFamily="34" charset="0"/>
                <a:cs typeface="Arial" pitchFamily="34" charset="0"/>
              </a:rPr>
              <a:t>Plan</a:t>
            </a:r>
          </a:p>
        </cdr:txBody>
      </cdr:sp>
    </cdr:grpSp>
  </cdr:relSizeAnchor>
</c:userShapes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</xdr:colOff>
      <xdr:row>56</xdr:row>
      <xdr:rowOff>34018</xdr:rowOff>
    </xdr:from>
    <xdr:to>
      <xdr:col>27</xdr:col>
      <xdr:colOff>285750</xdr:colOff>
      <xdr:row>73</xdr:row>
      <xdr:rowOff>131160</xdr:rowOff>
    </xdr:to>
    <xdr:graphicFrame macro="">
      <xdr:nvGraphicFramePr>
        <xdr:cNvPr id="26" name="Diagramm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197827</xdr:colOff>
      <xdr:row>18</xdr:row>
      <xdr:rowOff>84994</xdr:rowOff>
    </xdr:from>
    <xdr:to>
      <xdr:col>20</xdr:col>
      <xdr:colOff>243011</xdr:colOff>
      <xdr:row>35</xdr:row>
      <xdr:rowOff>121141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0</xdr:col>
      <xdr:colOff>7327</xdr:colOff>
      <xdr:row>20</xdr:row>
      <xdr:rowOff>42391</xdr:rowOff>
    </xdr:from>
    <xdr:to>
      <xdr:col>7</xdr:col>
      <xdr:colOff>1222</xdr:colOff>
      <xdr:row>21</xdr:row>
      <xdr:rowOff>119392</xdr:rowOff>
    </xdr:to>
    <xdr:sp macro="" textlink="">
      <xdr:nvSpPr>
        <xdr:cNvPr id="4" name="TM_Guide07264922"/>
        <xdr:cNvSpPr/>
      </xdr:nvSpPr>
      <xdr:spPr>
        <a:xfrm>
          <a:off x="7327" y="4615961"/>
          <a:ext cx="3427291" cy="255465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de-DE" sz="1100"/>
        </a:p>
      </xdr:txBody>
    </xdr:sp>
    <xdr:clientData/>
  </xdr:twoCellAnchor>
  <xdr:twoCellAnchor editAs="oneCell">
    <xdr:from>
      <xdr:col>13</xdr:col>
      <xdr:colOff>323339</xdr:colOff>
      <xdr:row>39</xdr:row>
      <xdr:rowOff>229365</xdr:rowOff>
    </xdr:from>
    <xdr:to>
      <xdr:col>19</xdr:col>
      <xdr:colOff>395273</xdr:colOff>
      <xdr:row>55</xdr:row>
      <xdr:rowOff>79572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13</xdr:col>
      <xdr:colOff>304545</xdr:colOff>
      <xdr:row>54</xdr:row>
      <xdr:rowOff>173299</xdr:rowOff>
    </xdr:from>
    <xdr:to>
      <xdr:col>19</xdr:col>
      <xdr:colOff>70084</xdr:colOff>
      <xdr:row>72</xdr:row>
      <xdr:rowOff>61304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20</xdr:col>
      <xdr:colOff>233893</xdr:colOff>
      <xdr:row>39</xdr:row>
      <xdr:rowOff>176823</xdr:rowOff>
    </xdr:from>
    <xdr:to>
      <xdr:col>27</xdr:col>
      <xdr:colOff>292507</xdr:colOff>
      <xdr:row>56</xdr:row>
      <xdr:rowOff>116676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223797</xdr:colOff>
      <xdr:row>55</xdr:row>
      <xdr:rowOff>61686</xdr:rowOff>
    </xdr:from>
    <xdr:to>
      <xdr:col>23</xdr:col>
      <xdr:colOff>444758</xdr:colOff>
      <xdr:row>56</xdr:row>
      <xdr:rowOff>169389</xdr:rowOff>
    </xdr:to>
    <xdr:sp macro="" textlink="">
      <xdr:nvSpPr>
        <xdr:cNvPr id="11" name="Textfeld 10"/>
        <xdr:cNvSpPr txBox="1"/>
      </xdr:nvSpPr>
      <xdr:spPr>
        <a:xfrm rot="21027248">
          <a:off x="10434597" y="10386786"/>
          <a:ext cx="1535411" cy="279153"/>
        </a:xfrm>
        <a:prstGeom prst="rect">
          <a:avLst/>
        </a:prstGeom>
        <a:solidFill>
          <a:srgbClr val="C6007E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de-DE" sz="1050">
              <a:solidFill>
                <a:schemeClr val="bg1"/>
              </a:solidFill>
              <a:latin typeface="Arial" pitchFamily="34" charset="0"/>
              <a:cs typeface="Arial" pitchFamily="34" charset="0"/>
            </a:rPr>
            <a:t>Alternative</a:t>
          </a:r>
        </a:p>
      </xdr:txBody>
    </xdr:sp>
    <xdr:clientData/>
  </xdr:twoCellAnchor>
  <xdr:twoCellAnchor editAs="oneCell">
    <xdr:from>
      <xdr:col>14</xdr:col>
      <xdr:colOff>153865</xdr:colOff>
      <xdr:row>77</xdr:row>
      <xdr:rowOff>73270</xdr:rowOff>
    </xdr:from>
    <xdr:to>
      <xdr:col>19</xdr:col>
      <xdr:colOff>366181</xdr:colOff>
      <xdr:row>95</xdr:row>
      <xdr:rowOff>73916</xdr:rowOff>
    </xdr:to>
    <xdr:graphicFrame macro="">
      <xdr:nvGraphicFramePr>
        <xdr:cNvPr id="12" name="Diagramm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14</xdr:col>
      <xdr:colOff>109905</xdr:colOff>
      <xdr:row>98</xdr:row>
      <xdr:rowOff>65943</xdr:rowOff>
    </xdr:from>
    <xdr:to>
      <xdr:col>21</xdr:col>
      <xdr:colOff>252980</xdr:colOff>
      <xdr:row>116</xdr:row>
      <xdr:rowOff>121332</xdr:rowOff>
    </xdr:to>
    <xdr:graphicFrame macro="">
      <xdr:nvGraphicFramePr>
        <xdr:cNvPr id="13" name="Diagramm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14</xdr:col>
      <xdr:colOff>115957</xdr:colOff>
      <xdr:row>118</xdr:row>
      <xdr:rowOff>140804</xdr:rowOff>
    </xdr:from>
    <xdr:to>
      <xdr:col>21</xdr:col>
      <xdr:colOff>259032</xdr:colOff>
      <xdr:row>136</xdr:row>
      <xdr:rowOff>98394</xdr:rowOff>
    </xdr:to>
    <xdr:graphicFrame macro="">
      <xdr:nvGraphicFramePr>
        <xdr:cNvPr id="15" name="Diagramm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3298</xdr:colOff>
      <xdr:row>118</xdr:row>
      <xdr:rowOff>70901</xdr:rowOff>
    </xdr:from>
    <xdr:to>
      <xdr:col>16</xdr:col>
      <xdr:colOff>667193</xdr:colOff>
      <xdr:row>120</xdr:row>
      <xdr:rowOff>87183</xdr:rowOff>
    </xdr:to>
    <xdr:sp macro="" textlink="">
      <xdr:nvSpPr>
        <xdr:cNvPr id="16" name="Rechteck 15"/>
        <xdr:cNvSpPr/>
      </xdr:nvSpPr>
      <xdr:spPr>
        <a:xfrm rot="20769693">
          <a:off x="6223123" y="20178176"/>
          <a:ext cx="1683070" cy="321082"/>
        </a:xfrm>
        <a:prstGeom prst="rect">
          <a:avLst/>
        </a:prstGeom>
        <a:solidFill>
          <a:srgbClr val="C6007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Alternative: Gross Profit margin instead of production costs</a:t>
          </a:r>
          <a:r>
            <a:rPr lang="de-DE" sz="800" baseline="0">
              <a:solidFill>
                <a:schemeClr val="bg1"/>
              </a:solidFill>
              <a:latin typeface="Arial" pitchFamily="34" charset="0"/>
              <a:cs typeface="Arial" pitchFamily="34" charset="0"/>
            </a:rPr>
            <a:t> </a:t>
          </a:r>
          <a:r>
            <a: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ratio</a:t>
          </a:r>
        </a:p>
      </xdr:txBody>
    </xdr:sp>
    <xdr:clientData/>
  </xdr:twoCellAnchor>
  <xdr:twoCellAnchor editAs="oneCell">
    <xdr:from>
      <xdr:col>14</xdr:col>
      <xdr:colOff>1</xdr:colOff>
      <xdr:row>140</xdr:row>
      <xdr:rowOff>124557</xdr:rowOff>
    </xdr:from>
    <xdr:to>
      <xdr:col>20</xdr:col>
      <xdr:colOff>173386</xdr:colOff>
      <xdr:row>162</xdr:row>
      <xdr:rowOff>2627</xdr:rowOff>
    </xdr:to>
    <xdr:graphicFrame macro="">
      <xdr:nvGraphicFramePr>
        <xdr:cNvPr id="17" name="Diagramm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14</xdr:col>
      <xdr:colOff>353786</xdr:colOff>
      <xdr:row>183</xdr:row>
      <xdr:rowOff>9525</xdr:rowOff>
    </xdr:from>
    <xdr:to>
      <xdr:col>22</xdr:col>
      <xdr:colOff>58711</xdr:colOff>
      <xdr:row>201</xdr:row>
      <xdr:rowOff>14148</xdr:rowOff>
    </xdr:to>
    <xdr:graphicFrame macro="">
      <xdr:nvGraphicFramePr>
        <xdr:cNvPr id="18" name="Diagramm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14</xdr:col>
      <xdr:colOff>100906</xdr:colOff>
      <xdr:row>183</xdr:row>
      <xdr:rowOff>32479</xdr:rowOff>
    </xdr:from>
    <xdr:to>
      <xdr:col>16</xdr:col>
      <xdr:colOff>765458</xdr:colOff>
      <xdr:row>185</xdr:row>
      <xdr:rowOff>81696</xdr:rowOff>
    </xdr:to>
    <xdr:sp macro="" textlink="">
      <xdr:nvSpPr>
        <xdr:cNvPr id="19" name="Rechteck 18"/>
        <xdr:cNvSpPr/>
      </xdr:nvSpPr>
      <xdr:spPr>
        <a:xfrm rot="20852265">
          <a:off x="6328285" y="30138048"/>
          <a:ext cx="1682742" cy="338251"/>
        </a:xfrm>
        <a:prstGeom prst="rect">
          <a:avLst/>
        </a:prstGeom>
        <a:solidFill>
          <a:srgbClr val="C6007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Alternative: Gross Profit margin instead of production costs</a:t>
          </a:r>
          <a:r>
            <a:rPr lang="de-DE" sz="800" baseline="0">
              <a:solidFill>
                <a:schemeClr val="bg1"/>
              </a:solidFill>
              <a:latin typeface="Arial" pitchFamily="34" charset="0"/>
              <a:cs typeface="Arial" pitchFamily="34" charset="0"/>
            </a:rPr>
            <a:t> </a:t>
          </a:r>
          <a:r>
            <a: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ratio</a:t>
          </a:r>
        </a:p>
      </xdr:txBody>
    </xdr:sp>
    <xdr:clientData/>
  </xdr:twoCellAnchor>
  <xdr:twoCellAnchor editAs="oneCell">
    <xdr:from>
      <xdr:col>15</xdr:col>
      <xdr:colOff>0</xdr:colOff>
      <xdr:row>164</xdr:row>
      <xdr:rowOff>0</xdr:rowOff>
    </xdr:from>
    <xdr:to>
      <xdr:col>22</xdr:col>
      <xdr:colOff>68235</xdr:colOff>
      <xdr:row>182</xdr:row>
      <xdr:rowOff>14568</xdr:rowOff>
    </xdr:to>
    <xdr:graphicFrame macro="">
      <xdr:nvGraphicFramePr>
        <xdr:cNvPr id="20" name="Diagramm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13</xdr:col>
      <xdr:colOff>383093</xdr:colOff>
      <xdr:row>204</xdr:row>
      <xdr:rowOff>71700</xdr:rowOff>
    </xdr:from>
    <xdr:to>
      <xdr:col>20</xdr:col>
      <xdr:colOff>19598</xdr:colOff>
      <xdr:row>219</xdr:row>
      <xdr:rowOff>149976</xdr:rowOff>
    </xdr:to>
    <xdr:graphicFrame macro="">
      <xdr:nvGraphicFramePr>
        <xdr:cNvPr id="21" name="Diagramm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13</xdr:col>
      <xdr:colOff>395653</xdr:colOff>
      <xdr:row>219</xdr:row>
      <xdr:rowOff>131885</xdr:rowOff>
    </xdr:from>
    <xdr:to>
      <xdr:col>19</xdr:col>
      <xdr:colOff>161192</xdr:colOff>
      <xdr:row>237</xdr:row>
      <xdr:rowOff>86153</xdr:rowOff>
    </xdr:to>
    <xdr:graphicFrame macro="">
      <xdr:nvGraphicFramePr>
        <xdr:cNvPr id="22" name="Diagramm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20</xdr:col>
      <xdr:colOff>168520</xdr:colOff>
      <xdr:row>204</xdr:row>
      <xdr:rowOff>131151</xdr:rowOff>
    </xdr:from>
    <xdr:to>
      <xdr:col>27</xdr:col>
      <xdr:colOff>227134</xdr:colOff>
      <xdr:row>221</xdr:row>
      <xdr:rowOff>128983</xdr:rowOff>
    </xdr:to>
    <xdr:graphicFrame macro="">
      <xdr:nvGraphicFramePr>
        <xdr:cNvPr id="23" name="Diagramm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20</xdr:col>
      <xdr:colOff>206250</xdr:colOff>
      <xdr:row>220</xdr:row>
      <xdr:rowOff>39391</xdr:rowOff>
    </xdr:from>
    <xdr:to>
      <xdr:col>24</xdr:col>
      <xdr:colOff>19078</xdr:colOff>
      <xdr:row>221</xdr:row>
      <xdr:rowOff>66522</xdr:rowOff>
    </xdr:to>
    <xdr:sp macro="" textlink="">
      <xdr:nvSpPr>
        <xdr:cNvPr id="25" name="Textfeld 24"/>
        <xdr:cNvSpPr txBox="1"/>
      </xdr:nvSpPr>
      <xdr:spPr>
        <a:xfrm rot="21128629">
          <a:off x="10385576" y="35787130"/>
          <a:ext cx="1784089" cy="201066"/>
        </a:xfrm>
        <a:prstGeom prst="rect">
          <a:avLst/>
        </a:prstGeom>
        <a:solidFill>
          <a:srgbClr val="C6007E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de-DE" sz="9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Alternative</a:t>
          </a:r>
        </a:p>
      </xdr:txBody>
    </xdr:sp>
    <xdr:clientData/>
  </xdr:twoCellAnchor>
  <xdr:twoCellAnchor editAs="oneCell">
    <xdr:from>
      <xdr:col>20</xdr:col>
      <xdr:colOff>353786</xdr:colOff>
      <xdr:row>220</xdr:row>
      <xdr:rowOff>54428</xdr:rowOff>
    </xdr:from>
    <xdr:to>
      <xdr:col>27</xdr:col>
      <xdr:colOff>204106</xdr:colOff>
      <xdr:row>238</xdr:row>
      <xdr:rowOff>35909</xdr:rowOff>
    </xdr:to>
    <xdr:graphicFrame macro="">
      <xdr:nvGraphicFramePr>
        <xdr:cNvPr id="27" name="Diagramm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28" name="Grafik 2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  <xdr:twoCellAnchor editAs="oneCell">
    <xdr:from>
      <xdr:col>28</xdr:col>
      <xdr:colOff>190503</xdr:colOff>
      <xdr:row>56</xdr:row>
      <xdr:rowOff>101254</xdr:rowOff>
    </xdr:from>
    <xdr:to>
      <xdr:col>34</xdr:col>
      <xdr:colOff>28016</xdr:colOff>
      <xdr:row>74</xdr:row>
      <xdr:rowOff>52720</xdr:rowOff>
    </xdr:to>
    <xdr:graphicFrame macro="">
      <xdr:nvGraphicFramePr>
        <xdr:cNvPr id="24" name="Diagramm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27</xdr:col>
      <xdr:colOff>456689</xdr:colOff>
      <xdr:row>40</xdr:row>
      <xdr:rowOff>96015</xdr:rowOff>
    </xdr:from>
    <xdr:to>
      <xdr:col>33</xdr:col>
      <xdr:colOff>538148</xdr:colOff>
      <xdr:row>56</xdr:row>
      <xdr:rowOff>31947</xdr:rowOff>
    </xdr:to>
    <xdr:graphicFrame macro="">
      <xdr:nvGraphicFramePr>
        <xdr:cNvPr id="29" name="Diagramm 6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21</xdr:col>
      <xdr:colOff>420565</xdr:colOff>
      <xdr:row>77</xdr:row>
      <xdr:rowOff>73270</xdr:rowOff>
    </xdr:from>
    <xdr:to>
      <xdr:col>28</xdr:col>
      <xdr:colOff>23281</xdr:colOff>
      <xdr:row>95</xdr:row>
      <xdr:rowOff>73916</xdr:rowOff>
    </xdr:to>
    <xdr:graphicFrame macro="">
      <xdr:nvGraphicFramePr>
        <xdr:cNvPr id="30" name="Diagramm 1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0.13116</cdr:x>
      <cdr:y>0.0816</cdr:y>
    </cdr:from>
    <cdr:to>
      <cdr:x>0.88247</cdr:x>
      <cdr:y>0.12818</cdr:y>
    </cdr:to>
    <cdr:grpSp>
      <cdr:nvGrpSpPr>
        <cdr:cNvPr id="2" name="Gruppieren 1"/>
        <cdr:cNvGrpSpPr/>
      </cdr:nvGrpSpPr>
      <cdr:grpSpPr>
        <a:xfrm xmlns:a="http://schemas.openxmlformats.org/drawingml/2006/main">
          <a:off x="498758" y="225554"/>
          <a:ext cx="2856985" cy="128754"/>
          <a:chOff x="-657402" y="0"/>
          <a:chExt cx="3460121" cy="145010"/>
        </a:xfrm>
      </cdr:grpSpPr>
      <cdr:sp macro="" textlink="'01_P&amp;L_small'!$C$44">
        <cdr:nvSpPr>
          <cdr:cNvPr id="4" name="Textfeld 3"/>
          <cdr:cNvSpPr txBox="1"/>
        </cdr:nvSpPr>
        <cdr:spPr>
          <a:xfrm xmlns:a="http://schemas.openxmlformats.org/drawingml/2006/main">
            <a:off x="-657402" y="0"/>
            <a:ext cx="1701403" cy="14501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64557C50-4649-4E11-B25D-CBC8DF6E7DF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44">
        <cdr:nvSpPr>
          <cdr:cNvPr id="5" name="Textfeld 1"/>
          <cdr:cNvSpPr txBox="1"/>
        </cdr:nvSpPr>
        <cdr:spPr>
          <a:xfrm xmlns:a="http://schemas.openxmlformats.org/drawingml/2006/main">
            <a:off x="1100537" y="0"/>
            <a:ext cx="1702182" cy="144325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7B14E34D-D657-4B58-83C3-5E2368A30F5F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0.14314</cdr:x>
      <cdr:y>0.07651</cdr:y>
    </cdr:from>
    <cdr:to>
      <cdr:x>0.59327</cdr:x>
      <cdr:y>0.12757</cdr:y>
    </cdr:to>
    <cdr:grpSp>
      <cdr:nvGrpSpPr>
        <cdr:cNvPr id="6" name="Gruppieren 5"/>
        <cdr:cNvGrpSpPr/>
      </cdr:nvGrpSpPr>
      <cdr:grpSpPr>
        <a:xfrm xmlns:a="http://schemas.openxmlformats.org/drawingml/2006/main">
          <a:off x="633636" y="215146"/>
          <a:ext cx="1992583" cy="143581"/>
          <a:chOff x="635547" y="237139"/>
          <a:chExt cx="1998608" cy="141783"/>
        </a:xfrm>
      </cdr:grpSpPr>
      <cdr:sp macro="" textlink="'01_P&amp;L_small'!$C$26">
        <cdr:nvSpPr>
          <cdr:cNvPr id="4" name="Textfeld 3"/>
          <cdr:cNvSpPr txBox="1"/>
        </cdr:nvSpPr>
        <cdr:spPr>
          <a:xfrm xmlns:a="http://schemas.openxmlformats.org/drawingml/2006/main">
            <a:off x="635547" y="237139"/>
            <a:ext cx="972207" cy="14178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vertOverflow="clip" wrap="square" lIns="0" tIns="0" rIns="0" bIns="0" rtlCol="0" anchor="ctr" anchorCtr="0"/>
          <a:lstStyle xmlns:a="http://schemas.openxmlformats.org/drawingml/2006/main"/>
          <a:p xmlns:a="http://schemas.openxmlformats.org/drawingml/2006/main">
            <a:pPr algn="ctr"/>
            <a:fld id="{9A353E51-E7EB-495A-94F5-FF52869B1594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26">
        <cdr:nvSpPr>
          <cdr:cNvPr id="5" name="Textfeld 1"/>
          <cdr:cNvSpPr txBox="1"/>
        </cdr:nvSpPr>
        <cdr:spPr>
          <a:xfrm xmlns:a="http://schemas.openxmlformats.org/drawingml/2006/main">
            <a:off x="1661948" y="237139"/>
            <a:ext cx="972207" cy="14178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4E933790-B6FF-477D-9039-133F43271E2D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0.68049</cdr:x>
      <cdr:y>0.14618</cdr:y>
    </cdr:from>
    <cdr:to>
      <cdr:x>0.78872</cdr:x>
      <cdr:y>0.20044</cdr:y>
    </cdr:to>
    <cdr:sp macro="" textlink="'01_P&amp;L_small'!$I$26">
      <cdr:nvSpPr>
        <cdr:cNvPr id="7" name="Textfeld 1"/>
        <cdr:cNvSpPr txBox="1"/>
      </cdr:nvSpPr>
      <cdr:spPr>
        <a:xfrm xmlns:a="http://schemas.openxmlformats.org/drawingml/2006/main">
          <a:off x="3017933" y="408457"/>
          <a:ext cx="479997" cy="151616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algn="ctr"/>
          <a:fld id="{DB5BCF54-B2B2-45C3-BF31-2C671D97B63F}" type="TxLink">
            <a:rPr lang="en-US" sz="6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CAGR 
10-12</a:t>
          </a:fld>
          <a:endParaRPr lang="de-DE" sz="600" b="1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0.78559</cdr:x>
      <cdr:y>0.14618</cdr:y>
    </cdr:from>
    <cdr:to>
      <cdr:x>0.89381</cdr:x>
      <cdr:y>0.20044</cdr:y>
    </cdr:to>
    <cdr:sp macro="" textlink="'01_P&amp;L_small'!$J$26">
      <cdr:nvSpPr>
        <cdr:cNvPr id="8" name="Textfeld 1"/>
        <cdr:cNvSpPr txBox="1"/>
      </cdr:nvSpPr>
      <cdr:spPr>
        <a:xfrm xmlns:a="http://schemas.openxmlformats.org/drawingml/2006/main">
          <a:off x="3484048" y="408457"/>
          <a:ext cx="479952" cy="151616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algn="ctr"/>
          <a:fld id="{3FC177A4-1CE3-4FC8-B45F-BA08F80B50A8}" type="TxLink">
            <a:rPr lang="en-US" sz="6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CAGR 
13-15</a:t>
          </a:fld>
          <a:endParaRPr lang="de-DE" sz="600" b="1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0.69032</cdr:x>
      <cdr:y>0.2722</cdr:y>
    </cdr:from>
    <cdr:to>
      <cdr:x>0.891</cdr:x>
      <cdr:y>0.5205</cdr:y>
    </cdr:to>
    <cdr:grpSp>
      <cdr:nvGrpSpPr>
        <cdr:cNvPr id="9" name="Gruppieren 8"/>
        <cdr:cNvGrpSpPr/>
      </cdr:nvGrpSpPr>
      <cdr:grpSpPr>
        <a:xfrm xmlns:a="http://schemas.openxmlformats.org/drawingml/2006/main">
          <a:off x="3055828" y="765427"/>
          <a:ext cx="888347" cy="698221"/>
          <a:chOff x="43624" y="422308"/>
          <a:chExt cx="891307" cy="700325"/>
        </a:xfrm>
      </cdr:grpSpPr>
      <cdr:sp macro="" textlink="'01_P&amp;L_small'!$I$27">
        <cdr:nvSpPr>
          <cdr:cNvPr id="10" name="Textfeld 3"/>
          <cdr:cNvSpPr txBox="1"/>
        </cdr:nvSpPr>
        <cdr:spPr>
          <a:xfrm xmlns:a="http://schemas.openxmlformats.org/drawingml/2006/main">
            <a:off x="43624" y="422308"/>
            <a:ext cx="396003" cy="180932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tx2"/>
          </a:solidFill>
          <a:ln xmlns:a="http://schemas.openxmlformats.org/drawingml/2006/main" w="6350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E420E542-0161-4102-8C1A-846B405A565E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5.8%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J$27">
        <cdr:nvSpPr>
          <cdr:cNvPr id="11" name="Textfeld 4"/>
          <cdr:cNvSpPr txBox="1"/>
        </cdr:nvSpPr>
        <cdr:spPr>
          <a:xfrm xmlns:a="http://schemas.openxmlformats.org/drawingml/2006/main">
            <a:off x="538928" y="422308"/>
            <a:ext cx="396003" cy="180932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tx2"/>
          </a:solidFill>
          <a:ln xmlns:a="http://schemas.openxmlformats.org/drawingml/2006/main" w="6350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712A2067-909C-4F0D-B950-4903DC41350F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6.6%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I$29">
        <cdr:nvSpPr>
          <cdr:cNvPr id="12" name="Textfeld 5"/>
          <cdr:cNvSpPr txBox="1"/>
        </cdr:nvSpPr>
        <cdr:spPr>
          <a:xfrm xmlns:a="http://schemas.openxmlformats.org/drawingml/2006/main">
            <a:off x="43624" y="680416"/>
            <a:ext cx="396003" cy="180931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6350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EC78A3ED-9DAC-4170-9003-D46299F9DBB6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5.8%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J$29">
        <cdr:nvSpPr>
          <cdr:cNvPr id="13" name="Textfeld 6"/>
          <cdr:cNvSpPr txBox="1"/>
        </cdr:nvSpPr>
        <cdr:spPr>
          <a:xfrm xmlns:a="http://schemas.openxmlformats.org/drawingml/2006/main">
            <a:off x="538928" y="680416"/>
            <a:ext cx="396003" cy="181860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6350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F3218798-3FCC-48F4-9CC2-277ACD008061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8.8%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I$33">
        <cdr:nvSpPr>
          <cdr:cNvPr id="14" name="Textfeld 7"/>
          <cdr:cNvSpPr txBox="1"/>
        </cdr:nvSpPr>
        <cdr:spPr>
          <a:xfrm xmlns:a="http://schemas.openxmlformats.org/drawingml/2006/main">
            <a:off x="43624" y="941702"/>
            <a:ext cx="396003" cy="180931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2"/>
          </a:solidFill>
          <a:ln xmlns:a="http://schemas.openxmlformats.org/drawingml/2006/main" w="6350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39CC7009-8FD4-496C-9D9E-575AEF574B7F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10.2%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J$33">
        <cdr:nvSpPr>
          <cdr:cNvPr id="15" name="Textfeld 8"/>
          <cdr:cNvSpPr txBox="1"/>
        </cdr:nvSpPr>
        <cdr:spPr>
          <a:xfrm xmlns:a="http://schemas.openxmlformats.org/drawingml/2006/main">
            <a:off x="538928" y="941702"/>
            <a:ext cx="396003" cy="180931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2"/>
          </a:solidFill>
          <a:ln xmlns:a="http://schemas.openxmlformats.org/drawingml/2006/main" w="6350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21BCCE07-87B1-47A4-84CF-39122CF9D878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14.0%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0.13351</cdr:x>
      <cdr:y>0.06323</cdr:y>
    </cdr:from>
    <cdr:to>
      <cdr:x>0.85813</cdr:x>
      <cdr:y>0.11979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36444" y="167767"/>
          <a:ext cx="2911527" cy="150069"/>
          <a:chOff x="-615340" y="-432757"/>
          <a:chExt cx="3225740" cy="157261"/>
        </a:xfrm>
      </cdr:grpSpPr>
      <cdr:sp macro="" textlink="'01_P&amp;L_small'!$C$44">
        <cdr:nvSpPr>
          <cdr:cNvPr id="4" name="Textfeld 3"/>
          <cdr:cNvSpPr txBox="1"/>
        </cdr:nvSpPr>
        <cdr:spPr>
          <a:xfrm xmlns:a="http://schemas.openxmlformats.org/drawingml/2006/main">
            <a:off x="-615340" y="-432757"/>
            <a:ext cx="1584000" cy="157261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B27D53D-7099-4B0A-AD18-92F40C57380E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44">
        <cdr:nvSpPr>
          <cdr:cNvPr id="5" name="Textfeld 1"/>
          <cdr:cNvSpPr txBox="1"/>
        </cdr:nvSpPr>
        <cdr:spPr>
          <a:xfrm xmlns:a="http://schemas.openxmlformats.org/drawingml/2006/main">
            <a:off x="1026400" y="-432757"/>
            <a:ext cx="1584000" cy="157261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FCA01D1E-2A93-4232-9E98-305BBF26CC40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0.1437</cdr:x>
      <cdr:y>0.06603</cdr:y>
    </cdr:from>
    <cdr:to>
      <cdr:x>0.92227</cdr:x>
      <cdr:y>0.11806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33359" y="188474"/>
          <a:ext cx="2889748" cy="148512"/>
          <a:chOff x="-657402" y="0"/>
          <a:chExt cx="3460121" cy="145010"/>
        </a:xfrm>
      </cdr:grpSpPr>
      <cdr:sp macro="" textlink="'01_P&amp;L_small'!$C$44">
        <cdr:nvSpPr>
          <cdr:cNvPr id="4" name="Textfeld 3"/>
          <cdr:cNvSpPr txBox="1"/>
        </cdr:nvSpPr>
        <cdr:spPr>
          <a:xfrm xmlns:a="http://schemas.openxmlformats.org/drawingml/2006/main">
            <a:off x="-657402" y="0"/>
            <a:ext cx="1701403" cy="14501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CA6A56DE-01D9-4539-89BE-F27C3F7D9FAA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44">
        <cdr:nvSpPr>
          <cdr:cNvPr id="5" name="Textfeld 1"/>
          <cdr:cNvSpPr txBox="1"/>
        </cdr:nvSpPr>
        <cdr:spPr>
          <a:xfrm xmlns:a="http://schemas.openxmlformats.org/drawingml/2006/main">
            <a:off x="1100537" y="0"/>
            <a:ext cx="1702182" cy="144325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A69DA7AA-11E5-4F09-9030-41D4C9363520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0.16241</cdr:x>
      <cdr:y>0.06806</cdr:y>
    </cdr:from>
    <cdr:to>
      <cdr:x>0.9069</cdr:x>
      <cdr:y>0.11941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45981" y="198723"/>
          <a:ext cx="2961188" cy="149932"/>
          <a:chOff x="-655480" y="-1"/>
          <a:chExt cx="3306611" cy="144584"/>
        </a:xfrm>
      </cdr:grpSpPr>
      <cdr:sp macro="" textlink="'01_P&amp;L_small'!$C$44">
        <cdr:nvSpPr>
          <cdr:cNvPr id="4" name="Textfeld 3"/>
          <cdr:cNvSpPr txBox="1"/>
        </cdr:nvSpPr>
        <cdr:spPr>
          <a:xfrm xmlns:a="http://schemas.openxmlformats.org/drawingml/2006/main">
            <a:off x="-655480" y="-1"/>
            <a:ext cx="1625344" cy="144584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CAA185B8-6051-4C03-99CA-0E62337CCACB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44">
        <cdr:nvSpPr>
          <cdr:cNvPr id="5" name="Textfeld 1"/>
          <cdr:cNvSpPr txBox="1"/>
        </cdr:nvSpPr>
        <cdr:spPr>
          <a:xfrm xmlns:a="http://schemas.openxmlformats.org/drawingml/2006/main">
            <a:off x="1026399" y="-1"/>
            <a:ext cx="1624732" cy="144379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46B55E4D-E0AF-4ADB-A3F0-CE9BAD893D48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0.1286</cdr:x>
      <cdr:y>0.65895</cdr:y>
    </cdr:from>
    <cdr:to>
      <cdr:x>0.38371</cdr:x>
      <cdr:y>0.76089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588232" y="1782993"/>
          <a:ext cx="1166942" cy="27583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de-DE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Change of ...</a:t>
          </a:r>
        </a:p>
      </cdr:txBody>
    </cdr:sp>
  </cdr:relSizeAnchor>
  <cdr:relSizeAnchor xmlns:cdr="http://schemas.openxmlformats.org/drawingml/2006/chartDrawing">
    <cdr:from>
      <cdr:x>0.23235</cdr:x>
      <cdr:y>0.07061</cdr:y>
    </cdr:from>
    <cdr:to>
      <cdr:x>0.827</cdr:x>
      <cdr:y>0.12868</cdr:y>
    </cdr:to>
    <cdr:grpSp>
      <cdr:nvGrpSpPr>
        <cdr:cNvPr id="3" name="Gruppieren 2"/>
        <cdr:cNvGrpSpPr/>
      </cdr:nvGrpSpPr>
      <cdr:grpSpPr>
        <a:xfrm xmlns:a="http://schemas.openxmlformats.org/drawingml/2006/main">
          <a:off x="1063202" y="197919"/>
          <a:ext cx="2721038" cy="162769"/>
          <a:chOff x="90045" y="-2790757"/>
          <a:chExt cx="2341674" cy="163189"/>
        </a:xfrm>
      </cdr:grpSpPr>
      <cdr:sp macro="" textlink="'01_P&amp;L_small'!$C$117">
        <cdr:nvSpPr>
          <cdr:cNvPr id="5" name="Textfeld 3"/>
          <cdr:cNvSpPr txBox="1"/>
        </cdr:nvSpPr>
        <cdr:spPr>
          <a:xfrm xmlns:a="http://schemas.openxmlformats.org/drawingml/2006/main">
            <a:off x="90045" y="-2790757"/>
            <a:ext cx="887244" cy="16026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BB46102F-D6A3-4FE3-A135-91DB7FF2A263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">
        <cdr:nvSpPr>
          <cdr:cNvPr id="7" name="Textfeld 3"/>
          <cdr:cNvSpPr txBox="1"/>
        </cdr:nvSpPr>
        <cdr:spPr>
          <a:xfrm xmlns:a="http://schemas.openxmlformats.org/drawingml/2006/main">
            <a:off x="1029678" y="-2790757"/>
            <a:ext cx="1402041" cy="163189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r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t>Plan</a:t>
            </a:r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0.12135</cdr:x>
      <cdr:y>0.65009</cdr:y>
    </cdr:from>
    <cdr:to>
      <cdr:x>0.37646</cdr:x>
      <cdr:y>0.75203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555102" y="1770832"/>
          <a:ext cx="1166942" cy="27768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de-DE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Change of ...</a:t>
          </a:r>
        </a:p>
      </cdr:txBody>
    </cdr:sp>
  </cdr:relSizeAnchor>
  <cdr:relSizeAnchor xmlns:cdr="http://schemas.openxmlformats.org/drawingml/2006/chartDrawing">
    <cdr:from>
      <cdr:x>0.23416</cdr:x>
      <cdr:y>0.07373</cdr:y>
    </cdr:from>
    <cdr:to>
      <cdr:x>0.82024</cdr:x>
      <cdr:y>0.13075</cdr:y>
    </cdr:to>
    <cdr:grpSp>
      <cdr:nvGrpSpPr>
        <cdr:cNvPr id="3" name="Gruppieren 2"/>
        <cdr:cNvGrpSpPr/>
      </cdr:nvGrpSpPr>
      <cdr:grpSpPr>
        <a:xfrm xmlns:a="http://schemas.openxmlformats.org/drawingml/2006/main">
          <a:off x="1074768" y="204747"/>
          <a:ext cx="2690043" cy="158344"/>
          <a:chOff x="90045" y="-2790757"/>
          <a:chExt cx="2307051" cy="160263"/>
        </a:xfrm>
      </cdr:grpSpPr>
      <cdr:sp macro="" textlink="'01_P&amp;L_small'!$C$117">
        <cdr:nvSpPr>
          <cdr:cNvPr id="5" name="Textfeld 3"/>
          <cdr:cNvSpPr txBox="1"/>
        </cdr:nvSpPr>
        <cdr:spPr>
          <a:xfrm xmlns:a="http://schemas.openxmlformats.org/drawingml/2006/main">
            <a:off x="90045" y="-2790757"/>
            <a:ext cx="887244" cy="16026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39E12A2F-1623-465A-8743-DE59F0B19FD9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">
        <cdr:nvSpPr>
          <cdr:cNvPr id="7" name="Textfeld 3"/>
          <cdr:cNvSpPr txBox="1"/>
        </cdr:nvSpPr>
        <cdr:spPr>
          <a:xfrm xmlns:a="http://schemas.openxmlformats.org/drawingml/2006/main">
            <a:off x="1009966" y="-2790757"/>
            <a:ext cx="1387130" cy="157256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r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t>Plan</a:t>
            </a:r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0.12279</cdr:x>
      <cdr:y>0.69529</cdr:y>
    </cdr:from>
    <cdr:to>
      <cdr:x>0.3779</cdr:x>
      <cdr:y>0.79723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561439" y="1917144"/>
          <a:ext cx="1166414" cy="2810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de-DE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Change of ...</a:t>
          </a:r>
        </a:p>
      </cdr:txBody>
    </cdr:sp>
  </cdr:relSizeAnchor>
  <cdr:relSizeAnchor xmlns:cdr="http://schemas.openxmlformats.org/drawingml/2006/chartDrawing">
    <cdr:from>
      <cdr:x>0.23235</cdr:x>
      <cdr:y>0.06792</cdr:y>
    </cdr:from>
    <cdr:to>
      <cdr:x>0.7955</cdr:x>
      <cdr:y>0.11929</cdr:y>
    </cdr:to>
    <cdr:grpSp>
      <cdr:nvGrpSpPr>
        <cdr:cNvPr id="3" name="Gruppieren 2"/>
        <cdr:cNvGrpSpPr/>
      </cdr:nvGrpSpPr>
      <cdr:grpSpPr>
        <a:xfrm xmlns:a="http://schemas.openxmlformats.org/drawingml/2006/main">
          <a:off x="1062149" y="186750"/>
          <a:ext cx="2574347" cy="141244"/>
          <a:chOff x="90045" y="-2783447"/>
          <a:chExt cx="2578376" cy="160263"/>
        </a:xfrm>
      </cdr:grpSpPr>
      <cdr:sp macro="" textlink="'01_P&amp;L_small'!$C$188">
        <cdr:nvSpPr>
          <cdr:cNvPr id="5" name="Textfeld 3"/>
          <cdr:cNvSpPr txBox="1"/>
        </cdr:nvSpPr>
        <cdr:spPr>
          <a:xfrm xmlns:a="http://schemas.openxmlformats.org/drawingml/2006/main">
            <a:off x="90045" y="-2783447"/>
            <a:ext cx="887244" cy="16026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BE8AD895-3B43-46EE-B005-8B432153B7ED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">
        <cdr:nvSpPr>
          <cdr:cNvPr id="7" name="Textfeld 3"/>
          <cdr:cNvSpPr txBox="1"/>
        </cdr:nvSpPr>
        <cdr:spPr>
          <a:xfrm xmlns:a="http://schemas.openxmlformats.org/drawingml/2006/main">
            <a:off x="1042606" y="-2783447"/>
            <a:ext cx="1625815" cy="154515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r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t>Plan</a:t>
            </a:r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0.11979</cdr:x>
      <cdr:y>0.68451</cdr:y>
    </cdr:from>
    <cdr:to>
      <cdr:x>0.3749</cdr:x>
      <cdr:y>0.78645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547850" y="1887725"/>
          <a:ext cx="1166760" cy="28112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de-DE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Change of ...</a:t>
          </a:r>
        </a:p>
      </cdr:txBody>
    </cdr:sp>
  </cdr:relSizeAnchor>
  <cdr:relSizeAnchor xmlns:cdr="http://schemas.openxmlformats.org/drawingml/2006/chartDrawing">
    <cdr:from>
      <cdr:x>0.23533</cdr:x>
      <cdr:y>0.0755</cdr:y>
    </cdr:from>
    <cdr:to>
      <cdr:x>0.79399</cdr:x>
      <cdr:y>0.12617</cdr:y>
    </cdr:to>
    <cdr:grpSp>
      <cdr:nvGrpSpPr>
        <cdr:cNvPr id="3" name="Gruppieren 2"/>
        <cdr:cNvGrpSpPr/>
      </cdr:nvGrpSpPr>
      <cdr:grpSpPr>
        <a:xfrm xmlns:a="http://schemas.openxmlformats.org/drawingml/2006/main">
          <a:off x="1075685" y="207688"/>
          <a:ext cx="2553614" cy="139386"/>
          <a:chOff x="90045" y="-2783447"/>
          <a:chExt cx="2339708" cy="162261"/>
        </a:xfrm>
      </cdr:grpSpPr>
      <cdr:sp macro="" textlink="'01_P&amp;L_small'!$C$177">
        <cdr:nvSpPr>
          <cdr:cNvPr id="5" name="Textfeld 3"/>
          <cdr:cNvSpPr txBox="1"/>
        </cdr:nvSpPr>
        <cdr:spPr>
          <a:xfrm xmlns:a="http://schemas.openxmlformats.org/drawingml/2006/main">
            <a:off x="90045" y="-2783447"/>
            <a:ext cx="887244" cy="16026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A4D3C10-54CA-4D0D-BA92-BC1E883B0114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">
        <cdr:nvSpPr>
          <cdr:cNvPr id="7" name="Textfeld 3"/>
          <cdr:cNvSpPr txBox="1"/>
        </cdr:nvSpPr>
        <cdr:spPr>
          <a:xfrm xmlns:a="http://schemas.openxmlformats.org/drawingml/2006/main">
            <a:off x="1048026" y="-2783447"/>
            <a:ext cx="1381727" cy="162261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r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t>Plan</a:t>
            </a:r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0.13351</cdr:x>
      <cdr:y>0.08073</cdr:y>
    </cdr:from>
    <cdr:to>
      <cdr:x>0.85813</cdr:x>
      <cdr:y>0.13729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38400" y="205656"/>
          <a:ext cx="2922145" cy="144083"/>
          <a:chOff x="-615340" y="-432757"/>
          <a:chExt cx="3225740" cy="157261"/>
        </a:xfrm>
      </cdr:grpSpPr>
      <cdr:sp macro="" textlink="'01_P&amp;L_small'!$C$207">
        <cdr:nvSpPr>
          <cdr:cNvPr id="4" name="Textfeld 3"/>
          <cdr:cNvSpPr txBox="1"/>
        </cdr:nvSpPr>
        <cdr:spPr>
          <a:xfrm xmlns:a="http://schemas.openxmlformats.org/drawingml/2006/main">
            <a:off x="-615340" y="-432757"/>
            <a:ext cx="1584000" cy="157261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D8C75833-462C-4F56-8AB7-912505FB305C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207">
        <cdr:nvSpPr>
          <cdr:cNvPr id="5" name="Textfeld 1"/>
          <cdr:cNvSpPr txBox="1"/>
        </cdr:nvSpPr>
        <cdr:spPr>
          <a:xfrm xmlns:a="http://schemas.openxmlformats.org/drawingml/2006/main">
            <a:off x="1026400" y="-432757"/>
            <a:ext cx="1584000" cy="157261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86DE9E2C-C80A-45DB-9266-12B524BABD4E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0.1437</cdr:x>
      <cdr:y>0.06333</cdr:y>
    </cdr:from>
    <cdr:to>
      <cdr:x>0.92227</cdr:x>
      <cdr:y>0.11536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34336" y="174450"/>
          <a:ext cx="2895046" cy="143323"/>
          <a:chOff x="-657402" y="0"/>
          <a:chExt cx="3460121" cy="145010"/>
        </a:xfrm>
      </cdr:grpSpPr>
      <cdr:sp macro="" textlink="'01_P&amp;L_small'!$C$207">
        <cdr:nvSpPr>
          <cdr:cNvPr id="4" name="Textfeld 3"/>
          <cdr:cNvSpPr txBox="1"/>
        </cdr:nvSpPr>
        <cdr:spPr>
          <a:xfrm xmlns:a="http://schemas.openxmlformats.org/drawingml/2006/main">
            <a:off x="-657402" y="0"/>
            <a:ext cx="1701403" cy="14501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5E86A40E-124F-4773-A007-B4FB0CA4D276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207">
        <cdr:nvSpPr>
          <cdr:cNvPr id="5" name="Textfeld 1"/>
          <cdr:cNvSpPr txBox="1"/>
        </cdr:nvSpPr>
        <cdr:spPr>
          <a:xfrm xmlns:a="http://schemas.openxmlformats.org/drawingml/2006/main">
            <a:off x="1100537" y="0"/>
            <a:ext cx="1702182" cy="144325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4ADFA1D5-46AA-40D4-B24D-ACE1B050CCF4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31.xml><?xml version="1.0" encoding="utf-8"?>
<c:userShapes xmlns:c="http://schemas.openxmlformats.org/drawingml/2006/chart">
  <cdr:relSizeAnchor xmlns:cdr="http://schemas.openxmlformats.org/drawingml/2006/chartDrawing">
    <cdr:from>
      <cdr:x>0.16241</cdr:x>
      <cdr:y>0.07152</cdr:y>
    </cdr:from>
    <cdr:to>
      <cdr:x>0.9069</cdr:x>
      <cdr:y>0.12287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52101" y="200545"/>
          <a:ext cx="2989241" cy="143988"/>
          <a:chOff x="-655480" y="-1"/>
          <a:chExt cx="3306611" cy="144584"/>
        </a:xfrm>
      </cdr:grpSpPr>
      <cdr:sp macro="" textlink="'01_P&amp;L_small'!$C$207">
        <cdr:nvSpPr>
          <cdr:cNvPr id="4" name="Textfeld 3"/>
          <cdr:cNvSpPr txBox="1"/>
        </cdr:nvSpPr>
        <cdr:spPr>
          <a:xfrm xmlns:a="http://schemas.openxmlformats.org/drawingml/2006/main">
            <a:off x="-655480" y="-1"/>
            <a:ext cx="1625344" cy="144584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9BA72A46-9948-401D-866B-0FCDCEA80489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207">
        <cdr:nvSpPr>
          <cdr:cNvPr id="5" name="Textfeld 1"/>
          <cdr:cNvSpPr txBox="1"/>
        </cdr:nvSpPr>
        <cdr:spPr>
          <a:xfrm xmlns:a="http://schemas.openxmlformats.org/drawingml/2006/main">
            <a:off x="1026399" y="-1"/>
            <a:ext cx="1624732" cy="144379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D788374B-363E-4050-9061-00DEC3BBE921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0.13474</cdr:x>
      <cdr:y>0.0816</cdr:y>
    </cdr:from>
    <cdr:to>
      <cdr:x>0.91331</cdr:x>
      <cdr:y>0.13363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11159" y="224666"/>
          <a:ext cx="2953638" cy="143252"/>
          <a:chOff x="-657402" y="0"/>
          <a:chExt cx="3460121" cy="145010"/>
        </a:xfrm>
      </cdr:grpSpPr>
      <cdr:sp macro="" textlink="'01_P&amp;L_small'!$C$207">
        <cdr:nvSpPr>
          <cdr:cNvPr id="4" name="Textfeld 3"/>
          <cdr:cNvSpPr txBox="1"/>
        </cdr:nvSpPr>
        <cdr:spPr>
          <a:xfrm xmlns:a="http://schemas.openxmlformats.org/drawingml/2006/main">
            <a:off x="-657402" y="0"/>
            <a:ext cx="1701403" cy="14501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29C778AA-29C7-4AA6-B7CA-74D5CFB5DD0F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207">
        <cdr:nvSpPr>
          <cdr:cNvPr id="5" name="Textfeld 1"/>
          <cdr:cNvSpPr txBox="1"/>
        </cdr:nvSpPr>
        <cdr:spPr>
          <a:xfrm xmlns:a="http://schemas.openxmlformats.org/drawingml/2006/main">
            <a:off x="1100537" y="0"/>
            <a:ext cx="1702182" cy="144325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6313FE36-78C6-4AF1-9F69-72B7C552C923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33.xml><?xml version="1.0" encoding="utf-8"?>
<c:userShapes xmlns:c="http://schemas.openxmlformats.org/drawingml/2006/chart">
  <cdr:relSizeAnchor xmlns:cdr="http://schemas.openxmlformats.org/drawingml/2006/chartDrawing">
    <cdr:from>
      <cdr:x>0.13116</cdr:x>
      <cdr:y>0.0816</cdr:y>
    </cdr:from>
    <cdr:to>
      <cdr:x>0.88247</cdr:x>
      <cdr:y>0.12818</cdr:y>
    </cdr:to>
    <cdr:grpSp>
      <cdr:nvGrpSpPr>
        <cdr:cNvPr id="2" name="Gruppieren 1"/>
        <cdr:cNvGrpSpPr/>
      </cdr:nvGrpSpPr>
      <cdr:grpSpPr>
        <a:xfrm xmlns:a="http://schemas.openxmlformats.org/drawingml/2006/main">
          <a:off x="492686" y="233653"/>
          <a:ext cx="2822199" cy="133377"/>
          <a:chOff x="-657402" y="0"/>
          <a:chExt cx="3460121" cy="145010"/>
        </a:xfrm>
      </cdr:grpSpPr>
      <cdr:sp macro="" textlink="'01_P&amp;L_small'!$C$44">
        <cdr:nvSpPr>
          <cdr:cNvPr id="4" name="Textfeld 3"/>
          <cdr:cNvSpPr txBox="1"/>
        </cdr:nvSpPr>
        <cdr:spPr>
          <a:xfrm xmlns:a="http://schemas.openxmlformats.org/drawingml/2006/main">
            <a:off x="-657402" y="0"/>
            <a:ext cx="1701403" cy="14501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64557C50-4649-4E11-B25D-CBC8DF6E7DF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44">
        <cdr:nvSpPr>
          <cdr:cNvPr id="5" name="Textfeld 1"/>
          <cdr:cNvSpPr txBox="1"/>
        </cdr:nvSpPr>
        <cdr:spPr>
          <a:xfrm xmlns:a="http://schemas.openxmlformats.org/drawingml/2006/main">
            <a:off x="1100537" y="0"/>
            <a:ext cx="1702182" cy="144325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7B14E34D-D657-4B58-83C3-5E2368A30F5F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3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50</xdr:row>
      <xdr:rowOff>137744</xdr:rowOff>
    </xdr:from>
    <xdr:to>
      <xdr:col>7</xdr:col>
      <xdr:colOff>0</xdr:colOff>
      <xdr:row>52</xdr:row>
      <xdr:rowOff>106727</xdr:rowOff>
    </xdr:to>
    <xdr:sp macro="" textlink="">
      <xdr:nvSpPr>
        <xdr:cNvPr id="5" name="TM_Guide11325733"/>
        <xdr:cNvSpPr/>
      </xdr:nvSpPr>
      <xdr:spPr>
        <a:xfrm>
          <a:off x="0" y="9138869"/>
          <a:ext cx="5229225" cy="254733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de-DE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139212</xdr:colOff>
      <xdr:row>16</xdr:row>
      <xdr:rowOff>139212</xdr:rowOff>
    </xdr:from>
    <xdr:to>
      <xdr:col>16</xdr:col>
      <xdr:colOff>810847</xdr:colOff>
      <xdr:row>35</xdr:row>
      <xdr:rowOff>9769</xdr:rowOff>
    </xdr:to>
    <xdr:graphicFrame macro="">
      <xdr:nvGraphicFramePr>
        <xdr:cNvPr id="15" name="Diagramm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139211</xdr:colOff>
      <xdr:row>42</xdr:row>
      <xdr:rowOff>117230</xdr:rowOff>
    </xdr:from>
    <xdr:to>
      <xdr:col>17</xdr:col>
      <xdr:colOff>297961</xdr:colOff>
      <xdr:row>61</xdr:row>
      <xdr:rowOff>126999</xdr:rowOff>
    </xdr:to>
    <xdr:graphicFrame macro="">
      <xdr:nvGraphicFramePr>
        <xdr:cNvPr id="16" name="Diagramm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505558</xdr:colOff>
      <xdr:row>80</xdr:row>
      <xdr:rowOff>14654</xdr:rowOff>
    </xdr:from>
    <xdr:to>
      <xdr:col>17</xdr:col>
      <xdr:colOff>92808</xdr:colOff>
      <xdr:row>99</xdr:row>
      <xdr:rowOff>42008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476250</xdr:colOff>
      <xdr:row>118</xdr:row>
      <xdr:rowOff>95248</xdr:rowOff>
    </xdr:from>
    <xdr:to>
      <xdr:col>18</xdr:col>
      <xdr:colOff>23029</xdr:colOff>
      <xdr:row>137</xdr:row>
      <xdr:rowOff>121137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128065</xdr:colOff>
      <xdr:row>155</xdr:row>
      <xdr:rowOff>134115</xdr:rowOff>
    </xdr:from>
    <xdr:to>
      <xdr:col>18</xdr:col>
      <xdr:colOff>256761</xdr:colOff>
      <xdr:row>174</xdr:row>
      <xdr:rowOff>45739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8</xdr:col>
      <xdr:colOff>461596</xdr:colOff>
      <xdr:row>190</xdr:row>
      <xdr:rowOff>0</xdr:rowOff>
    </xdr:from>
    <xdr:to>
      <xdr:col>16</xdr:col>
      <xdr:colOff>1133231</xdr:colOff>
      <xdr:row>208</xdr:row>
      <xdr:rowOff>53731</xdr:rowOff>
    </xdr:to>
    <xdr:graphicFrame macro="">
      <xdr:nvGraphicFramePr>
        <xdr:cNvPr id="12" name="Diagramm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9</xdr:col>
      <xdr:colOff>456267</xdr:colOff>
      <xdr:row>218</xdr:row>
      <xdr:rowOff>31305</xdr:rowOff>
    </xdr:from>
    <xdr:to>
      <xdr:col>17</xdr:col>
      <xdr:colOff>36856</xdr:colOff>
      <xdr:row>236</xdr:row>
      <xdr:rowOff>123334</xdr:rowOff>
    </xdr:to>
    <xdr:graphicFrame macro="">
      <xdr:nvGraphicFramePr>
        <xdr:cNvPr id="13" name="Diagramm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10</xdr:col>
      <xdr:colOff>271097</xdr:colOff>
      <xdr:row>251</xdr:row>
      <xdr:rowOff>58616</xdr:rowOff>
    </xdr:from>
    <xdr:to>
      <xdr:col>17</xdr:col>
      <xdr:colOff>429847</xdr:colOff>
      <xdr:row>270</xdr:row>
      <xdr:rowOff>72181</xdr:rowOff>
    </xdr:to>
    <xdr:graphicFrame macro="">
      <xdr:nvGraphicFramePr>
        <xdr:cNvPr id="14" name="Diagramm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10</xdr:col>
      <xdr:colOff>271097</xdr:colOff>
      <xdr:row>299</xdr:row>
      <xdr:rowOff>58616</xdr:rowOff>
    </xdr:from>
    <xdr:to>
      <xdr:col>17</xdr:col>
      <xdr:colOff>429847</xdr:colOff>
      <xdr:row>318</xdr:row>
      <xdr:rowOff>72181</xdr:rowOff>
    </xdr:to>
    <xdr:graphicFrame macro="">
      <xdr:nvGraphicFramePr>
        <xdr:cNvPr id="17" name="Diagramm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11</xdr:col>
      <xdr:colOff>9292</xdr:colOff>
      <xdr:row>323</xdr:row>
      <xdr:rowOff>71085</xdr:rowOff>
    </xdr:from>
    <xdr:to>
      <xdr:col>19</xdr:col>
      <xdr:colOff>395739</xdr:colOff>
      <xdr:row>338</xdr:row>
      <xdr:rowOff>48907</xdr:rowOff>
    </xdr:to>
    <xdr:graphicFrame macro="">
      <xdr:nvGraphicFramePr>
        <xdr:cNvPr id="18" name="Diagramm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11</xdr:col>
      <xdr:colOff>183931</xdr:colOff>
      <xdr:row>274</xdr:row>
      <xdr:rowOff>108857</xdr:rowOff>
    </xdr:from>
    <xdr:to>
      <xdr:col>20</xdr:col>
      <xdr:colOff>130257</xdr:colOff>
      <xdr:row>289</xdr:row>
      <xdr:rowOff>82762</xdr:rowOff>
    </xdr:to>
    <xdr:graphicFrame macro="">
      <xdr:nvGraphicFramePr>
        <xdr:cNvPr id="19" name="Diagramm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13</xdr:col>
      <xdr:colOff>190502</xdr:colOff>
      <xdr:row>347</xdr:row>
      <xdr:rowOff>117231</xdr:rowOff>
    </xdr:from>
    <xdr:to>
      <xdr:col>20</xdr:col>
      <xdr:colOff>239348</xdr:colOff>
      <xdr:row>366</xdr:row>
      <xdr:rowOff>28219</xdr:rowOff>
    </xdr:to>
    <xdr:graphicFrame macro="">
      <xdr:nvGraphicFramePr>
        <xdr:cNvPr id="20" name="Diagramm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9</xdr:col>
      <xdr:colOff>0</xdr:colOff>
      <xdr:row>383</xdr:row>
      <xdr:rowOff>131884</xdr:rowOff>
    </xdr:from>
    <xdr:to>
      <xdr:col>16</xdr:col>
      <xdr:colOff>1243135</xdr:colOff>
      <xdr:row>403</xdr:row>
      <xdr:rowOff>48733</xdr:rowOff>
    </xdr:to>
    <xdr:graphicFrame macro="">
      <xdr:nvGraphicFramePr>
        <xdr:cNvPr id="21" name="Diagramm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13</xdr:col>
      <xdr:colOff>190502</xdr:colOff>
      <xdr:row>410</xdr:row>
      <xdr:rowOff>117231</xdr:rowOff>
    </xdr:from>
    <xdr:to>
      <xdr:col>20</xdr:col>
      <xdr:colOff>239348</xdr:colOff>
      <xdr:row>429</xdr:row>
      <xdr:rowOff>28219</xdr:rowOff>
    </xdr:to>
    <xdr:graphicFrame macro="">
      <xdr:nvGraphicFramePr>
        <xdr:cNvPr id="22" name="Diagramm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13</xdr:col>
      <xdr:colOff>219075</xdr:colOff>
      <xdr:row>444</xdr:row>
      <xdr:rowOff>84259</xdr:rowOff>
    </xdr:from>
    <xdr:to>
      <xdr:col>20</xdr:col>
      <xdr:colOff>262060</xdr:colOff>
      <xdr:row>464</xdr:row>
      <xdr:rowOff>1108</xdr:rowOff>
    </xdr:to>
    <xdr:graphicFrame macro="">
      <xdr:nvGraphicFramePr>
        <xdr:cNvPr id="23" name="Diagramm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13</xdr:col>
      <xdr:colOff>190502</xdr:colOff>
      <xdr:row>472</xdr:row>
      <xdr:rowOff>117231</xdr:rowOff>
    </xdr:from>
    <xdr:to>
      <xdr:col>20</xdr:col>
      <xdr:colOff>239348</xdr:colOff>
      <xdr:row>491</xdr:row>
      <xdr:rowOff>28219</xdr:rowOff>
    </xdr:to>
    <xdr:graphicFrame macro="">
      <xdr:nvGraphicFramePr>
        <xdr:cNvPr id="24" name="Diagramm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oneCell">
    <xdr:from>
      <xdr:col>17</xdr:col>
      <xdr:colOff>14654</xdr:colOff>
      <xdr:row>166</xdr:row>
      <xdr:rowOff>7327</xdr:rowOff>
    </xdr:from>
    <xdr:to>
      <xdr:col>25</xdr:col>
      <xdr:colOff>503116</xdr:colOff>
      <xdr:row>185</xdr:row>
      <xdr:rowOff>20891</xdr:rowOff>
    </xdr:to>
    <xdr:graphicFrame macro="">
      <xdr:nvGraphicFramePr>
        <xdr:cNvPr id="25" name="Diagramm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10</xdr:col>
      <xdr:colOff>14655</xdr:colOff>
      <xdr:row>504</xdr:row>
      <xdr:rowOff>102578</xdr:rowOff>
    </xdr:from>
    <xdr:to>
      <xdr:col>17</xdr:col>
      <xdr:colOff>173405</xdr:colOff>
      <xdr:row>523</xdr:row>
      <xdr:rowOff>116143</xdr:rowOff>
    </xdr:to>
    <xdr:graphicFrame macro="">
      <xdr:nvGraphicFramePr>
        <xdr:cNvPr id="26" name="Diagramm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9</xdr:col>
      <xdr:colOff>300404</xdr:colOff>
      <xdr:row>544</xdr:row>
      <xdr:rowOff>65942</xdr:rowOff>
    </xdr:from>
    <xdr:to>
      <xdr:col>16</xdr:col>
      <xdr:colOff>1543539</xdr:colOff>
      <xdr:row>563</xdr:row>
      <xdr:rowOff>19425</xdr:rowOff>
    </xdr:to>
    <xdr:graphicFrame macro="">
      <xdr:nvGraphicFramePr>
        <xdr:cNvPr id="28" name="Diagramm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 editAs="oneCell">
    <xdr:from>
      <xdr:col>10</xdr:col>
      <xdr:colOff>14655</xdr:colOff>
      <xdr:row>571</xdr:row>
      <xdr:rowOff>102578</xdr:rowOff>
    </xdr:from>
    <xdr:to>
      <xdr:col>17</xdr:col>
      <xdr:colOff>173405</xdr:colOff>
      <xdr:row>590</xdr:row>
      <xdr:rowOff>116143</xdr:rowOff>
    </xdr:to>
    <xdr:graphicFrame macro="">
      <xdr:nvGraphicFramePr>
        <xdr:cNvPr id="29" name="Diagramm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 editAs="oneCell">
    <xdr:from>
      <xdr:col>6</xdr:col>
      <xdr:colOff>1202</xdr:colOff>
      <xdr:row>629</xdr:row>
      <xdr:rowOff>52837</xdr:rowOff>
    </xdr:from>
    <xdr:to>
      <xdr:col>13</xdr:col>
      <xdr:colOff>366346</xdr:colOff>
      <xdr:row>642</xdr:row>
      <xdr:rowOff>234934</xdr:rowOff>
    </xdr:to>
    <xdr:graphicFrame macro="">
      <xdr:nvGraphicFramePr>
        <xdr:cNvPr id="30" name="Diagramm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 editAs="oneCell">
    <xdr:from>
      <xdr:col>5</xdr:col>
      <xdr:colOff>391766</xdr:colOff>
      <xdr:row>643</xdr:row>
      <xdr:rowOff>47624</xdr:rowOff>
    </xdr:from>
    <xdr:to>
      <xdr:col>14</xdr:col>
      <xdr:colOff>352425</xdr:colOff>
      <xdr:row>657</xdr:row>
      <xdr:rowOff>152399</xdr:rowOff>
    </xdr:to>
    <xdr:graphicFrame macro="">
      <xdr:nvGraphicFramePr>
        <xdr:cNvPr id="31" name="Diagramm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 editAs="oneCell">
    <xdr:from>
      <xdr:col>15</xdr:col>
      <xdr:colOff>106164</xdr:colOff>
      <xdr:row>643</xdr:row>
      <xdr:rowOff>107762</xdr:rowOff>
    </xdr:from>
    <xdr:to>
      <xdr:col>19</xdr:col>
      <xdr:colOff>358701</xdr:colOff>
      <xdr:row>654</xdr:row>
      <xdr:rowOff>79933</xdr:rowOff>
    </xdr:to>
    <xdr:graphicFrame macro="">
      <xdr:nvGraphicFramePr>
        <xdr:cNvPr id="32" name="Diagramm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6</xdr:col>
      <xdr:colOff>67160</xdr:colOff>
      <xdr:row>628</xdr:row>
      <xdr:rowOff>139145</xdr:rowOff>
    </xdr:from>
    <xdr:to>
      <xdr:col>11</xdr:col>
      <xdr:colOff>268059</xdr:colOff>
      <xdr:row>629</xdr:row>
      <xdr:rowOff>144839</xdr:rowOff>
    </xdr:to>
    <xdr:sp macro="" textlink="">
      <xdr:nvSpPr>
        <xdr:cNvPr id="33" name="Rechteck 32"/>
        <xdr:cNvSpPr/>
      </xdr:nvSpPr>
      <xdr:spPr>
        <a:xfrm rot="21424203">
          <a:off x="3086585" y="93379370"/>
          <a:ext cx="2544049" cy="148569"/>
        </a:xfrm>
        <a:prstGeom prst="rect">
          <a:avLst/>
        </a:prstGeom>
        <a:solidFill>
          <a:srgbClr val="C6007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Alternative:</a:t>
          </a:r>
          <a:r>
            <a:rPr lang="de-DE" sz="800" baseline="0">
              <a:solidFill>
                <a:schemeClr val="bg1"/>
              </a:solidFill>
              <a:latin typeface="Arial" pitchFamily="34" charset="0"/>
              <a:cs typeface="Arial" pitchFamily="34" charset="0"/>
            </a:rPr>
            <a:t> Sales, Gross Profit Margin, Gross Profit</a:t>
          </a:r>
          <a:endParaRPr lang="de-DE" sz="800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15</xdr:col>
      <xdr:colOff>67774</xdr:colOff>
      <xdr:row>643</xdr:row>
      <xdr:rowOff>37378</xdr:rowOff>
    </xdr:from>
    <xdr:to>
      <xdr:col>16</xdr:col>
      <xdr:colOff>455322</xdr:colOff>
      <xdr:row>643</xdr:row>
      <xdr:rowOff>214450</xdr:rowOff>
    </xdr:to>
    <xdr:sp macro="" textlink="">
      <xdr:nvSpPr>
        <xdr:cNvPr id="34" name="Rechteck 33"/>
        <xdr:cNvSpPr/>
      </xdr:nvSpPr>
      <xdr:spPr>
        <a:xfrm rot="21030364">
          <a:off x="6979352" y="96108909"/>
          <a:ext cx="1042392" cy="177072"/>
        </a:xfrm>
        <a:prstGeom prst="rect">
          <a:avLst/>
        </a:prstGeom>
        <a:solidFill>
          <a:srgbClr val="C6007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Alternative</a:t>
          </a:r>
        </a:p>
      </xdr:txBody>
    </xdr:sp>
    <xdr:clientData/>
  </xdr:twoCellAnchor>
  <xdr:twoCellAnchor editAs="oneCell">
    <xdr:from>
      <xdr:col>9</xdr:col>
      <xdr:colOff>300404</xdr:colOff>
      <xdr:row>684</xdr:row>
      <xdr:rowOff>65942</xdr:rowOff>
    </xdr:from>
    <xdr:to>
      <xdr:col>16</xdr:col>
      <xdr:colOff>1543539</xdr:colOff>
      <xdr:row>703</xdr:row>
      <xdr:rowOff>19425</xdr:rowOff>
    </xdr:to>
    <xdr:graphicFrame macro="">
      <xdr:nvGraphicFramePr>
        <xdr:cNvPr id="35" name="Diagramm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36" name="Grafik 3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  <xdr:twoCellAnchor editAs="oneCell">
    <xdr:from>
      <xdr:col>21</xdr:col>
      <xdr:colOff>361953</xdr:colOff>
      <xdr:row>347</xdr:row>
      <xdr:rowOff>2931</xdr:rowOff>
    </xdr:from>
    <xdr:to>
      <xdr:col>28</xdr:col>
      <xdr:colOff>466726</xdr:colOff>
      <xdr:row>365</xdr:row>
      <xdr:rowOff>56794</xdr:rowOff>
    </xdr:to>
    <xdr:graphicFrame macro="">
      <xdr:nvGraphicFramePr>
        <xdr:cNvPr id="38" name="Diagramm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 editAs="oneCell">
    <xdr:from>
      <xdr:col>25</xdr:col>
      <xdr:colOff>366190</xdr:colOff>
      <xdr:row>156</xdr:row>
      <xdr:rowOff>765</xdr:rowOff>
    </xdr:from>
    <xdr:to>
      <xdr:col>32</xdr:col>
      <xdr:colOff>609186</xdr:colOff>
      <xdr:row>174</xdr:row>
      <xdr:rowOff>55264</xdr:rowOff>
    </xdr:to>
    <xdr:graphicFrame macro="">
      <xdr:nvGraphicFramePr>
        <xdr:cNvPr id="37" name="Diagramm 8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 editAs="oneCell">
    <xdr:from>
      <xdr:col>20</xdr:col>
      <xdr:colOff>333377</xdr:colOff>
      <xdr:row>411</xdr:row>
      <xdr:rowOff>2931</xdr:rowOff>
    </xdr:from>
    <xdr:to>
      <xdr:col>28</xdr:col>
      <xdr:colOff>172673</xdr:colOff>
      <xdr:row>429</xdr:row>
      <xdr:rowOff>56794</xdr:rowOff>
    </xdr:to>
    <xdr:graphicFrame macro="">
      <xdr:nvGraphicFramePr>
        <xdr:cNvPr id="39" name="Diagramm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0.14786</cdr:x>
      <cdr:y>0.07466</cdr:y>
    </cdr:from>
    <cdr:to>
      <cdr:x>0.6276</cdr:x>
      <cdr:y>0.1262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55829" y="203403"/>
          <a:ext cx="2127875" cy="140416"/>
          <a:chOff x="-133350" y="-11134"/>
          <a:chExt cx="2132376" cy="168332"/>
        </a:xfrm>
      </cdr:grpSpPr>
      <cdr:sp macro="" textlink="'02_Comparison'!$B$64:$D$64">
        <cdr:nvSpPr>
          <cdr:cNvPr id="4" name="Textfeld 3"/>
          <cdr:cNvSpPr txBox="1"/>
        </cdr:nvSpPr>
        <cdr:spPr>
          <a:xfrm xmlns:a="http://schemas.openxmlformats.org/drawingml/2006/main">
            <a:off x="-133350" y="-11134"/>
            <a:ext cx="1020593" cy="168332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DB1E25EC-94A6-40E9-A916-876160F0A338}" type="TxLink">
              <a:rPr lang="en-US" sz="800" b="1" i="0" u="none" strike="noStrike">
                <a:solidFill>
                  <a:schemeClr val="bg1"/>
                </a:solidFill>
                <a:latin typeface="Arialri"/>
                <a:cs typeface="Arial" pitchFamily="34" charset="0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64:$G$64">
        <cdr:nvSpPr>
          <cdr:cNvPr id="5" name="Textfeld 1"/>
          <cdr:cNvSpPr txBox="1"/>
        </cdr:nvSpPr>
        <cdr:spPr>
          <a:xfrm xmlns:a="http://schemas.openxmlformats.org/drawingml/2006/main">
            <a:off x="976626" y="-11134"/>
            <a:ext cx="1022400" cy="168332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39EEA28C-85A4-4A53-8502-B46EB3D2BE9A}" type="TxLink">
              <a:rPr lang="en-US" sz="800" b="1" i="0" u="none" strike="noStrike">
                <a:solidFill>
                  <a:schemeClr val="bg1"/>
                </a:solidFill>
                <a:latin typeface="Arialri"/>
                <a:cs typeface="Arial" pitchFamily="34" charset="0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0.61388</cdr:x>
      <cdr:y>0.14423</cdr:y>
    </cdr:from>
    <cdr:to>
      <cdr:x>0.81498</cdr:x>
      <cdr:y>0.27797</cdr:y>
    </cdr:to>
    <cdr:sp macro="" textlink="'02_Comparison'!$A$58">
      <cdr:nvSpPr>
        <cdr:cNvPr id="6" name="Textfeld 4"/>
        <cdr:cNvSpPr txBox="1"/>
      </cdr:nvSpPr>
      <cdr:spPr>
        <a:xfrm xmlns:a="http://schemas.openxmlformats.org/drawingml/2006/main">
          <a:off x="2722848" y="392939"/>
          <a:ext cx="891974" cy="3643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D9AE2BFC-E0CC-4B64-8BBA-B0258D748A3A}" type="TxLink">
            <a:rPr lang="en-US" sz="700" b="0" i="0" u="none" strike="noStrike">
              <a:solidFill>
                <a:srgbClr val="6D2077"/>
              </a:solidFill>
              <a:latin typeface="Arialri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 
XXX AG 
7.0%</a:t>
          </a:fld>
          <a:endParaRPr lang="de-DE" sz="700">
            <a:solidFill>
              <a:srgbClr val="6D2077"/>
            </a:solidFill>
          </a:endParaRPr>
        </a:p>
      </cdr:txBody>
    </cdr:sp>
  </cdr:relSizeAnchor>
  <cdr:relSizeAnchor xmlns:cdr="http://schemas.openxmlformats.org/drawingml/2006/chartDrawing">
    <cdr:from>
      <cdr:x>0.61557</cdr:x>
      <cdr:y>0.2785</cdr:y>
    </cdr:from>
    <cdr:to>
      <cdr:x>0.83003</cdr:x>
      <cdr:y>0.40037</cdr:y>
    </cdr:to>
    <cdr:sp macro="" textlink="'02_Comparison'!$A$59">
      <cdr:nvSpPr>
        <cdr:cNvPr id="7" name="Textfeld 5"/>
        <cdr:cNvSpPr txBox="1"/>
      </cdr:nvSpPr>
      <cdr:spPr>
        <a:xfrm xmlns:a="http://schemas.openxmlformats.org/drawingml/2006/main">
          <a:off x="2730326" y="758744"/>
          <a:ext cx="951232" cy="3320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0EE7897C-7E61-4F12-839F-B6900D55C5E3}" type="TxLink">
            <a:rPr lang="en-US" sz="700" b="0" i="0" u="none" strike="noStrike">
              <a:solidFill>
                <a:srgbClr val="0091DA"/>
              </a:solidFill>
              <a:latin typeface="Arialri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 
Market study YYY 
6.5%</a:t>
          </a:fld>
          <a:endParaRPr lang="de-DE" sz="700">
            <a:solidFill>
              <a:srgbClr val="0091DA"/>
            </a:solidFill>
          </a:endParaRPr>
        </a:p>
      </cdr:txBody>
    </cdr:sp>
  </cdr:relSizeAnchor>
  <cdr:relSizeAnchor xmlns:cdr="http://schemas.openxmlformats.org/drawingml/2006/chartDrawing">
    <cdr:from>
      <cdr:x>0.61239</cdr:x>
      <cdr:y>0.43007</cdr:y>
    </cdr:from>
    <cdr:to>
      <cdr:x>0.81448</cdr:x>
      <cdr:y>0.56643</cdr:y>
    </cdr:to>
    <cdr:sp macro="" textlink="'02_Comparison'!$A$60">
      <cdr:nvSpPr>
        <cdr:cNvPr id="8" name="Textfeld 7"/>
        <cdr:cNvSpPr txBox="1"/>
      </cdr:nvSpPr>
      <cdr:spPr>
        <a:xfrm xmlns:a="http://schemas.openxmlformats.org/drawingml/2006/main">
          <a:off x="2716250" y="1171680"/>
          <a:ext cx="896365" cy="3714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9CCFC3B-3A23-43E1-A9C7-042D9E25FDD0}" type="TxLink">
            <a:rPr lang="en-US" sz="700" b="0" i="0" u="none" strike="noStrike">
              <a:solidFill>
                <a:srgbClr val="005EB8"/>
              </a:solidFill>
              <a:latin typeface="Arialri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 
Ø Peer Group 
6.7%</a:t>
          </a:fld>
          <a:endParaRPr lang="de-DE" sz="700">
            <a:solidFill>
              <a:srgbClr val="005EB8"/>
            </a:solidFill>
          </a:endParaRPr>
        </a:p>
      </cdr:txBody>
    </cdr:sp>
  </cdr:relSizeAnchor>
</c:userShapes>
</file>

<file path=xl/drawings/drawing37.xml><?xml version="1.0" encoding="utf-8"?>
<c:userShapes xmlns:c="http://schemas.openxmlformats.org/drawingml/2006/chart">
  <cdr:relSizeAnchor xmlns:cdr="http://schemas.openxmlformats.org/drawingml/2006/chartDrawing">
    <cdr:from>
      <cdr:x>0.1467</cdr:x>
      <cdr:y>0.06648</cdr:y>
    </cdr:from>
    <cdr:to>
      <cdr:x>0.66711</cdr:x>
      <cdr:y>0.11589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50684" y="189252"/>
          <a:ext cx="2308266" cy="140658"/>
          <a:chOff x="-90834" y="0"/>
          <a:chExt cx="2313196" cy="161389"/>
        </a:xfrm>
      </cdr:grpSpPr>
      <cdr:sp macro="" textlink="'02_Comparison'!$B$99:$D$99">
        <cdr:nvSpPr>
          <cdr:cNvPr id="4" name="Textfeld 3"/>
          <cdr:cNvSpPr txBox="1"/>
        </cdr:nvSpPr>
        <cdr:spPr>
          <a:xfrm xmlns:a="http://schemas.openxmlformats.org/drawingml/2006/main">
            <a:off x="-90834" y="0"/>
            <a:ext cx="1111427" cy="161389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D38DD6FE-00D9-4C1F-A8A0-88E666EC01C9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99:$G$99">
        <cdr:nvSpPr>
          <cdr:cNvPr id="5" name="Textfeld 1"/>
          <cdr:cNvSpPr txBox="1"/>
        </cdr:nvSpPr>
        <cdr:spPr>
          <a:xfrm xmlns:a="http://schemas.openxmlformats.org/drawingml/2006/main">
            <a:off x="1109975" y="0"/>
            <a:ext cx="1112387" cy="161389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E612C80C-3CFA-4FBF-A485-1D0B8FFBA22E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0.17824</cdr:x>
      <cdr:y>0.04509</cdr:y>
    </cdr:from>
    <cdr:to>
      <cdr:x>0.65797</cdr:x>
      <cdr:y>0.09633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861461" y="123570"/>
          <a:ext cx="2318609" cy="140424"/>
          <a:chOff x="0" y="0"/>
          <a:chExt cx="2132376" cy="167366"/>
        </a:xfrm>
        <a:solidFill xmlns:a="http://schemas.openxmlformats.org/drawingml/2006/main">
          <a:srgbClr val="BC204B"/>
        </a:solidFill>
      </cdr:grpSpPr>
      <cdr:sp macro="" textlink="'02_Comparison'!$B$99:$D$99">
        <cdr:nvSpPr>
          <cdr:cNvPr id="4" name="Textfeld 3"/>
          <cdr:cNvSpPr txBox="1"/>
        </cdr:nvSpPr>
        <cdr:spPr>
          <a:xfrm xmlns:a="http://schemas.openxmlformats.org/drawingml/2006/main">
            <a:off x="0" y="0"/>
            <a:ext cx="1020593" cy="167366"/>
          </a:xfrm>
          <a:prstGeom xmlns:a="http://schemas.openxmlformats.org/drawingml/2006/main" prst="rect">
            <a:avLst/>
          </a:prstGeom>
          <a:grpFill xmlns:a="http://schemas.openxmlformats.org/drawingml/2006/main"/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2FD420E4-61EB-4EAD-AC0C-DED8978FC0D1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99:$G$99">
        <cdr:nvSpPr>
          <cdr:cNvPr id="5" name="Textfeld 1"/>
          <cdr:cNvSpPr txBox="1"/>
        </cdr:nvSpPr>
        <cdr:spPr>
          <a:xfrm xmlns:a="http://schemas.openxmlformats.org/drawingml/2006/main">
            <a:off x="1109976" y="0"/>
            <a:ext cx="1022400" cy="167366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367C66C3-F93A-417F-8DD2-9BC19A1D4188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39.xml><?xml version="1.0" encoding="utf-8"?>
<c:userShapes xmlns:c="http://schemas.openxmlformats.org/drawingml/2006/chart">
  <cdr:relSizeAnchor xmlns:cdr="http://schemas.openxmlformats.org/drawingml/2006/chartDrawing">
    <cdr:from>
      <cdr:x>0.14011</cdr:x>
      <cdr:y>0.05636</cdr:y>
    </cdr:from>
    <cdr:to>
      <cdr:x>0.61983</cdr:x>
      <cdr:y>0.10783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78633" y="153921"/>
          <a:ext cx="2323558" cy="140565"/>
          <a:chOff x="0" y="-1"/>
          <a:chExt cx="2132376" cy="170007"/>
        </a:xfrm>
        <a:solidFill xmlns:a="http://schemas.openxmlformats.org/drawingml/2006/main">
          <a:srgbClr val="BC204B"/>
        </a:solidFill>
      </cdr:grpSpPr>
      <cdr:sp macro="" textlink="'02_Comparison'!$B$176:$D$176">
        <cdr:nvSpPr>
          <cdr:cNvPr id="4" name="Textfeld 3"/>
          <cdr:cNvSpPr txBox="1"/>
        </cdr:nvSpPr>
        <cdr:spPr>
          <a:xfrm xmlns:a="http://schemas.openxmlformats.org/drawingml/2006/main">
            <a:off x="0" y="-1"/>
            <a:ext cx="1020593" cy="170007"/>
          </a:xfrm>
          <a:prstGeom xmlns:a="http://schemas.openxmlformats.org/drawingml/2006/main" prst="rect">
            <a:avLst/>
          </a:prstGeom>
          <a:grpFill xmlns:a="http://schemas.openxmlformats.org/drawingml/2006/main"/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70E571F7-6CFF-464A-BFAD-BBA02886AEE9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176:$G$176">
        <cdr:nvSpPr>
          <cdr:cNvPr id="5" name="Textfeld 1"/>
          <cdr:cNvSpPr txBox="1"/>
        </cdr:nvSpPr>
        <cdr:spPr>
          <a:xfrm xmlns:a="http://schemas.openxmlformats.org/drawingml/2006/main">
            <a:off x="1109976" y="-1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446297C0-48DB-4927-919B-FF90FCC80F86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0.14011</cdr:x>
      <cdr:y>0.05636</cdr:y>
    </cdr:from>
    <cdr:to>
      <cdr:x>0.61983</cdr:x>
      <cdr:y>0.10783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21454" y="153761"/>
          <a:ext cx="2127786" cy="140420"/>
          <a:chOff x="0" y="-1"/>
          <a:chExt cx="2132376" cy="170007"/>
        </a:xfrm>
      </cdr:grpSpPr>
      <cdr:sp macro="" textlink="'02_Comparison'!$B$278:$D$278">
        <cdr:nvSpPr>
          <cdr:cNvPr id="4" name="Textfeld 3"/>
          <cdr:cNvSpPr txBox="1"/>
        </cdr:nvSpPr>
        <cdr:spPr>
          <a:xfrm xmlns:a="http://schemas.openxmlformats.org/drawingml/2006/main">
            <a:off x="0" y="-1"/>
            <a:ext cx="1020593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9966AC19-4999-4BDD-9B20-CB51A1D8ACB5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278:$G$278">
        <cdr:nvSpPr>
          <cdr:cNvPr id="5" name="Textfeld 1"/>
          <cdr:cNvSpPr txBox="1"/>
        </cdr:nvSpPr>
        <cdr:spPr>
          <a:xfrm xmlns:a="http://schemas.openxmlformats.org/drawingml/2006/main">
            <a:off x="1109976" y="-1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5B80A2AF-9EE2-4339-9237-7ADDC3D4D841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41.xml><?xml version="1.0" encoding="utf-8"?>
<c:userShapes xmlns:c="http://schemas.openxmlformats.org/drawingml/2006/chart">
  <cdr:relSizeAnchor xmlns:cdr="http://schemas.openxmlformats.org/drawingml/2006/chartDrawing">
    <cdr:from>
      <cdr:x>0.14011</cdr:x>
      <cdr:y>0.05636</cdr:y>
    </cdr:from>
    <cdr:to>
      <cdr:x>0.61983</cdr:x>
      <cdr:y>0.10783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21454" y="153761"/>
          <a:ext cx="2127786" cy="140420"/>
          <a:chOff x="0" y="-1"/>
          <a:chExt cx="2132376" cy="170007"/>
        </a:xfrm>
      </cdr:grpSpPr>
      <cdr:sp macro="" textlink="'02_Comparison'!$B$326:$D$326">
        <cdr:nvSpPr>
          <cdr:cNvPr id="4" name="Textfeld 3"/>
          <cdr:cNvSpPr txBox="1"/>
        </cdr:nvSpPr>
        <cdr:spPr>
          <a:xfrm xmlns:a="http://schemas.openxmlformats.org/drawingml/2006/main">
            <a:off x="0" y="-1"/>
            <a:ext cx="1020593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EAF692F1-305D-4A35-B146-A31CBBEE6355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326:$G$326">
        <cdr:nvSpPr>
          <cdr:cNvPr id="5" name="Textfeld 1"/>
          <cdr:cNvSpPr txBox="1"/>
        </cdr:nvSpPr>
        <cdr:spPr>
          <a:xfrm xmlns:a="http://schemas.openxmlformats.org/drawingml/2006/main">
            <a:off x="1109976" y="-1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D65756DB-8971-4A9C-BE24-E67DA9BC8E14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0.2764</cdr:x>
      <cdr:y>0.09481</cdr:y>
    </cdr:from>
    <cdr:to>
      <cdr:x>0.2974</cdr:x>
      <cdr:y>0.258</cdr:y>
    </cdr:to>
    <cdr:sp macro="" textlink="'02_Comparison'!$A$331">
      <cdr:nvSpPr>
        <cdr:cNvPr id="5" name="Rechteck 4"/>
        <cdr:cNvSpPr/>
      </cdr:nvSpPr>
      <cdr:spPr>
        <a:xfrm xmlns:a="http://schemas.openxmlformats.org/drawingml/2006/main" rot="18279694">
          <a:off x="1243368" y="443041"/>
          <a:ext cx="459716" cy="10782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lIns="0" tIns="0" rIns="0" bIns="0" anchor="ctr" anchorCtr="0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/>
          <a:fld id="{19547C05-1151-4679-9174-3064AFA3ECA1}" type="TxLink">
            <a:rPr lang="en-US" sz="700" b="0" i="0" u="none" strike="noStrike">
              <a:solidFill>
                <a:schemeClr val="accent3"/>
              </a:solidFill>
              <a:latin typeface="Arial"/>
              <a:ea typeface="+mn-ea"/>
              <a:cs typeface="Arial"/>
            </a:rPr>
            <a:pPr marL="0" indent="0"/>
            <a:t>Peer 3</a:t>
          </a:fld>
          <a:endParaRPr lang="de-DE" sz="700">
            <a:solidFill>
              <a:schemeClr val="accent3"/>
            </a:solidFill>
            <a:latin typeface="Arial" pitchFamily="34" charset="0"/>
            <a:ea typeface="+mn-ea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0.1931</cdr:x>
      <cdr:y>0.09481</cdr:y>
    </cdr:from>
    <cdr:to>
      <cdr:x>0.2141</cdr:x>
      <cdr:y>0.25801</cdr:y>
    </cdr:to>
    <cdr:sp macro="" textlink="'02_Comparison'!$A$327">
      <cdr:nvSpPr>
        <cdr:cNvPr id="2" name="Rechteck 1"/>
        <cdr:cNvSpPr/>
      </cdr:nvSpPr>
      <cdr:spPr>
        <a:xfrm xmlns:a="http://schemas.openxmlformats.org/drawingml/2006/main" rot="18279694">
          <a:off x="815617" y="443043"/>
          <a:ext cx="459722" cy="10782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lIns="0" tIns="0" rIns="0" bIns="0" anchor="ctr" anchorCtr="0"/>
        <a:lstStyle xmlns:a="http://schemas.openxmlformats.org/drawingml/2006/main"/>
        <a:p xmlns:a="http://schemas.openxmlformats.org/drawingml/2006/main">
          <a:fld id="{57BA1948-5B51-4594-97C3-5C37B0371232}" type="TxLink">
            <a:rPr lang="en-US" sz="700" b="0" i="0" u="none" strike="noStrike">
              <a:solidFill>
                <a:schemeClr val="accent2"/>
              </a:solidFill>
              <a:latin typeface="Arial"/>
              <a:cs typeface="Arial"/>
            </a:rPr>
            <a:pPr/>
            <a:t>XXX AG</a:t>
          </a:fld>
          <a:endParaRPr lang="de-DE" sz="70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0.22087</cdr:x>
      <cdr:y>0.09481</cdr:y>
    </cdr:from>
    <cdr:to>
      <cdr:x>0.24186</cdr:x>
      <cdr:y>0.25801</cdr:y>
    </cdr:to>
    <cdr:sp macro="" textlink="'02_Comparison'!$A$329">
      <cdr:nvSpPr>
        <cdr:cNvPr id="3" name="Rechteck 2"/>
        <cdr:cNvSpPr/>
      </cdr:nvSpPr>
      <cdr:spPr>
        <a:xfrm xmlns:a="http://schemas.openxmlformats.org/drawingml/2006/main" rot="18279694">
          <a:off x="958199" y="443044"/>
          <a:ext cx="459722" cy="10782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lIns="0" tIns="0" rIns="0" bIns="0" anchor="ctr" anchorCtr="0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DF1356D7-DE63-4074-935D-AA3C81727130}" type="TxLink">
            <a:rPr lang="en-US" sz="700" b="0" i="0" u="none" strike="noStrike">
              <a:solidFill>
                <a:schemeClr val="tx2"/>
              </a:solidFill>
              <a:latin typeface="Arial"/>
              <a:cs typeface="Arial"/>
            </a:rPr>
            <a:pPr/>
            <a:t>Peer 1</a:t>
          </a:fld>
          <a:endParaRPr lang="de-DE" sz="700">
            <a:solidFill>
              <a:schemeClr val="tx2"/>
            </a:solidFill>
          </a:endParaRPr>
        </a:p>
      </cdr:txBody>
    </cdr:sp>
  </cdr:relSizeAnchor>
  <cdr:relSizeAnchor xmlns:cdr="http://schemas.openxmlformats.org/drawingml/2006/chartDrawing">
    <cdr:from>
      <cdr:x>0.24863</cdr:x>
      <cdr:y>0.09481</cdr:y>
    </cdr:from>
    <cdr:to>
      <cdr:x>0.26963</cdr:x>
      <cdr:y>0.25801</cdr:y>
    </cdr:to>
    <cdr:sp macro="" textlink="'02_Comparison'!$A$330">
      <cdr:nvSpPr>
        <cdr:cNvPr id="4" name="Rechteck 3"/>
        <cdr:cNvSpPr/>
      </cdr:nvSpPr>
      <cdr:spPr>
        <a:xfrm xmlns:a="http://schemas.openxmlformats.org/drawingml/2006/main" rot="18279694">
          <a:off x="1100781" y="443044"/>
          <a:ext cx="459722" cy="10782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lIns="0" tIns="0" rIns="0" bIns="0" anchor="ctr" anchorCtr="0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/>
          <a:fld id="{0B9E12B9-134E-4243-A650-E6955975733F}" type="TxLink">
            <a:rPr lang="en-US" sz="700" b="0" i="0" u="none" strike="noStrike">
              <a:solidFill>
                <a:schemeClr val="accent1"/>
              </a:solidFill>
              <a:latin typeface="Arial"/>
              <a:ea typeface="+mn-ea"/>
              <a:cs typeface="Arial"/>
            </a:rPr>
            <a:pPr marL="0" indent="0"/>
            <a:t>Peer 2</a:t>
          </a:fld>
          <a:endParaRPr lang="de-DE" sz="700" b="0" i="0" u="none" strike="noStrike">
            <a:solidFill>
              <a:schemeClr val="accent1"/>
            </a:solidFill>
            <a:latin typeface="Arial"/>
            <a:ea typeface="+mn-ea"/>
            <a:cs typeface="Arial"/>
          </a:endParaRPr>
        </a:p>
      </cdr:txBody>
    </cdr:sp>
  </cdr:relSizeAnchor>
  <cdr:relSizeAnchor xmlns:cdr="http://schemas.openxmlformats.org/drawingml/2006/chartDrawing">
    <cdr:from>
      <cdr:x>0.17676</cdr:x>
      <cdr:y>0.03227</cdr:y>
    </cdr:from>
    <cdr:to>
      <cdr:x>0.91575</cdr:x>
      <cdr:y>0.08258</cdr:y>
    </cdr:to>
    <cdr:grpSp>
      <cdr:nvGrpSpPr>
        <cdr:cNvPr id="38" name="Gruppieren 37"/>
        <cdr:cNvGrpSpPr/>
      </cdr:nvGrpSpPr>
      <cdr:grpSpPr>
        <a:xfrm xmlns:a="http://schemas.openxmlformats.org/drawingml/2006/main">
          <a:off x="908444" y="68750"/>
          <a:ext cx="3797982" cy="107184"/>
          <a:chOff x="-843522" y="94187"/>
          <a:chExt cx="3818298" cy="165804"/>
        </a:xfrm>
      </cdr:grpSpPr>
      <cdr:sp macro="" textlink="'02_Comparison'!$B$326:$D$326">
        <cdr:nvSpPr>
          <cdr:cNvPr id="40" name="Textfeld 3"/>
          <cdr:cNvSpPr txBox="1"/>
        </cdr:nvSpPr>
        <cdr:spPr>
          <a:xfrm xmlns:a="http://schemas.openxmlformats.org/drawingml/2006/main">
            <a:off x="-843522" y="94187"/>
            <a:ext cx="1864116" cy="165804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812792F-D5F4-4AB5-80AE-56F4A990BD55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326:$G$326">
        <cdr:nvSpPr>
          <cdr:cNvPr id="41" name="Textfeld 1"/>
          <cdr:cNvSpPr txBox="1"/>
        </cdr:nvSpPr>
        <cdr:spPr>
          <a:xfrm xmlns:a="http://schemas.openxmlformats.org/drawingml/2006/main">
            <a:off x="1109975" y="94187"/>
            <a:ext cx="1864801" cy="165804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58D7ECFB-ECD7-4F9B-BED2-08FE65C901DD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0.17013</cdr:x>
      <cdr:y>0.83178</cdr:y>
    </cdr:from>
    <cdr:to>
      <cdr:x>0.26931</cdr:x>
      <cdr:y>0.88741</cdr:y>
    </cdr:to>
    <cdr:sp macro="" textlink="'02_Comparison'!$C$340">
      <cdr:nvSpPr>
        <cdr:cNvPr id="69" name="Textfeld 68"/>
        <cdr:cNvSpPr txBox="1"/>
      </cdr:nvSpPr>
      <cdr:spPr>
        <a:xfrm xmlns:a="http://schemas.openxmlformats.org/drawingml/2006/main">
          <a:off x="874879" y="2313239"/>
          <a:ext cx="510078" cy="1547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 anchor="ctr" anchorCtr="0"/>
        <a:lstStyle xmlns:a="http://schemas.openxmlformats.org/drawingml/2006/main"/>
        <a:p xmlns:a="http://schemas.openxmlformats.org/drawingml/2006/main">
          <a:pPr algn="ctr"/>
          <a:fld id="{BDF2F037-FD01-437E-BAFD-11F8D49C3A19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2010</a:t>
          </a:fld>
          <a:endParaRPr lang="de-DE" sz="1100"/>
        </a:p>
      </cdr:txBody>
    </cdr:sp>
  </cdr:relSizeAnchor>
  <cdr:relSizeAnchor xmlns:cdr="http://schemas.openxmlformats.org/drawingml/2006/chartDrawing">
    <cdr:from>
      <cdr:x>0.30129</cdr:x>
      <cdr:y>0.83178</cdr:y>
    </cdr:from>
    <cdr:to>
      <cdr:x>0.40048</cdr:x>
      <cdr:y>0.88741</cdr:y>
    </cdr:to>
    <cdr:sp macro="" textlink="'02_Comparison'!$H$340">
      <cdr:nvSpPr>
        <cdr:cNvPr id="70" name="Textfeld 1"/>
        <cdr:cNvSpPr txBox="1"/>
      </cdr:nvSpPr>
      <cdr:spPr>
        <a:xfrm xmlns:a="http://schemas.openxmlformats.org/drawingml/2006/main">
          <a:off x="1549407" y="2313239"/>
          <a:ext cx="510078" cy="1547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535B31E3-0B52-412F-BBC1-848E8DFE4290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2011</a:t>
          </a:fld>
          <a:endParaRPr lang="de-DE" sz="1100"/>
        </a:p>
      </cdr:txBody>
    </cdr:sp>
  </cdr:relSizeAnchor>
  <cdr:relSizeAnchor xmlns:cdr="http://schemas.openxmlformats.org/drawingml/2006/chartDrawing">
    <cdr:from>
      <cdr:x>0.43246</cdr:x>
      <cdr:y>0.83178</cdr:y>
    </cdr:from>
    <cdr:to>
      <cdr:x>0.53166</cdr:x>
      <cdr:y>0.88751</cdr:y>
    </cdr:to>
    <cdr:sp macro="" textlink="'02_Comparison'!$M$340">
      <cdr:nvSpPr>
        <cdr:cNvPr id="71" name="Textfeld 1"/>
        <cdr:cNvSpPr txBox="1"/>
      </cdr:nvSpPr>
      <cdr:spPr>
        <a:xfrm xmlns:a="http://schemas.openxmlformats.org/drawingml/2006/main">
          <a:off x="2223935" y="2313239"/>
          <a:ext cx="510153" cy="154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21F5C23-77E7-4CD9-9402-6565DA3A49E2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2012</a:t>
          </a:fld>
          <a:endParaRPr lang="de-DE" sz="1100"/>
        </a:p>
      </cdr:txBody>
    </cdr:sp>
  </cdr:relSizeAnchor>
  <cdr:relSizeAnchor xmlns:cdr="http://schemas.openxmlformats.org/drawingml/2006/chartDrawing">
    <cdr:from>
      <cdr:x>0.56364</cdr:x>
      <cdr:y>0.83178</cdr:y>
    </cdr:from>
    <cdr:to>
      <cdr:x>0.66284</cdr:x>
      <cdr:y>0.88751</cdr:y>
    </cdr:to>
    <cdr:sp macro="" textlink="'02_Comparison'!$R$340">
      <cdr:nvSpPr>
        <cdr:cNvPr id="72" name="Textfeld 1"/>
        <cdr:cNvSpPr txBox="1"/>
      </cdr:nvSpPr>
      <cdr:spPr>
        <a:xfrm xmlns:a="http://schemas.openxmlformats.org/drawingml/2006/main">
          <a:off x="2898538" y="2313239"/>
          <a:ext cx="510153" cy="154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825F6C4-08EB-4EF5-9B5E-1101003DA763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2013</a:t>
          </a:fld>
          <a:endParaRPr lang="de-DE" sz="1100"/>
        </a:p>
      </cdr:txBody>
    </cdr:sp>
  </cdr:relSizeAnchor>
  <cdr:relSizeAnchor xmlns:cdr="http://schemas.openxmlformats.org/drawingml/2006/chartDrawing">
    <cdr:from>
      <cdr:x>0.69482</cdr:x>
      <cdr:y>0.83178</cdr:y>
    </cdr:from>
    <cdr:to>
      <cdr:x>0.79403</cdr:x>
      <cdr:y>0.88751</cdr:y>
    </cdr:to>
    <cdr:sp macro="" textlink="'02_Comparison'!$W$340">
      <cdr:nvSpPr>
        <cdr:cNvPr id="73" name="Textfeld 1"/>
        <cdr:cNvSpPr txBox="1"/>
      </cdr:nvSpPr>
      <cdr:spPr>
        <a:xfrm xmlns:a="http://schemas.openxmlformats.org/drawingml/2006/main">
          <a:off x="3573141" y="2313239"/>
          <a:ext cx="510153" cy="154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90C529F-A256-47C4-87B8-2CFA13290A00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2014</a:t>
          </a:fld>
          <a:endParaRPr lang="de-DE" sz="1100"/>
        </a:p>
      </cdr:txBody>
    </cdr:sp>
  </cdr:relSizeAnchor>
  <cdr:relSizeAnchor xmlns:cdr="http://schemas.openxmlformats.org/drawingml/2006/chartDrawing">
    <cdr:from>
      <cdr:x>0.826</cdr:x>
      <cdr:y>0.83178</cdr:y>
    </cdr:from>
    <cdr:to>
      <cdr:x>0.92521</cdr:x>
      <cdr:y>0.88751</cdr:y>
    </cdr:to>
    <cdr:sp macro="" textlink="'02_Comparison'!$AB$340">
      <cdr:nvSpPr>
        <cdr:cNvPr id="74" name="Textfeld 1"/>
        <cdr:cNvSpPr txBox="1"/>
      </cdr:nvSpPr>
      <cdr:spPr>
        <a:xfrm xmlns:a="http://schemas.openxmlformats.org/drawingml/2006/main">
          <a:off x="4247745" y="2313239"/>
          <a:ext cx="510153" cy="154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4E1FEC85-10AB-49FF-899C-CB7318186DF6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2015</a:t>
          </a:fld>
          <a:endParaRPr lang="de-DE" sz="1100"/>
        </a:p>
      </cdr:txBody>
    </cdr:sp>
  </cdr:relSizeAnchor>
</c:userShapes>
</file>

<file path=xl/drawings/drawing43.xml><?xml version="1.0" encoding="utf-8"?>
<c:userShapes xmlns:c="http://schemas.openxmlformats.org/drawingml/2006/chart">
  <cdr:relSizeAnchor xmlns:cdr="http://schemas.openxmlformats.org/drawingml/2006/chartDrawing">
    <cdr:from>
      <cdr:x>0.2764</cdr:x>
      <cdr:y>0.09481</cdr:y>
    </cdr:from>
    <cdr:to>
      <cdr:x>0.2974</cdr:x>
      <cdr:y>0.258</cdr:y>
    </cdr:to>
    <cdr:sp macro="" textlink="'02_Comparison'!$A$283">
      <cdr:nvSpPr>
        <cdr:cNvPr id="5" name="Rechteck 4"/>
        <cdr:cNvSpPr/>
      </cdr:nvSpPr>
      <cdr:spPr>
        <a:xfrm xmlns:a="http://schemas.openxmlformats.org/drawingml/2006/main" rot="18279694">
          <a:off x="1243368" y="443041"/>
          <a:ext cx="459716" cy="10782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lIns="0" tIns="0" rIns="0" bIns="0" anchor="ctr" anchorCtr="0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/>
          <a:fld id="{EE2E0415-BF7A-4614-AFAD-D73DDF1B712B}" type="TxLink">
            <a:rPr lang="en-US" sz="700" b="0" i="0" u="none" strike="noStrike">
              <a:solidFill>
                <a:schemeClr val="accent3"/>
              </a:solidFill>
              <a:latin typeface="Arial"/>
              <a:ea typeface="+mn-ea"/>
              <a:cs typeface="Arial"/>
            </a:rPr>
            <a:pPr marL="0" indent="0"/>
            <a:t>Peer 3</a:t>
          </a:fld>
          <a:endParaRPr lang="de-DE" sz="700">
            <a:solidFill>
              <a:schemeClr val="accent3"/>
            </a:solidFill>
            <a:latin typeface="Arial" pitchFamily="34" charset="0"/>
            <a:ea typeface="+mn-ea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0.1931</cdr:x>
      <cdr:y>0.09481</cdr:y>
    </cdr:from>
    <cdr:to>
      <cdr:x>0.2141</cdr:x>
      <cdr:y>0.25801</cdr:y>
    </cdr:to>
    <cdr:sp macro="" textlink="'02_Comparison'!$A$279">
      <cdr:nvSpPr>
        <cdr:cNvPr id="2" name="Rechteck 1"/>
        <cdr:cNvSpPr/>
      </cdr:nvSpPr>
      <cdr:spPr>
        <a:xfrm xmlns:a="http://schemas.openxmlformats.org/drawingml/2006/main" rot="18279694">
          <a:off x="815617" y="443043"/>
          <a:ext cx="459722" cy="10782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lIns="0" tIns="0" rIns="0" bIns="0" anchor="ctr" anchorCtr="0"/>
        <a:lstStyle xmlns:a="http://schemas.openxmlformats.org/drawingml/2006/main"/>
        <a:p xmlns:a="http://schemas.openxmlformats.org/drawingml/2006/main">
          <a:fld id="{7622F87F-B471-4D4F-B871-7C67F4D1439A}" type="TxLink">
            <a:rPr lang="en-US" sz="700" b="0" i="0" u="none" strike="noStrike">
              <a:solidFill>
                <a:srgbClr val="8E258D"/>
              </a:solidFill>
              <a:latin typeface="Arial"/>
              <a:cs typeface="Arial"/>
            </a:rPr>
            <a:pPr/>
            <a:t>XXX AG</a:t>
          </a:fld>
          <a:endParaRPr lang="de-DE" sz="700">
            <a:solidFill>
              <a:srgbClr val="8E258D"/>
            </a:solidFill>
          </a:endParaRPr>
        </a:p>
      </cdr:txBody>
    </cdr:sp>
  </cdr:relSizeAnchor>
  <cdr:relSizeAnchor xmlns:cdr="http://schemas.openxmlformats.org/drawingml/2006/chartDrawing">
    <cdr:from>
      <cdr:x>0.22087</cdr:x>
      <cdr:y>0.09481</cdr:y>
    </cdr:from>
    <cdr:to>
      <cdr:x>0.24186</cdr:x>
      <cdr:y>0.25801</cdr:y>
    </cdr:to>
    <cdr:sp macro="" textlink="'02_Comparison'!$A$281">
      <cdr:nvSpPr>
        <cdr:cNvPr id="3" name="Rechteck 2"/>
        <cdr:cNvSpPr/>
      </cdr:nvSpPr>
      <cdr:spPr>
        <a:xfrm xmlns:a="http://schemas.openxmlformats.org/drawingml/2006/main" rot="18279694">
          <a:off x="958199" y="443044"/>
          <a:ext cx="459722" cy="10782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lIns="0" tIns="0" rIns="0" bIns="0" anchor="ctr" anchorCtr="0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A4CBA790-1C0F-4C09-8833-5554286B80C6}" type="TxLink">
            <a:rPr lang="en-US" sz="700" b="0" i="0" u="none" strike="noStrike">
              <a:solidFill>
                <a:schemeClr val="tx2"/>
              </a:solidFill>
              <a:latin typeface="Arial"/>
              <a:cs typeface="Arial"/>
            </a:rPr>
            <a:pPr/>
            <a:t>Peer 1</a:t>
          </a:fld>
          <a:endParaRPr lang="de-DE" sz="700">
            <a:solidFill>
              <a:schemeClr val="tx2"/>
            </a:solidFill>
          </a:endParaRPr>
        </a:p>
      </cdr:txBody>
    </cdr:sp>
  </cdr:relSizeAnchor>
  <cdr:relSizeAnchor xmlns:cdr="http://schemas.openxmlformats.org/drawingml/2006/chartDrawing">
    <cdr:from>
      <cdr:x>0.24863</cdr:x>
      <cdr:y>0.09481</cdr:y>
    </cdr:from>
    <cdr:to>
      <cdr:x>0.26963</cdr:x>
      <cdr:y>0.25801</cdr:y>
    </cdr:to>
    <cdr:sp macro="" textlink="'02_Comparison'!$A$282">
      <cdr:nvSpPr>
        <cdr:cNvPr id="4" name="Rechteck 3"/>
        <cdr:cNvSpPr/>
      </cdr:nvSpPr>
      <cdr:spPr>
        <a:xfrm xmlns:a="http://schemas.openxmlformats.org/drawingml/2006/main" rot="18279694">
          <a:off x="1100781" y="443044"/>
          <a:ext cx="459722" cy="10782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lIns="0" tIns="0" rIns="0" bIns="0" anchor="ctr" anchorCtr="0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/>
          <a:fld id="{84FC4EF7-ED20-4433-92F6-72DB1A3C6910}" type="TxLink">
            <a:rPr lang="en-US" sz="700" b="0" i="0" u="none" strike="noStrike">
              <a:solidFill>
                <a:schemeClr val="accent1"/>
              </a:solidFill>
              <a:latin typeface="Arial"/>
              <a:ea typeface="+mn-ea"/>
              <a:cs typeface="Arial"/>
            </a:rPr>
            <a:pPr marL="0" indent="0"/>
            <a:t>Peer 2</a:t>
          </a:fld>
          <a:endParaRPr lang="de-DE" sz="700" b="0" i="0" u="none" strike="noStrike">
            <a:solidFill>
              <a:schemeClr val="accent1"/>
            </a:solidFill>
            <a:latin typeface="Arial"/>
            <a:ea typeface="+mn-ea"/>
            <a:cs typeface="Arial"/>
          </a:endParaRPr>
        </a:p>
      </cdr:txBody>
    </cdr:sp>
  </cdr:relSizeAnchor>
  <cdr:relSizeAnchor xmlns:cdr="http://schemas.openxmlformats.org/drawingml/2006/chartDrawing">
    <cdr:from>
      <cdr:x>0.17676</cdr:x>
      <cdr:y>0.03227</cdr:y>
    </cdr:from>
    <cdr:to>
      <cdr:x>0.91575</cdr:x>
      <cdr:y>0.08258</cdr:y>
    </cdr:to>
    <cdr:grpSp>
      <cdr:nvGrpSpPr>
        <cdr:cNvPr id="38" name="Gruppieren 37"/>
        <cdr:cNvGrpSpPr/>
      </cdr:nvGrpSpPr>
      <cdr:grpSpPr>
        <a:xfrm xmlns:a="http://schemas.openxmlformats.org/drawingml/2006/main">
          <a:off x="908096" y="68624"/>
          <a:ext cx="3796525" cy="106987"/>
          <a:chOff x="-843522" y="94187"/>
          <a:chExt cx="3818298" cy="165804"/>
        </a:xfrm>
      </cdr:grpSpPr>
      <cdr:sp macro="" textlink="'02_Comparison'!$B$278:$D$278">
        <cdr:nvSpPr>
          <cdr:cNvPr id="40" name="Textfeld 3"/>
          <cdr:cNvSpPr txBox="1"/>
        </cdr:nvSpPr>
        <cdr:spPr>
          <a:xfrm xmlns:a="http://schemas.openxmlformats.org/drawingml/2006/main">
            <a:off x="-843522" y="94187"/>
            <a:ext cx="1864116" cy="165804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B0DB44C0-F70D-4BAC-B436-C21125EBBB35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278:$G$278">
        <cdr:nvSpPr>
          <cdr:cNvPr id="41" name="Textfeld 1"/>
          <cdr:cNvSpPr txBox="1"/>
        </cdr:nvSpPr>
        <cdr:spPr>
          <a:xfrm xmlns:a="http://schemas.openxmlformats.org/drawingml/2006/main">
            <a:off x="1109975" y="94187"/>
            <a:ext cx="1864801" cy="165804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349D4D5-3ACC-47F1-A9DC-5FCA2EB0D7BA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0.17013</cdr:x>
      <cdr:y>0.83178</cdr:y>
    </cdr:from>
    <cdr:to>
      <cdr:x>0.26931</cdr:x>
      <cdr:y>0.88741</cdr:y>
    </cdr:to>
    <cdr:sp macro="" textlink="'02_Comparison'!$C$292">
      <cdr:nvSpPr>
        <cdr:cNvPr id="69" name="Textfeld 68"/>
        <cdr:cNvSpPr txBox="1"/>
      </cdr:nvSpPr>
      <cdr:spPr>
        <a:xfrm xmlns:a="http://schemas.openxmlformats.org/drawingml/2006/main">
          <a:off x="874879" y="2313239"/>
          <a:ext cx="510078" cy="1547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 anchor="ctr" anchorCtr="0"/>
        <a:lstStyle xmlns:a="http://schemas.openxmlformats.org/drawingml/2006/main"/>
        <a:p xmlns:a="http://schemas.openxmlformats.org/drawingml/2006/main">
          <a:pPr algn="ctr"/>
          <a:fld id="{E0575996-971C-4713-9690-AE0D0D789048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2010</a:t>
          </a:fld>
          <a:endParaRPr lang="de-DE" sz="1100"/>
        </a:p>
      </cdr:txBody>
    </cdr:sp>
  </cdr:relSizeAnchor>
  <cdr:relSizeAnchor xmlns:cdr="http://schemas.openxmlformats.org/drawingml/2006/chartDrawing">
    <cdr:from>
      <cdr:x>0.30129</cdr:x>
      <cdr:y>0.83178</cdr:y>
    </cdr:from>
    <cdr:to>
      <cdr:x>0.40048</cdr:x>
      <cdr:y>0.88741</cdr:y>
    </cdr:to>
    <cdr:sp macro="" textlink="'02_Comparison'!$H$292">
      <cdr:nvSpPr>
        <cdr:cNvPr id="70" name="Textfeld 1"/>
        <cdr:cNvSpPr txBox="1"/>
      </cdr:nvSpPr>
      <cdr:spPr>
        <a:xfrm xmlns:a="http://schemas.openxmlformats.org/drawingml/2006/main">
          <a:off x="1549407" y="2313239"/>
          <a:ext cx="510078" cy="1547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40B92919-7332-4ED8-BFDF-698ABFAA6B1B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2011</a:t>
          </a:fld>
          <a:endParaRPr lang="de-DE" sz="1100"/>
        </a:p>
      </cdr:txBody>
    </cdr:sp>
  </cdr:relSizeAnchor>
  <cdr:relSizeAnchor xmlns:cdr="http://schemas.openxmlformats.org/drawingml/2006/chartDrawing">
    <cdr:from>
      <cdr:x>0.43246</cdr:x>
      <cdr:y>0.83178</cdr:y>
    </cdr:from>
    <cdr:to>
      <cdr:x>0.53166</cdr:x>
      <cdr:y>0.88751</cdr:y>
    </cdr:to>
    <cdr:sp macro="" textlink="'02_Comparison'!$M$292">
      <cdr:nvSpPr>
        <cdr:cNvPr id="71" name="Textfeld 1"/>
        <cdr:cNvSpPr txBox="1"/>
      </cdr:nvSpPr>
      <cdr:spPr>
        <a:xfrm xmlns:a="http://schemas.openxmlformats.org/drawingml/2006/main">
          <a:off x="2223935" y="2313239"/>
          <a:ext cx="510153" cy="154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684E67B-FD1D-49F1-A766-ADFF4AB90D3B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2012</a:t>
          </a:fld>
          <a:endParaRPr lang="de-DE" sz="1100"/>
        </a:p>
      </cdr:txBody>
    </cdr:sp>
  </cdr:relSizeAnchor>
  <cdr:relSizeAnchor xmlns:cdr="http://schemas.openxmlformats.org/drawingml/2006/chartDrawing">
    <cdr:from>
      <cdr:x>0.56364</cdr:x>
      <cdr:y>0.83178</cdr:y>
    </cdr:from>
    <cdr:to>
      <cdr:x>0.66284</cdr:x>
      <cdr:y>0.88751</cdr:y>
    </cdr:to>
    <cdr:sp macro="" textlink="'02_Comparison'!$R$292">
      <cdr:nvSpPr>
        <cdr:cNvPr id="72" name="Textfeld 1"/>
        <cdr:cNvSpPr txBox="1"/>
      </cdr:nvSpPr>
      <cdr:spPr>
        <a:xfrm xmlns:a="http://schemas.openxmlformats.org/drawingml/2006/main">
          <a:off x="2898538" y="2313239"/>
          <a:ext cx="510153" cy="154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F4DBD99-0028-4A0B-8CFC-1131642F5A91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2013</a:t>
          </a:fld>
          <a:endParaRPr lang="de-DE" sz="1100"/>
        </a:p>
      </cdr:txBody>
    </cdr:sp>
  </cdr:relSizeAnchor>
  <cdr:relSizeAnchor xmlns:cdr="http://schemas.openxmlformats.org/drawingml/2006/chartDrawing">
    <cdr:from>
      <cdr:x>0.69482</cdr:x>
      <cdr:y>0.83178</cdr:y>
    </cdr:from>
    <cdr:to>
      <cdr:x>0.79403</cdr:x>
      <cdr:y>0.88751</cdr:y>
    </cdr:to>
    <cdr:sp macro="" textlink="'02_Comparison'!$W$292">
      <cdr:nvSpPr>
        <cdr:cNvPr id="73" name="Textfeld 1"/>
        <cdr:cNvSpPr txBox="1"/>
      </cdr:nvSpPr>
      <cdr:spPr>
        <a:xfrm xmlns:a="http://schemas.openxmlformats.org/drawingml/2006/main">
          <a:off x="3573141" y="2313239"/>
          <a:ext cx="510153" cy="154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420384FE-5BDD-4541-9287-E46A91495009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2014</a:t>
          </a:fld>
          <a:endParaRPr lang="de-DE" sz="1100"/>
        </a:p>
      </cdr:txBody>
    </cdr:sp>
  </cdr:relSizeAnchor>
  <cdr:relSizeAnchor xmlns:cdr="http://schemas.openxmlformats.org/drawingml/2006/chartDrawing">
    <cdr:from>
      <cdr:x>0.826</cdr:x>
      <cdr:y>0.83178</cdr:y>
    </cdr:from>
    <cdr:to>
      <cdr:x>0.92521</cdr:x>
      <cdr:y>0.88751</cdr:y>
    </cdr:to>
    <cdr:sp macro="" textlink="'02_Comparison'!$AB$292">
      <cdr:nvSpPr>
        <cdr:cNvPr id="74" name="Textfeld 1"/>
        <cdr:cNvSpPr txBox="1"/>
      </cdr:nvSpPr>
      <cdr:spPr>
        <a:xfrm xmlns:a="http://schemas.openxmlformats.org/drawingml/2006/main">
          <a:off x="4247745" y="2313239"/>
          <a:ext cx="510153" cy="154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8500176C-277D-4831-8E80-3A8DDA2BE783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2015</a:t>
          </a:fld>
          <a:endParaRPr lang="de-DE" sz="1100"/>
        </a:p>
      </cdr:txBody>
    </cdr:sp>
  </cdr:relSizeAnchor>
</c:userShapes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0.14011</cdr:x>
      <cdr:y>0.05636</cdr:y>
    </cdr:from>
    <cdr:to>
      <cdr:x>0.61983</cdr:x>
      <cdr:y>0.10783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22070" y="153885"/>
          <a:ext cx="2129895" cy="140533"/>
          <a:chOff x="0" y="-1"/>
          <a:chExt cx="2132376" cy="170007"/>
        </a:xfrm>
      </cdr:grpSpPr>
      <cdr:sp macro="" textlink="'02_Comparison'!$B$366:$D$366">
        <cdr:nvSpPr>
          <cdr:cNvPr id="4" name="Textfeld 3"/>
          <cdr:cNvSpPr txBox="1"/>
        </cdr:nvSpPr>
        <cdr:spPr>
          <a:xfrm xmlns:a="http://schemas.openxmlformats.org/drawingml/2006/main">
            <a:off x="0" y="-1"/>
            <a:ext cx="1020593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A78A5B4A-8691-4028-A12D-EBC9AF6EEC5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366:$G$366">
        <cdr:nvSpPr>
          <cdr:cNvPr id="5" name="Textfeld 1"/>
          <cdr:cNvSpPr txBox="1"/>
        </cdr:nvSpPr>
        <cdr:spPr>
          <a:xfrm xmlns:a="http://schemas.openxmlformats.org/drawingml/2006/main">
            <a:off x="1109976" y="-1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4F6FDB7F-1A33-45DE-B03B-6BBFA6D08056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45.xml><?xml version="1.0" encoding="utf-8"?>
<c:userShapes xmlns:c="http://schemas.openxmlformats.org/drawingml/2006/chart">
  <cdr:relSizeAnchor xmlns:cdr="http://schemas.openxmlformats.org/drawingml/2006/chartDrawing">
    <cdr:from>
      <cdr:x>0.13715</cdr:x>
      <cdr:y>0.04632</cdr:y>
    </cdr:from>
    <cdr:to>
      <cdr:x>0.6908</cdr:x>
      <cdr:y>0.10062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08928" y="126472"/>
          <a:ext cx="2458135" cy="148260"/>
          <a:chOff x="-13143" y="-33090"/>
          <a:chExt cx="2129019" cy="171672"/>
        </a:xfrm>
      </cdr:grpSpPr>
      <cdr:sp macro="" textlink="'02_Comparison'!$B$429:$D$429">
        <cdr:nvSpPr>
          <cdr:cNvPr id="4" name="Textfeld 3"/>
          <cdr:cNvSpPr txBox="1"/>
        </cdr:nvSpPr>
        <cdr:spPr>
          <a:xfrm xmlns:a="http://schemas.openxmlformats.org/drawingml/2006/main">
            <a:off x="-13143" y="-31425"/>
            <a:ext cx="1020593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AF52E8F9-C92A-4DA4-9A77-AFD8962ED1C8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429:$G$429">
        <cdr:nvSpPr>
          <cdr:cNvPr id="5" name="Textfeld 1"/>
          <cdr:cNvSpPr txBox="1"/>
        </cdr:nvSpPr>
        <cdr:spPr>
          <a:xfrm xmlns:a="http://schemas.openxmlformats.org/drawingml/2006/main">
            <a:off x="1093476" y="-33090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E128B00-C66E-4A03-9116-77098FE86785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0.14011</cdr:x>
      <cdr:y>0.05636</cdr:y>
    </cdr:from>
    <cdr:to>
      <cdr:x>0.61983</cdr:x>
      <cdr:y>0.10783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22070" y="153885"/>
          <a:ext cx="2129895" cy="140533"/>
          <a:chOff x="0" y="-1"/>
          <a:chExt cx="2132376" cy="170007"/>
        </a:xfrm>
      </cdr:grpSpPr>
      <cdr:sp macro="" textlink="'02_Comparison'!$B$491:$D$491">
        <cdr:nvSpPr>
          <cdr:cNvPr id="4" name="Textfeld 3"/>
          <cdr:cNvSpPr txBox="1"/>
        </cdr:nvSpPr>
        <cdr:spPr>
          <a:xfrm xmlns:a="http://schemas.openxmlformats.org/drawingml/2006/main">
            <a:off x="0" y="-1"/>
            <a:ext cx="1020593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E3FFA607-9A5C-4670-8FF8-B4B11D80996D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491:$G$491">
        <cdr:nvSpPr>
          <cdr:cNvPr id="5" name="Textfeld 1"/>
          <cdr:cNvSpPr txBox="1"/>
        </cdr:nvSpPr>
        <cdr:spPr>
          <a:xfrm xmlns:a="http://schemas.openxmlformats.org/drawingml/2006/main">
            <a:off x="1109976" y="-1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C2064562-3E92-440D-9AFB-A4D92E20E7C0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0.68571</cdr:x>
      <cdr:y>0.14665</cdr:y>
    </cdr:from>
    <cdr:to>
      <cdr:x>0.75222</cdr:x>
      <cdr:y>0.72659</cdr:y>
    </cdr:to>
    <cdr:sp macro="" textlink="">
      <cdr:nvSpPr>
        <cdr:cNvPr id="6" name="Abgerundetes Rechteck 5"/>
        <cdr:cNvSpPr/>
      </cdr:nvSpPr>
      <cdr:spPr>
        <a:xfrm xmlns:a="http://schemas.openxmlformats.org/drawingml/2006/main">
          <a:off x="3048000" y="410308"/>
          <a:ext cx="295637" cy="1622528"/>
        </a:xfrm>
        <a:prstGeom xmlns:a="http://schemas.openxmlformats.org/drawingml/2006/main" prst="roundRect">
          <a:avLst/>
        </a:prstGeom>
        <a:noFill xmlns:a="http://schemas.openxmlformats.org/drawingml/2006/main"/>
        <a:ln xmlns:a="http://schemas.openxmlformats.org/drawingml/2006/main" w="9525" cap="flat" cmpd="sng" algn="ctr">
          <a:solidFill>
            <a:srgbClr val="00A3A1"/>
          </a:solidFill>
          <a:prstDash val="dash"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8E258D">
                  <a:alpha val="7000"/>
                </a:srgbClr>
              </a:solidFill>
            </a14:hiddenFill>
          </a:ext>
        </a:extLst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</c:userShapes>
</file>

<file path=xl/drawings/drawing47.xml><?xml version="1.0" encoding="utf-8"?>
<c:userShapes xmlns:c="http://schemas.openxmlformats.org/drawingml/2006/chart">
  <cdr:relSizeAnchor xmlns:cdr="http://schemas.openxmlformats.org/drawingml/2006/chartDrawing">
    <cdr:from>
      <cdr:x>0.14011</cdr:x>
      <cdr:y>0.05636</cdr:y>
    </cdr:from>
    <cdr:to>
      <cdr:x>0.61983</cdr:x>
      <cdr:y>0.10783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20941" y="154298"/>
          <a:ext cx="2126029" cy="140910"/>
          <a:chOff x="0" y="-1"/>
          <a:chExt cx="2132376" cy="170007"/>
        </a:xfrm>
      </cdr:grpSpPr>
      <cdr:sp macro="" textlink="'02_Comparison'!$B$176:$D$176">
        <cdr:nvSpPr>
          <cdr:cNvPr id="4" name="Textfeld 3"/>
          <cdr:cNvSpPr txBox="1"/>
        </cdr:nvSpPr>
        <cdr:spPr>
          <a:xfrm xmlns:a="http://schemas.openxmlformats.org/drawingml/2006/main">
            <a:off x="0" y="-1"/>
            <a:ext cx="1020593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70E571F7-6CFF-464A-BFAD-BBA02886AEE9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176:$G$176">
        <cdr:nvSpPr>
          <cdr:cNvPr id="5" name="Textfeld 1"/>
          <cdr:cNvSpPr txBox="1"/>
        </cdr:nvSpPr>
        <cdr:spPr>
          <a:xfrm xmlns:a="http://schemas.openxmlformats.org/drawingml/2006/main">
            <a:off x="1109976" y="-1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446297C0-48DB-4927-919B-FF90FCC80F86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0.6412</cdr:x>
      <cdr:y>0.12832</cdr:y>
    </cdr:from>
    <cdr:to>
      <cdr:x>0.70771</cdr:x>
      <cdr:y>0.70825</cdr:y>
    </cdr:to>
    <cdr:sp macro="" textlink="">
      <cdr:nvSpPr>
        <cdr:cNvPr id="6" name="Abgerundetes Rechteck 5"/>
        <cdr:cNvSpPr/>
      </cdr:nvSpPr>
      <cdr:spPr>
        <a:xfrm xmlns:a="http://schemas.openxmlformats.org/drawingml/2006/main">
          <a:off x="2850155" y="359024"/>
          <a:ext cx="295637" cy="1622525"/>
        </a:xfrm>
        <a:prstGeom xmlns:a="http://schemas.openxmlformats.org/drawingml/2006/main" prst="roundRect">
          <a:avLst/>
        </a:prstGeom>
        <a:noFill xmlns:a="http://schemas.openxmlformats.org/drawingml/2006/main"/>
        <a:ln xmlns:a="http://schemas.openxmlformats.org/drawingml/2006/main" w="12700" cap="flat" cmpd="sng" algn="ctr">
          <a:solidFill>
            <a:schemeClr val="accent4"/>
          </a:solidFill>
          <a:prstDash val="dash"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BC204B">
                  <a:alpha val="7000"/>
                </a:srgbClr>
              </a:solidFill>
            </a14:hiddenFill>
          </a:ext>
        </a:extLst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</c:userShapes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0.14011</cdr:x>
      <cdr:y>0.05636</cdr:y>
    </cdr:from>
    <cdr:to>
      <cdr:x>0.61983</cdr:x>
      <cdr:y>0.10783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21454" y="153761"/>
          <a:ext cx="2127786" cy="140420"/>
          <a:chOff x="0" y="-1"/>
          <a:chExt cx="2132376" cy="170007"/>
        </a:xfrm>
      </cdr:grpSpPr>
      <cdr:sp macro="" textlink="'02_Comparison'!$B$526:$D$526">
        <cdr:nvSpPr>
          <cdr:cNvPr id="4" name="Textfeld 3"/>
          <cdr:cNvSpPr txBox="1"/>
        </cdr:nvSpPr>
        <cdr:spPr>
          <a:xfrm xmlns:a="http://schemas.openxmlformats.org/drawingml/2006/main">
            <a:off x="0" y="-1"/>
            <a:ext cx="1020593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741325D-617E-4235-B382-BAACB80801E5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526:$G$526">
        <cdr:nvSpPr>
          <cdr:cNvPr id="5" name="Textfeld 1"/>
          <cdr:cNvSpPr txBox="1"/>
        </cdr:nvSpPr>
        <cdr:spPr>
          <a:xfrm xmlns:a="http://schemas.openxmlformats.org/drawingml/2006/main">
            <a:off x="1109976" y="-1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321B314-BC37-487E-A122-ED62DF799FB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0.61088</cdr:x>
      <cdr:y>0.12937</cdr:y>
    </cdr:from>
    <cdr:to>
      <cdr:x>0.82302</cdr:x>
      <cdr:y>0.26895</cdr:y>
    </cdr:to>
    <cdr:sp macro="" textlink="'02_Comparison'!$A$521">
      <cdr:nvSpPr>
        <cdr:cNvPr id="6" name="Textfeld 3"/>
        <cdr:cNvSpPr txBox="1"/>
      </cdr:nvSpPr>
      <cdr:spPr>
        <a:xfrm xmlns:a="http://schemas.openxmlformats.org/drawingml/2006/main">
          <a:off x="2715358" y="361963"/>
          <a:ext cx="942962" cy="3905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5133E2F-C2C3-47AD-B23F-F070A9989BFE}" type="TxLink">
            <a:rPr lang="en-US" sz="700" b="0" i="0" u="none" strike="noStrike">
              <a:solidFill>
                <a:schemeClr val="accent2"/>
              </a:solidFill>
              <a:latin typeface="Arial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
XXX AG
36%</a:t>
          </a:fld>
          <a:endParaRPr lang="de-DE" sz="70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0.61978</cdr:x>
      <cdr:y>0.2645</cdr:y>
    </cdr:from>
    <cdr:to>
      <cdr:x>0.82347</cdr:x>
      <cdr:y>0.40069</cdr:y>
    </cdr:to>
    <cdr:sp macro="" textlink="'02_Comparison'!$A$520">
      <cdr:nvSpPr>
        <cdr:cNvPr id="7" name="Textfeld 4"/>
        <cdr:cNvSpPr txBox="1"/>
      </cdr:nvSpPr>
      <cdr:spPr>
        <a:xfrm xmlns:a="http://schemas.openxmlformats.org/drawingml/2006/main">
          <a:off x="2749019" y="721606"/>
          <a:ext cx="903451" cy="37155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5577F9F-C5F1-4156-BF56-3C5C36617C6F}" type="TxLink">
            <a:rPr lang="en-US" sz="700" b="0" i="0" u="none" strike="noStrike">
              <a:solidFill>
                <a:schemeClr val="accent1"/>
              </a:solidFill>
              <a:latin typeface="Arial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
Market study YYY
17%</a:t>
          </a:fld>
          <a:endParaRPr lang="de-DE" sz="600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0.61484</cdr:x>
      <cdr:y>0.39832</cdr:y>
    </cdr:from>
    <cdr:to>
      <cdr:x>0.80275</cdr:x>
      <cdr:y>0.54812</cdr:y>
    </cdr:to>
    <cdr:sp macro="" textlink="'02_Comparison'!$A$519">
      <cdr:nvSpPr>
        <cdr:cNvPr id="8" name="Textfeld 5"/>
        <cdr:cNvSpPr txBox="1"/>
      </cdr:nvSpPr>
      <cdr:spPr>
        <a:xfrm xmlns:a="http://schemas.openxmlformats.org/drawingml/2006/main">
          <a:off x="2732944" y="1114425"/>
          <a:ext cx="835268" cy="4191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FD3A7ED7-B0E9-48AE-A578-8EB841850142}" type="TxLink">
            <a:rPr lang="en-US" sz="700" b="0" i="0" u="none" strike="noStrike">
              <a:solidFill>
                <a:schemeClr val="accent3"/>
              </a:solidFill>
              <a:latin typeface="Arial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
Ø Peer Group
14%</a:t>
          </a:fld>
          <a:endParaRPr lang="de-DE" sz="700">
            <a:solidFill>
              <a:schemeClr val="accent3"/>
            </a:solidFill>
          </a:endParaRPr>
        </a:p>
      </cdr:txBody>
    </cdr:sp>
  </cdr:relSizeAnchor>
</c:userShapes>
</file>

<file path=xl/drawings/drawing49.xml><?xml version="1.0" encoding="utf-8"?>
<c:userShapes xmlns:c="http://schemas.openxmlformats.org/drawingml/2006/chart">
  <cdr:relSizeAnchor xmlns:cdr="http://schemas.openxmlformats.org/drawingml/2006/chartDrawing">
    <cdr:from>
      <cdr:x>0.14011</cdr:x>
      <cdr:y>0.05636</cdr:y>
    </cdr:from>
    <cdr:to>
      <cdr:x>0.61983</cdr:x>
      <cdr:y>0.10783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21454" y="153761"/>
          <a:ext cx="2127786" cy="140420"/>
          <a:chOff x="0" y="-1"/>
          <a:chExt cx="2132376" cy="170007"/>
        </a:xfrm>
      </cdr:grpSpPr>
      <cdr:sp macro="" textlink="'02_Comparison'!$B$593:$D$593">
        <cdr:nvSpPr>
          <cdr:cNvPr id="4" name="Textfeld 3"/>
          <cdr:cNvSpPr txBox="1"/>
        </cdr:nvSpPr>
        <cdr:spPr>
          <a:xfrm xmlns:a="http://schemas.openxmlformats.org/drawingml/2006/main">
            <a:off x="0" y="-1"/>
            <a:ext cx="1020593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85563A88-9C89-4A3D-A2D7-0AA26CF2B695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593:$G$593">
        <cdr:nvSpPr>
          <cdr:cNvPr id="5" name="Textfeld 1"/>
          <cdr:cNvSpPr txBox="1"/>
        </cdr:nvSpPr>
        <cdr:spPr>
          <a:xfrm xmlns:a="http://schemas.openxmlformats.org/drawingml/2006/main">
            <a:off x="1109976" y="-1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BF3E8568-2F9B-4D20-8B39-747302B1EC1E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0.61088</cdr:x>
      <cdr:y>0.12937</cdr:y>
    </cdr:from>
    <cdr:to>
      <cdr:x>0.82302</cdr:x>
      <cdr:y>0.26895</cdr:y>
    </cdr:to>
    <cdr:sp macro="" textlink="'02_Comparison'!$A$588">
      <cdr:nvSpPr>
        <cdr:cNvPr id="6" name="Textfeld 3"/>
        <cdr:cNvSpPr txBox="1"/>
      </cdr:nvSpPr>
      <cdr:spPr>
        <a:xfrm xmlns:a="http://schemas.openxmlformats.org/drawingml/2006/main">
          <a:off x="2715358" y="361963"/>
          <a:ext cx="942962" cy="3905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D9DFE593-209D-433A-9420-60E3892D2890}" type="TxLink">
            <a:rPr lang="en-US" sz="700" b="0" i="0" u="none" strike="noStrike">
              <a:solidFill>
                <a:schemeClr val="accent2"/>
              </a:solidFill>
              <a:latin typeface="Arial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
XXX AG
1.4%</a:t>
          </a:fld>
          <a:endParaRPr lang="de-DE" sz="70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0.61978</cdr:x>
      <cdr:y>0.2645</cdr:y>
    </cdr:from>
    <cdr:to>
      <cdr:x>0.83571</cdr:x>
      <cdr:y>0.40069</cdr:y>
    </cdr:to>
    <cdr:sp macro="" textlink="'02_Comparison'!$A$587">
      <cdr:nvSpPr>
        <cdr:cNvPr id="7" name="Textfeld 4"/>
        <cdr:cNvSpPr txBox="1"/>
      </cdr:nvSpPr>
      <cdr:spPr>
        <a:xfrm xmlns:a="http://schemas.openxmlformats.org/drawingml/2006/main">
          <a:off x="2754930" y="740019"/>
          <a:ext cx="959819" cy="38101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8927628-7EBD-4A0E-A4C1-6A6443FEFA51}" type="TxLink">
            <a:rPr lang="en-US" sz="700" b="0" i="0" u="none" strike="noStrike">
              <a:solidFill>
                <a:schemeClr val="accent1"/>
              </a:solidFill>
              <a:latin typeface="Arial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
Market study YYY
1.0%</a:t>
          </a:fld>
          <a:endParaRPr lang="de-DE" sz="700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0.62612</cdr:x>
      <cdr:y>0.40067</cdr:y>
    </cdr:from>
    <cdr:to>
      <cdr:x>0.81404</cdr:x>
      <cdr:y>0.55047</cdr:y>
    </cdr:to>
    <cdr:sp macro="" textlink="'02_Comparison'!$A$586">
      <cdr:nvSpPr>
        <cdr:cNvPr id="8" name="Textfeld 5"/>
        <cdr:cNvSpPr txBox="1"/>
      </cdr:nvSpPr>
      <cdr:spPr>
        <a:xfrm xmlns:a="http://schemas.openxmlformats.org/drawingml/2006/main">
          <a:off x="2777118" y="1093111"/>
          <a:ext cx="833514" cy="40868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2E4A4CD-DDB8-476C-A2C8-B5B8872990F3}" type="TxLink">
            <a:rPr lang="en-US" sz="700" b="0" i="0" u="none" strike="noStrike">
              <a:solidFill>
                <a:schemeClr val="accent3"/>
              </a:solidFill>
              <a:latin typeface="Arial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
Ø Peer Group
1.5%</a:t>
          </a:fld>
          <a:endParaRPr lang="de-DE" sz="700">
            <a:solidFill>
              <a:schemeClr val="accent3"/>
            </a:solidFill>
          </a:endParaRPr>
        </a:p>
      </cdr:txBody>
    </cdr:sp>
  </cdr:relSizeAnchor>
</c:userShapes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0.64522</cdr:x>
      <cdr:y>0.27318</cdr:y>
    </cdr:from>
    <cdr:to>
      <cdr:x>0.66446</cdr:x>
      <cdr:y>0.31092</cdr:y>
    </cdr:to>
    <cdr:sp macro="" textlink="">
      <cdr:nvSpPr>
        <cdr:cNvPr id="2" name="Pfeil nach rechts 1"/>
        <cdr:cNvSpPr/>
      </cdr:nvSpPr>
      <cdr:spPr>
        <a:xfrm xmlns:a="http://schemas.openxmlformats.org/drawingml/2006/main" rot="17210202">
          <a:off x="2250258" y="729710"/>
          <a:ext cx="98679" cy="67572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005EB8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0.52579</cdr:x>
      <cdr:y>0.27127</cdr:y>
    </cdr:from>
    <cdr:to>
      <cdr:x>0.55468</cdr:x>
      <cdr:y>0.4446</cdr:y>
    </cdr:to>
    <cdr:sp macro="" textlink="">
      <cdr:nvSpPr>
        <cdr:cNvPr id="3" name="Pfeil nach rechts 2"/>
        <cdr:cNvSpPr/>
      </cdr:nvSpPr>
      <cdr:spPr>
        <a:xfrm xmlns:a="http://schemas.openxmlformats.org/drawingml/2006/main" rot="16661416">
          <a:off x="1677605" y="878795"/>
          <a:ext cx="450207" cy="101774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470A68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0.46009</cdr:x>
      <cdr:y>0.4193</cdr:y>
    </cdr:from>
    <cdr:to>
      <cdr:x>0.47036</cdr:x>
      <cdr:y>0.46256</cdr:y>
    </cdr:to>
    <cdr:sp macro="" textlink="">
      <cdr:nvSpPr>
        <cdr:cNvPr id="4" name="Pfeil nach rechts 3"/>
        <cdr:cNvSpPr/>
      </cdr:nvSpPr>
      <cdr:spPr>
        <a:xfrm xmlns:a="http://schemas.openxmlformats.org/drawingml/2006/main" rot="16573525">
          <a:off x="1574569" y="1134287"/>
          <a:ext cx="113051" cy="36007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43B02A"/>
        </a:solidFill>
        <a:ln xmlns:a="http://schemas.openxmlformats.org/drawingml/2006/main" w="25400" cap="flat" cmpd="sng" algn="ctr">
          <a:solidFill>
            <a:srgbClr val="009A44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0.70402</cdr:x>
      <cdr:y>0.24915</cdr:y>
    </cdr:from>
    <cdr:to>
      <cdr:x>0.72964</cdr:x>
      <cdr:y>0.38331</cdr:y>
    </cdr:to>
    <cdr:sp macro="" textlink="">
      <cdr:nvSpPr>
        <cdr:cNvPr id="5" name="Pfeil nach rechts 4"/>
        <cdr:cNvSpPr/>
      </cdr:nvSpPr>
      <cdr:spPr>
        <a:xfrm xmlns:a="http://schemas.openxmlformats.org/drawingml/2006/main" rot="18015715">
          <a:off x="2350434" y="776249"/>
          <a:ext cx="348463" cy="90233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9B642E"/>
        </a:solidFill>
        <a:ln xmlns:a="http://schemas.openxmlformats.org/drawingml/2006/main" w="25400" cap="flat" cmpd="sng" algn="ctr">
          <a:solidFill>
            <a:srgbClr val="9B642E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0.6098</cdr:x>
      <cdr:y>0.09904</cdr:y>
    </cdr:from>
    <cdr:to>
      <cdr:x>0.96551</cdr:x>
      <cdr:y>0.16722</cdr:y>
    </cdr:to>
    <cdr:sp macro="" textlink="">
      <cdr:nvSpPr>
        <cdr:cNvPr id="6" name="Rechteck 5"/>
        <cdr:cNvSpPr/>
      </cdr:nvSpPr>
      <cdr:spPr>
        <a:xfrm xmlns:a="http://schemas.openxmlformats.org/drawingml/2006/main">
          <a:off x="2139419" y="257636"/>
          <a:ext cx="1247970" cy="1773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r>
            <a:rPr lang="de-DE" sz="8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Bubble size ≙ Sales</a:t>
          </a:r>
        </a:p>
      </cdr:txBody>
    </cdr:sp>
  </cdr:relSizeAnchor>
</c:userShapes>
</file>

<file path=xl/drawings/drawing51.xml><?xml version="1.0" encoding="utf-8"?>
<c:userShapes xmlns:c="http://schemas.openxmlformats.org/drawingml/2006/chart">
  <cdr:relSizeAnchor xmlns:cdr="http://schemas.openxmlformats.org/drawingml/2006/chartDrawing">
    <cdr:from>
      <cdr:x>0.53917</cdr:x>
      <cdr:y>0.32282</cdr:y>
    </cdr:from>
    <cdr:to>
      <cdr:x>0.56349</cdr:x>
      <cdr:y>0.37413</cdr:y>
    </cdr:to>
    <cdr:sp macro="" textlink="">
      <cdr:nvSpPr>
        <cdr:cNvPr id="2" name="Pfeil nach rechts 1"/>
        <cdr:cNvSpPr/>
      </cdr:nvSpPr>
      <cdr:spPr>
        <a:xfrm xmlns:a="http://schemas.openxmlformats.org/drawingml/2006/main" rot="17494158">
          <a:off x="1897368" y="931473"/>
          <a:ext cx="143548" cy="86861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470A68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0.65465</cdr:x>
      <cdr:y>0.52117</cdr:y>
    </cdr:from>
    <cdr:to>
      <cdr:x>0.68621</cdr:x>
      <cdr:y>0.53827</cdr:y>
    </cdr:to>
    <cdr:sp macro="" textlink="">
      <cdr:nvSpPr>
        <cdr:cNvPr id="3" name="Pfeil nach rechts 2"/>
        <cdr:cNvSpPr/>
      </cdr:nvSpPr>
      <cdr:spPr>
        <a:xfrm xmlns:a="http://schemas.openxmlformats.org/drawingml/2006/main" rot="20645552">
          <a:off x="2338137" y="1458046"/>
          <a:ext cx="112720" cy="47840"/>
        </a:xfrm>
        <a:prstGeom xmlns:a="http://schemas.openxmlformats.org/drawingml/2006/main" prst="rightArrow">
          <a:avLst/>
        </a:prstGeom>
        <a:solidFill xmlns:a="http://schemas.openxmlformats.org/drawingml/2006/main">
          <a:schemeClr val="accent3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0.47464</cdr:x>
      <cdr:y>0.46693</cdr:y>
    </cdr:from>
    <cdr:to>
      <cdr:x>0.47869</cdr:x>
      <cdr:y>0.49105</cdr:y>
    </cdr:to>
    <cdr:sp macro="" textlink="">
      <cdr:nvSpPr>
        <cdr:cNvPr id="5" name="Pfeil nach rechts 4"/>
        <cdr:cNvSpPr/>
      </cdr:nvSpPr>
      <cdr:spPr>
        <a:xfrm xmlns:a="http://schemas.openxmlformats.org/drawingml/2006/main" rot="16566343">
          <a:off x="1671198" y="1330825"/>
          <a:ext cx="67380" cy="14486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009A44"/>
        </a:solidFill>
        <a:ln xmlns:a="http://schemas.openxmlformats.org/drawingml/2006/main">
          <a:solidFill>
            <a:srgbClr val="009A44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0.71327</cdr:x>
      <cdr:y>0.22625</cdr:y>
    </cdr:from>
    <cdr:to>
      <cdr:x>0.78021</cdr:x>
      <cdr:y>0.24382</cdr:y>
    </cdr:to>
    <cdr:sp macro="" textlink="">
      <cdr:nvSpPr>
        <cdr:cNvPr id="6" name="Pfeil nach rechts 5"/>
        <cdr:cNvSpPr/>
      </cdr:nvSpPr>
      <cdr:spPr>
        <a:xfrm xmlns:a="http://schemas.openxmlformats.org/drawingml/2006/main" rot="19071613">
          <a:off x="2568094" y="639726"/>
          <a:ext cx="241014" cy="49679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9B642E"/>
        </a:solidFill>
        <a:ln xmlns:a="http://schemas.openxmlformats.org/drawingml/2006/main">
          <a:solidFill>
            <a:srgbClr val="9B642E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0.53602</cdr:x>
      <cdr:y>0.05884</cdr:y>
    </cdr:from>
    <cdr:to>
      <cdr:x>0.95596</cdr:x>
      <cdr:y>0.1228</cdr:y>
    </cdr:to>
    <cdr:sp macro="" textlink="">
      <cdr:nvSpPr>
        <cdr:cNvPr id="7" name="Rechteck 6"/>
        <cdr:cNvSpPr/>
      </cdr:nvSpPr>
      <cdr:spPr>
        <a:xfrm xmlns:a="http://schemas.openxmlformats.org/drawingml/2006/main">
          <a:off x="1929914" y="166362"/>
          <a:ext cx="1511958" cy="18084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r>
            <a:rPr lang="de-DE" sz="8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Bubble size ≙ Gross profit</a:t>
          </a:r>
        </a:p>
      </cdr:txBody>
    </cdr:sp>
  </cdr:relSizeAnchor>
</c:userShapes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0.60605</cdr:x>
      <cdr:y>0.04986</cdr:y>
    </cdr:from>
    <cdr:to>
      <cdr:x>0.96232</cdr:x>
      <cdr:y>0.11863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2105319" y="107860"/>
          <a:ext cx="1237624" cy="1487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r>
            <a:rPr lang="de-DE" sz="8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Bubble size ≙ Sales</a:t>
          </a:r>
        </a:p>
      </cdr:txBody>
    </cdr:sp>
  </cdr:relSizeAnchor>
</c:userShapes>
</file>

<file path=xl/drawings/drawing5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408843</xdr:colOff>
      <xdr:row>24</xdr:row>
      <xdr:rowOff>71804</xdr:rowOff>
    </xdr:from>
    <xdr:to>
      <xdr:col>14</xdr:col>
      <xdr:colOff>219076</xdr:colOff>
      <xdr:row>41</xdr:row>
      <xdr:rowOff>85357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14655</xdr:colOff>
      <xdr:row>99</xdr:row>
      <xdr:rowOff>33702</xdr:rowOff>
    </xdr:from>
    <xdr:to>
      <xdr:col>15</xdr:col>
      <xdr:colOff>209550</xdr:colOff>
      <xdr:row>120</xdr:row>
      <xdr:rowOff>77697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465993</xdr:colOff>
      <xdr:row>99</xdr:row>
      <xdr:rowOff>95983</xdr:rowOff>
    </xdr:from>
    <xdr:to>
      <xdr:col>8</xdr:col>
      <xdr:colOff>374004</xdr:colOff>
      <xdr:row>120</xdr:row>
      <xdr:rowOff>136314</xdr:rowOff>
    </xdr:to>
    <xdr:graphicFrame macro="">
      <xdr:nvGraphicFramePr>
        <xdr:cNvPr id="10" name="Diagramm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637442</xdr:colOff>
      <xdr:row>122</xdr:row>
      <xdr:rowOff>95250</xdr:rowOff>
    </xdr:from>
    <xdr:to>
      <xdr:col>14</xdr:col>
      <xdr:colOff>649654</xdr:colOff>
      <xdr:row>141</xdr:row>
      <xdr:rowOff>2442</xdr:rowOff>
    </xdr:to>
    <xdr:graphicFrame macro="">
      <xdr:nvGraphicFramePr>
        <xdr:cNvPr id="11" name="Diagramm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142875</xdr:colOff>
      <xdr:row>48</xdr:row>
      <xdr:rowOff>0</xdr:rowOff>
    </xdr:from>
    <xdr:to>
      <xdr:col>14</xdr:col>
      <xdr:colOff>158750</xdr:colOff>
      <xdr:row>65</xdr:row>
      <xdr:rowOff>127000</xdr:rowOff>
    </xdr:to>
    <xdr:graphicFrame macro="">
      <xdr:nvGraphicFramePr>
        <xdr:cNvPr id="12" name="Diagramm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205154</xdr:colOff>
      <xdr:row>183</xdr:row>
      <xdr:rowOff>14652</xdr:rowOff>
    </xdr:from>
    <xdr:to>
      <xdr:col>17</xdr:col>
      <xdr:colOff>543123</xdr:colOff>
      <xdr:row>204</xdr:row>
      <xdr:rowOff>58647</xdr:rowOff>
    </xdr:to>
    <xdr:graphicFrame macro="">
      <xdr:nvGraphicFramePr>
        <xdr:cNvPr id="13" name="Diagramm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446942</xdr:colOff>
      <xdr:row>182</xdr:row>
      <xdr:rowOff>124558</xdr:rowOff>
    </xdr:from>
    <xdr:to>
      <xdr:col>10</xdr:col>
      <xdr:colOff>806892</xdr:colOff>
      <xdr:row>204</xdr:row>
      <xdr:rowOff>22014</xdr:rowOff>
    </xdr:to>
    <xdr:graphicFrame macro="">
      <xdr:nvGraphicFramePr>
        <xdr:cNvPr id="14" name="Diagramm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15" name="Grafik 1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351011</xdr:colOff>
      <xdr:row>68</xdr:row>
      <xdr:rowOff>132522</xdr:rowOff>
    </xdr:from>
    <xdr:to>
      <xdr:col>14</xdr:col>
      <xdr:colOff>395458</xdr:colOff>
      <xdr:row>86</xdr:row>
      <xdr:rowOff>8515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5" name="Grafik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  <xdr:twoCellAnchor editAs="oneCell">
    <xdr:from>
      <xdr:col>14</xdr:col>
      <xdr:colOff>400707</xdr:colOff>
      <xdr:row>69</xdr:row>
      <xdr:rowOff>8283</xdr:rowOff>
    </xdr:from>
    <xdr:to>
      <xdr:col>21</xdr:col>
      <xdr:colOff>113849</xdr:colOff>
      <xdr:row>86</xdr:row>
      <xdr:rowOff>25080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5.xml><?xml version="1.0" encoding="utf-8"?>
<c:userShapes xmlns:c="http://schemas.openxmlformats.org/drawingml/2006/chart">
  <cdr:relSizeAnchor xmlns:cdr="http://schemas.openxmlformats.org/drawingml/2006/chartDrawing">
    <cdr:from>
      <cdr:x>0.14745</cdr:x>
      <cdr:y>0.07446</cdr:y>
    </cdr:from>
    <cdr:to>
      <cdr:x>0.66444</cdr:x>
      <cdr:y>0.12588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59933" y="201069"/>
          <a:ext cx="2313863" cy="138853"/>
          <a:chOff x="-93061" y="-54911"/>
          <a:chExt cx="2303566" cy="167197"/>
        </a:xfrm>
      </cdr:grpSpPr>
      <cdr:sp macro="" textlink="'04_Cost split up_small'!$B$79:$D$79">
        <cdr:nvSpPr>
          <cdr:cNvPr id="4" name="Textfeld 3"/>
          <cdr:cNvSpPr txBox="1"/>
        </cdr:nvSpPr>
        <cdr:spPr>
          <a:xfrm xmlns:a="http://schemas.openxmlformats.org/drawingml/2006/main">
            <a:off x="-93061" y="-47064"/>
            <a:ext cx="1107118" cy="159348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2662F5A4-C6C6-4208-A43C-C4D764A64756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4_Cost split up_small'!$E$79:$G$79">
        <cdr:nvSpPr>
          <cdr:cNvPr id="5" name="Textfeld 1"/>
          <cdr:cNvSpPr txBox="1"/>
        </cdr:nvSpPr>
        <cdr:spPr>
          <a:xfrm xmlns:a="http://schemas.openxmlformats.org/drawingml/2006/main">
            <a:off x="1103442" y="-54911"/>
            <a:ext cx="1107063" cy="16719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9DFA6C02-4B53-4586-A549-8C2324A8DEB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0.32683</cdr:x>
      <cdr:y>0.74701</cdr:y>
    </cdr:from>
    <cdr:to>
      <cdr:x>0.38081</cdr:x>
      <cdr:y>0.82571</cdr:y>
    </cdr:to>
    <cdr:sp macro="" textlink="">
      <cdr:nvSpPr>
        <cdr:cNvPr id="6" name="Textfeld 5"/>
        <cdr:cNvSpPr txBox="1"/>
      </cdr:nvSpPr>
      <cdr:spPr>
        <a:xfrm xmlns:a="http://schemas.openxmlformats.org/drawingml/2006/main">
          <a:off x="1463292" y="2043136"/>
          <a:ext cx="241681" cy="2152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lIns="0" tIns="0" rIns="0" bIns="0" rtlCol="0"/>
        <a:lstStyle xmlns:a="http://schemas.openxmlformats.org/drawingml/2006/main"/>
        <a:p xmlns:a="http://schemas.openxmlformats.org/drawingml/2006/main">
          <a:r>
            <a:rPr lang="de-DE" sz="600">
              <a:latin typeface="Arial" pitchFamily="34" charset="0"/>
              <a:cs typeface="Arial" pitchFamily="34" charset="0"/>
            </a:rPr>
            <a:t>(a)</a:t>
          </a:r>
        </a:p>
      </cdr:txBody>
    </cdr:sp>
  </cdr:relSizeAnchor>
  <cdr:relSizeAnchor xmlns:cdr="http://schemas.openxmlformats.org/drawingml/2006/chartDrawing">
    <cdr:from>
      <cdr:x>0.68845</cdr:x>
      <cdr:y>0.74701</cdr:y>
    </cdr:from>
    <cdr:to>
      <cdr:x>0.74243</cdr:x>
      <cdr:y>0.82571</cdr:y>
    </cdr:to>
    <cdr:sp macro="" textlink="">
      <cdr:nvSpPr>
        <cdr:cNvPr id="7" name="Textfeld 1"/>
        <cdr:cNvSpPr txBox="1"/>
      </cdr:nvSpPr>
      <cdr:spPr>
        <a:xfrm xmlns:a="http://schemas.openxmlformats.org/drawingml/2006/main">
          <a:off x="3082345" y="2043136"/>
          <a:ext cx="241681" cy="2152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de-DE" sz="600">
              <a:latin typeface="Arial" pitchFamily="34" charset="0"/>
              <a:cs typeface="Arial" pitchFamily="34" charset="0"/>
            </a:rPr>
            <a:t>(b)</a:t>
          </a:r>
        </a:p>
      </cdr:txBody>
    </cdr:sp>
  </cdr:relSizeAnchor>
</c:userShapes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53423</xdr:colOff>
      <xdr:row>14</xdr:row>
      <xdr:rowOff>76200</xdr:rowOff>
    </xdr:from>
    <xdr:to>
      <xdr:col>12</xdr:col>
      <xdr:colOff>749162</xdr:colOff>
      <xdr:row>30</xdr:row>
      <xdr:rowOff>16565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58.xml><?xml version="1.0" encoding="utf-8"?>
<c:userShapes xmlns:c="http://schemas.openxmlformats.org/drawingml/2006/chart">
  <cdr:relSizeAnchor xmlns:cdr="http://schemas.openxmlformats.org/drawingml/2006/chartDrawing">
    <cdr:from>
      <cdr:x>0.15571</cdr:x>
      <cdr:y>0.12955</cdr:y>
    </cdr:from>
    <cdr:to>
      <cdr:x>0.89856</cdr:x>
      <cdr:y>0.19799</cdr:y>
    </cdr:to>
    <cdr:grpSp>
      <cdr:nvGrpSpPr>
        <cdr:cNvPr id="10" name="Gruppieren 9"/>
        <cdr:cNvGrpSpPr/>
      </cdr:nvGrpSpPr>
      <cdr:grpSpPr>
        <a:xfrm xmlns:a="http://schemas.openxmlformats.org/drawingml/2006/main">
          <a:off x="565998" y="344835"/>
          <a:ext cx="2700170" cy="182177"/>
          <a:chOff x="0" y="0"/>
          <a:chExt cx="2134858" cy="205663"/>
        </a:xfrm>
      </cdr:grpSpPr>
      <cdr:sp macro="" textlink="">
        <cdr:nvSpPr>
          <cdr:cNvPr id="11" name="Textfeld 2"/>
          <cdr:cNvSpPr txBox="1"/>
        </cdr:nvSpPr>
        <cdr:spPr>
          <a:xfrm xmlns:a="http://schemas.openxmlformats.org/drawingml/2006/main">
            <a:off x="0" y="0"/>
            <a:ext cx="1021781" cy="20566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fld id="{A78A5B4A-8691-4028-A12D-EBC9AF6EEC5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">
        <cdr:nvSpPr>
          <cdr:cNvPr id="12" name="Textfeld 1"/>
          <cdr:cNvSpPr txBox="1"/>
        </cdr:nvSpPr>
        <cdr:spPr>
          <a:xfrm xmlns:a="http://schemas.openxmlformats.org/drawingml/2006/main">
            <a:off x="1111268" y="0"/>
            <a:ext cx="1023590" cy="20566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fld id="{4F6FDB7F-1A33-45DE-B03B-6BBFA6D08056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24847</xdr:colOff>
      <xdr:row>15</xdr:row>
      <xdr:rowOff>82827</xdr:rowOff>
    </xdr:from>
    <xdr:to>
      <xdr:col>13</xdr:col>
      <xdr:colOff>650322</xdr:colOff>
      <xdr:row>30</xdr:row>
      <xdr:rowOff>136525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395080</xdr:colOff>
      <xdr:row>0</xdr:row>
      <xdr:rowOff>255539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389282</xdr:colOff>
      <xdr:row>14</xdr:row>
      <xdr:rowOff>99391</xdr:rowOff>
    </xdr:from>
    <xdr:to>
      <xdr:col>14</xdr:col>
      <xdr:colOff>709543</xdr:colOff>
      <xdr:row>33</xdr:row>
      <xdr:rowOff>72463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314740</xdr:colOff>
      <xdr:row>99</xdr:row>
      <xdr:rowOff>107675</xdr:rowOff>
    </xdr:from>
    <xdr:to>
      <xdr:col>14</xdr:col>
      <xdr:colOff>55218</xdr:colOff>
      <xdr:row>119</xdr:row>
      <xdr:rowOff>101463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737152</xdr:colOff>
      <xdr:row>101</xdr:row>
      <xdr:rowOff>0</xdr:rowOff>
    </xdr:from>
    <xdr:to>
      <xdr:col>15</xdr:col>
      <xdr:colOff>440778</xdr:colOff>
      <xdr:row>107</xdr:row>
      <xdr:rowOff>18576</xdr:rowOff>
    </xdr:to>
    <xdr:sp macro="" textlink="">
      <xdr:nvSpPr>
        <xdr:cNvPr id="6" name="Rectangle 4"/>
        <xdr:cNvSpPr>
          <a:spLocks noChangeArrowheads="1"/>
        </xdr:cNvSpPr>
      </xdr:nvSpPr>
      <xdr:spPr bwMode="gray">
        <a:xfrm>
          <a:off x="8555935" y="16664609"/>
          <a:ext cx="1476104" cy="863402"/>
        </a:xfrm>
        <a:prstGeom prst="rect">
          <a:avLst/>
        </a:prstGeom>
        <a:solidFill>
          <a:schemeClr val="accent4"/>
        </a:solidFill>
        <a:ln w="6350">
          <a:noFill/>
          <a:miter lim="800000"/>
          <a:headEnd/>
          <a:tailEnd/>
        </a:ln>
        <a:effectLst/>
      </xdr:spPr>
      <xdr:txBody>
        <a:bodyPr wrap="square" lIns="54000" tIns="54000" rIns="54000" bIns="54000" anchor="ctr" anchorCtr="1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sz="800">
              <a:solidFill>
                <a:schemeClr val="bg1"/>
              </a:solidFill>
            </a:rPr>
            <a:t>Pay attention to the definitions of the covenants in accordance with the credit agreements of the client, generally (Net) debt to FCF or EBIT(DA)</a:t>
          </a:r>
        </a:p>
      </xdr:txBody>
    </xdr:sp>
    <xdr:clientData/>
  </xdr:twoCellAnchor>
  <xdr:twoCellAnchor editAs="oneCell">
    <xdr:from>
      <xdr:col>2</xdr:col>
      <xdr:colOff>336176</xdr:colOff>
      <xdr:row>128</xdr:row>
      <xdr:rowOff>123264</xdr:rowOff>
    </xdr:from>
    <xdr:to>
      <xdr:col>11</xdr:col>
      <xdr:colOff>251564</xdr:colOff>
      <xdr:row>148</xdr:row>
      <xdr:rowOff>96306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7</xdr:col>
      <xdr:colOff>268941</xdr:colOff>
      <xdr:row>152</xdr:row>
      <xdr:rowOff>22412</xdr:rowOff>
    </xdr:from>
    <xdr:to>
      <xdr:col>13</xdr:col>
      <xdr:colOff>312952</xdr:colOff>
      <xdr:row>171</xdr:row>
      <xdr:rowOff>141130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10" name="Grafik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62.xml><?xml version="1.0" encoding="utf-8"?>
<c:userShapes xmlns:c="http://schemas.openxmlformats.org/drawingml/2006/chart">
  <cdr:relSizeAnchor xmlns:cdr="http://schemas.openxmlformats.org/drawingml/2006/chartDrawing">
    <cdr:from>
      <cdr:x>0.17357</cdr:x>
      <cdr:y>0.16023</cdr:y>
    </cdr:from>
    <cdr:to>
      <cdr:x>0.79918</cdr:x>
      <cdr:y>0.27273</cdr:y>
    </cdr:to>
    <cdr:grpSp>
      <cdr:nvGrpSpPr>
        <cdr:cNvPr id="8" name="Gruppieren 7"/>
        <cdr:cNvGrpSpPr/>
      </cdr:nvGrpSpPr>
      <cdr:grpSpPr>
        <a:xfrm xmlns:a="http://schemas.openxmlformats.org/drawingml/2006/main">
          <a:off x="771350" y="462520"/>
          <a:ext cx="2780227" cy="324743"/>
          <a:chOff x="714362" y="314305"/>
          <a:chExt cx="2754983" cy="381025"/>
        </a:xfrm>
      </cdr:grpSpPr>
      <cdr:sp macro="" textlink="">
        <cdr:nvSpPr>
          <cdr:cNvPr id="2" name="Rechteck 1"/>
          <cdr:cNvSpPr/>
        </cdr:nvSpPr>
        <cdr:spPr>
          <a:xfrm xmlns:a="http://schemas.openxmlformats.org/drawingml/2006/main">
            <a:off x="714362" y="495308"/>
            <a:ext cx="287992" cy="200022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vertOverflow="clip" lIns="36000" rIns="36000"/>
          <a:lstStyle xmlns:a="http://schemas.openxmlformats.org/drawingml/2006/main"/>
          <a:p xmlns:a="http://schemas.openxmlformats.org/drawingml/2006/main">
            <a:pPr algn="ctr"/>
            <a:r>
              <a:rPr lang="de-DE" sz="800" b="1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65</a:t>
            </a:r>
          </a:p>
        </cdr:txBody>
      </cdr:sp>
      <cdr:sp macro="" textlink="">
        <cdr:nvSpPr>
          <cdr:cNvPr id="3" name="Rechteck 2"/>
          <cdr:cNvSpPr/>
        </cdr:nvSpPr>
        <cdr:spPr>
          <a:xfrm xmlns:a="http://schemas.openxmlformats.org/drawingml/2006/main">
            <a:off x="1228732" y="466725"/>
            <a:ext cx="287992" cy="200022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lIns="36000" rIns="36000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r>
              <a:rPr lang="de-DE" sz="800" b="1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69</a:t>
            </a:r>
          </a:p>
        </cdr:txBody>
      </cdr:sp>
      <cdr:sp macro="" textlink="">
        <cdr:nvSpPr>
          <cdr:cNvPr id="4" name="Rechteck 3"/>
          <cdr:cNvSpPr/>
        </cdr:nvSpPr>
        <cdr:spPr>
          <a:xfrm xmlns:a="http://schemas.openxmlformats.org/drawingml/2006/main">
            <a:off x="1714483" y="390540"/>
            <a:ext cx="288036" cy="200023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lIns="36000" rIns="36000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r>
              <a:rPr lang="de-DE" sz="800" b="1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75</a:t>
            </a:r>
          </a:p>
        </cdr:txBody>
      </cdr:sp>
      <cdr:sp macro="" textlink="">
        <cdr:nvSpPr>
          <cdr:cNvPr id="5" name="Rechteck 4"/>
          <cdr:cNvSpPr/>
        </cdr:nvSpPr>
        <cdr:spPr>
          <a:xfrm xmlns:a="http://schemas.openxmlformats.org/drawingml/2006/main">
            <a:off x="2200277" y="342897"/>
            <a:ext cx="287992" cy="200023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lIns="36000" rIns="36000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r>
              <a:rPr lang="de-DE" sz="800" b="1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78</a:t>
            </a:r>
          </a:p>
        </cdr:txBody>
      </cdr:sp>
      <cdr:sp macro="" textlink="">
        <cdr:nvSpPr>
          <cdr:cNvPr id="6" name="Rechteck 5"/>
          <cdr:cNvSpPr/>
        </cdr:nvSpPr>
        <cdr:spPr>
          <a:xfrm xmlns:a="http://schemas.openxmlformats.org/drawingml/2006/main">
            <a:off x="2666970" y="342885"/>
            <a:ext cx="287992" cy="200022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lIns="36000" rIns="36000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r>
              <a:rPr lang="de-DE" sz="800" b="1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80</a:t>
            </a:r>
          </a:p>
        </cdr:txBody>
      </cdr:sp>
      <cdr:sp macro="" textlink="">
        <cdr:nvSpPr>
          <cdr:cNvPr id="7" name="Rechteck 6"/>
          <cdr:cNvSpPr/>
        </cdr:nvSpPr>
        <cdr:spPr>
          <a:xfrm xmlns:a="http://schemas.openxmlformats.org/drawingml/2006/main">
            <a:off x="3181353" y="314305"/>
            <a:ext cx="287992" cy="200050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lIns="36000" rIns="36000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r>
              <a:rPr lang="de-DE" sz="800" b="1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82</a:t>
            </a:r>
          </a:p>
        </cdr:txBody>
      </cdr:sp>
    </cdr:grpSp>
  </cdr:relSizeAnchor>
  <cdr:relSizeAnchor xmlns:cdr="http://schemas.openxmlformats.org/drawingml/2006/chartDrawing">
    <cdr:from>
      <cdr:x>0.16018</cdr:x>
      <cdr:y>0.09334</cdr:y>
    </cdr:from>
    <cdr:to>
      <cdr:x>0.81031</cdr:x>
      <cdr:y>0.14453</cdr:y>
    </cdr:to>
    <cdr:grpSp>
      <cdr:nvGrpSpPr>
        <cdr:cNvPr id="9" name="Gruppieren 8"/>
        <cdr:cNvGrpSpPr/>
      </cdr:nvGrpSpPr>
      <cdr:grpSpPr>
        <a:xfrm xmlns:a="http://schemas.openxmlformats.org/drawingml/2006/main">
          <a:off x="711844" y="269435"/>
          <a:ext cx="2889195" cy="147766"/>
          <a:chOff x="-425398" y="0"/>
          <a:chExt cx="2876074" cy="170056"/>
        </a:xfrm>
      </cdr:grpSpPr>
      <cdr:sp macro="" textlink="'06_Financing'!$B$28:$D$28">
        <cdr:nvSpPr>
          <cdr:cNvPr id="11" name="Textfeld 3"/>
          <cdr:cNvSpPr txBox="1"/>
        </cdr:nvSpPr>
        <cdr:spPr>
          <a:xfrm xmlns:a="http://schemas.openxmlformats.org/drawingml/2006/main">
            <a:off x="-425398" y="0"/>
            <a:ext cx="1393384" cy="170056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25B2C1F1-C788-4BCA-B8EA-930CEB935F5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6_Financing'!$E$28:$G$28">
        <cdr:nvSpPr>
          <cdr:cNvPr id="12" name="Textfeld 1"/>
          <cdr:cNvSpPr txBox="1"/>
        </cdr:nvSpPr>
        <cdr:spPr>
          <a:xfrm xmlns:a="http://schemas.openxmlformats.org/drawingml/2006/main">
            <a:off x="1056945" y="0"/>
            <a:ext cx="1393731" cy="170056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9B748FDD-5B16-4019-862D-4AD0C10DA15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63.xml><?xml version="1.0" encoding="utf-8"?>
<c:userShapes xmlns:c="http://schemas.openxmlformats.org/drawingml/2006/chart">
  <cdr:relSizeAnchor xmlns:cdr="http://schemas.openxmlformats.org/drawingml/2006/chartDrawing">
    <cdr:from>
      <cdr:x>0.19818</cdr:x>
      <cdr:y>0.07319</cdr:y>
    </cdr:from>
    <cdr:to>
      <cdr:x>0.83034</cdr:x>
      <cdr:y>0.11832</cdr:y>
    </cdr:to>
    <cdr:grpSp>
      <cdr:nvGrpSpPr>
        <cdr:cNvPr id="9" name="Gruppieren 8"/>
        <cdr:cNvGrpSpPr/>
      </cdr:nvGrpSpPr>
      <cdr:grpSpPr>
        <a:xfrm xmlns:a="http://schemas.openxmlformats.org/drawingml/2006/main">
          <a:off x="881296" y="239032"/>
          <a:ext cx="2811184" cy="147390"/>
          <a:chOff x="33172" y="0"/>
          <a:chExt cx="2809971" cy="170500"/>
        </a:xfrm>
      </cdr:grpSpPr>
      <cdr:sp macro="" textlink="'06_Financing'!$C$103">
        <cdr:nvSpPr>
          <cdr:cNvPr id="11" name="Textfeld 3"/>
          <cdr:cNvSpPr txBox="1"/>
        </cdr:nvSpPr>
        <cdr:spPr>
          <a:xfrm xmlns:a="http://schemas.openxmlformats.org/drawingml/2006/main">
            <a:off x="33172" y="0"/>
            <a:ext cx="1360211" cy="17050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2A81643A-5FAE-4EAF-A9BF-FC6184A97BBC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6_Financing'!$F$103">
        <cdr:nvSpPr>
          <cdr:cNvPr id="12" name="Textfeld 1"/>
          <cdr:cNvSpPr txBox="1"/>
        </cdr:nvSpPr>
        <cdr:spPr>
          <a:xfrm xmlns:a="http://schemas.openxmlformats.org/drawingml/2006/main">
            <a:off x="1482343" y="0"/>
            <a:ext cx="1360800" cy="17050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797A8B7-EA1F-4954-959B-405547DA8A38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64.xml><?xml version="1.0" encoding="utf-8"?>
<c:userShapes xmlns:c="http://schemas.openxmlformats.org/drawingml/2006/chart">
  <cdr:relSizeAnchor xmlns:cdr="http://schemas.openxmlformats.org/drawingml/2006/chartDrawing">
    <cdr:from>
      <cdr:x>0.13236</cdr:x>
      <cdr:y>0.07097</cdr:y>
    </cdr:from>
    <cdr:to>
      <cdr:x>0.73817</cdr:x>
      <cdr:y>0.12034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88727" y="204860"/>
          <a:ext cx="2694597" cy="142522"/>
          <a:chOff x="266700" y="0"/>
          <a:chExt cx="2342443" cy="170500"/>
        </a:xfrm>
      </cdr:grpSpPr>
      <cdr:sp macro="" textlink="'06_Financing'!$C$153">
        <cdr:nvSpPr>
          <cdr:cNvPr id="4" name="Textfeld 3"/>
          <cdr:cNvSpPr txBox="1"/>
        </cdr:nvSpPr>
        <cdr:spPr>
          <a:xfrm xmlns:a="http://schemas.openxmlformats.org/drawingml/2006/main">
            <a:off x="266700" y="0"/>
            <a:ext cx="1126684" cy="17050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DDB19C22-24CE-41E4-B794-D0B72BC66793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 b="1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6_Financing'!$F$153">
        <cdr:nvSpPr>
          <cdr:cNvPr id="5" name="Textfeld 1"/>
          <cdr:cNvSpPr txBox="1"/>
        </cdr:nvSpPr>
        <cdr:spPr>
          <a:xfrm xmlns:a="http://schemas.openxmlformats.org/drawingml/2006/main">
            <a:off x="1482343" y="0"/>
            <a:ext cx="1126800" cy="17050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1E7EB086-E887-4372-872D-8A53B35E10D9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 b="1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438978</xdr:colOff>
      <xdr:row>13</xdr:row>
      <xdr:rowOff>66260</xdr:rowOff>
    </xdr:from>
    <xdr:to>
      <xdr:col>13</xdr:col>
      <xdr:colOff>510416</xdr:colOff>
      <xdr:row>33</xdr:row>
      <xdr:rowOff>44173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414130</xdr:colOff>
      <xdr:row>34</xdr:row>
      <xdr:rowOff>47625</xdr:rowOff>
    </xdr:from>
    <xdr:to>
      <xdr:col>13</xdr:col>
      <xdr:colOff>552450</xdr:colOff>
      <xdr:row>54</xdr:row>
      <xdr:rowOff>39739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488674</xdr:colOff>
      <xdr:row>87</xdr:row>
      <xdr:rowOff>66261</xdr:rowOff>
    </xdr:from>
    <xdr:to>
      <xdr:col>13</xdr:col>
      <xdr:colOff>78408</xdr:colOff>
      <xdr:row>107</xdr:row>
      <xdr:rowOff>44174</xdr:rowOff>
    </xdr:to>
    <xdr:graphicFrame macro="">
      <xdr:nvGraphicFramePr>
        <xdr:cNvPr id="10" name="Diagramm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579781</xdr:colOff>
      <xdr:row>109</xdr:row>
      <xdr:rowOff>0</xdr:rowOff>
    </xdr:from>
    <xdr:to>
      <xdr:col>13</xdr:col>
      <xdr:colOff>704021</xdr:colOff>
      <xdr:row>123</xdr:row>
      <xdr:rowOff>114714</xdr:rowOff>
    </xdr:to>
    <xdr:graphicFrame macro="">
      <xdr:nvGraphicFramePr>
        <xdr:cNvPr id="11" name="Diagramm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7" name="Grafik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66.xml><?xml version="1.0" encoding="utf-8"?>
<c:userShapes xmlns:c="http://schemas.openxmlformats.org/drawingml/2006/chart">
  <cdr:relSizeAnchor xmlns:cdr="http://schemas.openxmlformats.org/drawingml/2006/chartDrawing">
    <cdr:from>
      <cdr:x>0.15577</cdr:x>
      <cdr:y>0.07187</cdr:y>
    </cdr:from>
    <cdr:to>
      <cdr:x>0.83855</cdr:x>
      <cdr:y>0.12341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06095" y="212009"/>
          <a:ext cx="2656672" cy="152028"/>
          <a:chOff x="-337163" y="-2050"/>
          <a:chExt cx="3034917" cy="170420"/>
        </a:xfrm>
      </cdr:grpSpPr>
      <cdr:sp macro="" textlink="'07_Investments'!$C$16">
        <cdr:nvSpPr>
          <cdr:cNvPr id="4" name="Textfeld 3"/>
          <cdr:cNvSpPr txBox="1"/>
        </cdr:nvSpPr>
        <cdr:spPr>
          <a:xfrm xmlns:a="http://schemas.openxmlformats.org/drawingml/2006/main">
            <a:off x="-337163" y="-2050"/>
            <a:ext cx="1473292" cy="17042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3DA24126-037F-4DAF-A750-51EEB5856A7D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7_Investments'!$F$16">
        <cdr:nvSpPr>
          <cdr:cNvPr id="5" name="Textfeld 1"/>
          <cdr:cNvSpPr txBox="1"/>
        </cdr:nvSpPr>
        <cdr:spPr>
          <a:xfrm xmlns:a="http://schemas.openxmlformats.org/drawingml/2006/main">
            <a:off x="1225088" y="-2050"/>
            <a:ext cx="1472666" cy="17041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3B463415-6B2F-4AD7-9124-6541C30D8666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67.xml><?xml version="1.0" encoding="utf-8"?>
<c:userShapes xmlns:c="http://schemas.openxmlformats.org/drawingml/2006/chart">
  <cdr:relSizeAnchor xmlns:cdr="http://schemas.openxmlformats.org/drawingml/2006/chartDrawing">
    <cdr:from>
      <cdr:x>0.14932</cdr:x>
      <cdr:y>0.05611</cdr:y>
    </cdr:from>
    <cdr:to>
      <cdr:x>0.83457</cdr:x>
      <cdr:y>0.1103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90975" y="159883"/>
          <a:ext cx="2712109" cy="154442"/>
          <a:chOff x="-221164" y="-7033"/>
          <a:chExt cx="2804295" cy="170420"/>
        </a:xfrm>
      </cdr:grpSpPr>
      <cdr:sp macro="" textlink="'07_Investments'!$C$37">
        <cdr:nvSpPr>
          <cdr:cNvPr id="4" name="Textfeld 3"/>
          <cdr:cNvSpPr txBox="1"/>
        </cdr:nvSpPr>
        <cdr:spPr>
          <a:xfrm xmlns:a="http://schemas.openxmlformats.org/drawingml/2006/main">
            <a:off x="-221164" y="-7033"/>
            <a:ext cx="1357294" cy="17042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98328463-F2AE-47C7-A960-861BD15E36C9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7_Investments'!$F$37">
        <cdr:nvSpPr>
          <cdr:cNvPr id="5" name="Textfeld 1"/>
          <cdr:cNvSpPr txBox="1"/>
        </cdr:nvSpPr>
        <cdr:spPr>
          <a:xfrm xmlns:a="http://schemas.openxmlformats.org/drawingml/2006/main">
            <a:off x="1225088" y="-7033"/>
            <a:ext cx="1358043" cy="170418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7422C960-31DE-446E-8FD7-CC3849C9C79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68.xml><?xml version="1.0" encoding="utf-8"?>
<c:userShapes xmlns:c="http://schemas.openxmlformats.org/drawingml/2006/chart">
  <cdr:relSizeAnchor xmlns:cdr="http://schemas.openxmlformats.org/drawingml/2006/chartDrawing">
    <cdr:from>
      <cdr:x>0.14331</cdr:x>
      <cdr:y>0.06486</cdr:y>
    </cdr:from>
    <cdr:to>
      <cdr:x>0.78114</cdr:x>
      <cdr:y>0.1164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71218" y="195785"/>
          <a:ext cx="2542319" cy="155578"/>
          <a:chOff x="-410021" y="-22545"/>
          <a:chExt cx="2835166" cy="170419"/>
        </a:xfrm>
      </cdr:grpSpPr>
      <cdr:sp macro="" textlink="'07_Investments'!$C$91">
        <cdr:nvSpPr>
          <cdr:cNvPr id="4" name="Textfeld 3"/>
          <cdr:cNvSpPr txBox="1"/>
        </cdr:nvSpPr>
        <cdr:spPr>
          <a:xfrm xmlns:a="http://schemas.openxmlformats.org/drawingml/2006/main">
            <a:off x="-410021" y="-22545"/>
            <a:ext cx="1373835" cy="170419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7AEF2842-270D-4312-948C-7D61D6D37F80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7_Investments'!$F$91">
        <cdr:nvSpPr>
          <cdr:cNvPr id="5" name="Textfeld 1"/>
          <cdr:cNvSpPr txBox="1"/>
        </cdr:nvSpPr>
        <cdr:spPr>
          <a:xfrm xmlns:a="http://schemas.openxmlformats.org/drawingml/2006/main">
            <a:off x="1052773" y="-22545"/>
            <a:ext cx="1372372" cy="170419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65E187A4-3851-4737-8B6B-38974C4D0FE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0.15107</cdr:x>
      <cdr:y>0.46473</cdr:y>
    </cdr:from>
    <cdr:to>
      <cdr:x>0.23207</cdr:x>
      <cdr:y>0.51513</cdr:y>
    </cdr:to>
    <cdr:sp macro="" textlink="'07_Investments'!$B$96">
      <cdr:nvSpPr>
        <cdr:cNvPr id="6" name="Textfeld 5"/>
        <cdr:cNvSpPr txBox="1"/>
      </cdr:nvSpPr>
      <cdr:spPr>
        <a:xfrm xmlns:a="http://schemas.openxmlformats.org/drawingml/2006/main">
          <a:off x="602153" y="1402834"/>
          <a:ext cx="322857" cy="1521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 anchor="ctr" anchorCtr="0"/>
        <a:lstStyle xmlns:a="http://schemas.openxmlformats.org/drawingml/2006/main"/>
        <a:p xmlns:a="http://schemas.openxmlformats.org/drawingml/2006/main">
          <a:pPr algn="ctr"/>
          <a:fld id="{C4E82EA0-CE9C-4D87-A40C-1023772D58D3}" type="TxLink">
            <a:rPr lang="en-US" sz="8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3.0</a:t>
          </a:fld>
          <a:endParaRPr lang="de-DE" sz="1100"/>
        </a:p>
      </cdr:txBody>
    </cdr:sp>
  </cdr:relSizeAnchor>
  <cdr:relSizeAnchor xmlns:cdr="http://schemas.openxmlformats.org/drawingml/2006/chartDrawing">
    <cdr:from>
      <cdr:x>0.26032</cdr:x>
      <cdr:y>0.4146</cdr:y>
    </cdr:from>
    <cdr:to>
      <cdr:x>0.34132</cdr:x>
      <cdr:y>0.46499</cdr:y>
    </cdr:to>
    <cdr:sp macro="" textlink="'07_Investments'!$C$96">
      <cdr:nvSpPr>
        <cdr:cNvPr id="7" name="Textfeld 1"/>
        <cdr:cNvSpPr txBox="1"/>
      </cdr:nvSpPr>
      <cdr:spPr>
        <a:xfrm xmlns:a="http://schemas.openxmlformats.org/drawingml/2006/main">
          <a:off x="1037611" y="1251500"/>
          <a:ext cx="322857" cy="1521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742964BC-7BA7-487C-A4F5-1B1384B20728}" type="TxLink">
            <a:rPr lang="en-US" sz="8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4.0</a:t>
          </a:fld>
          <a:endParaRPr lang="de-DE" sz="1100"/>
        </a:p>
      </cdr:txBody>
    </cdr:sp>
  </cdr:relSizeAnchor>
  <cdr:relSizeAnchor xmlns:cdr="http://schemas.openxmlformats.org/drawingml/2006/chartDrawing">
    <cdr:from>
      <cdr:x>0.36589</cdr:x>
      <cdr:y>0.3952</cdr:y>
    </cdr:from>
    <cdr:to>
      <cdr:x>0.44689</cdr:x>
      <cdr:y>0.44559</cdr:y>
    </cdr:to>
    <cdr:sp macro="" textlink="'07_Investments'!$D$96">
      <cdr:nvSpPr>
        <cdr:cNvPr id="8" name="Textfeld 1"/>
        <cdr:cNvSpPr txBox="1"/>
      </cdr:nvSpPr>
      <cdr:spPr>
        <a:xfrm xmlns:a="http://schemas.openxmlformats.org/drawingml/2006/main">
          <a:off x="1458415" y="1192946"/>
          <a:ext cx="322857" cy="1521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71D456B-DA83-4919-806A-64B9791ACB58}" type="TxLink">
            <a:rPr lang="en-US" sz="8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4.5</a:t>
          </a:fld>
          <a:endParaRPr lang="de-DE" sz="1100"/>
        </a:p>
      </cdr:txBody>
    </cdr:sp>
  </cdr:relSizeAnchor>
  <cdr:relSizeAnchor xmlns:cdr="http://schemas.openxmlformats.org/drawingml/2006/chartDrawing">
    <cdr:from>
      <cdr:x>0.47882</cdr:x>
      <cdr:y>0.27797</cdr:y>
    </cdr:from>
    <cdr:to>
      <cdr:x>0.55982</cdr:x>
      <cdr:y>0.32837</cdr:y>
    </cdr:to>
    <cdr:sp macro="" textlink="'07_Investments'!$E$96">
      <cdr:nvSpPr>
        <cdr:cNvPr id="9" name="Textfeld 1"/>
        <cdr:cNvSpPr txBox="1"/>
      </cdr:nvSpPr>
      <cdr:spPr>
        <a:xfrm xmlns:a="http://schemas.openxmlformats.org/drawingml/2006/main">
          <a:off x="1908526" y="839082"/>
          <a:ext cx="322857" cy="1521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5F2C40A-D6AD-4579-A044-6E03EA21E590}" type="TxLink">
            <a:rPr lang="en-US" sz="8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8.0</a:t>
          </a:fld>
          <a:endParaRPr lang="de-DE" sz="1100"/>
        </a:p>
      </cdr:txBody>
    </cdr:sp>
  </cdr:relSizeAnchor>
  <cdr:relSizeAnchor xmlns:cdr="http://schemas.openxmlformats.org/drawingml/2006/chartDrawing">
    <cdr:from>
      <cdr:x>0.58807</cdr:x>
      <cdr:y>0.21948</cdr:y>
    </cdr:from>
    <cdr:to>
      <cdr:x>0.66907</cdr:x>
      <cdr:y>0.26988</cdr:y>
    </cdr:to>
    <cdr:sp macro="" textlink="'07_Investments'!$F$96">
      <cdr:nvSpPr>
        <cdr:cNvPr id="10" name="Textfeld 1"/>
        <cdr:cNvSpPr txBox="1"/>
      </cdr:nvSpPr>
      <cdr:spPr>
        <a:xfrm xmlns:a="http://schemas.openxmlformats.org/drawingml/2006/main">
          <a:off x="2343986" y="662523"/>
          <a:ext cx="322857" cy="1521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88544AE-0B83-4066-A6D6-6161AB504DD9}" type="TxLink">
            <a:rPr lang="en-US" sz="8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9.0</a:t>
          </a:fld>
          <a:endParaRPr lang="de-DE" sz="1100"/>
        </a:p>
      </cdr:txBody>
    </cdr:sp>
  </cdr:relSizeAnchor>
  <cdr:relSizeAnchor xmlns:cdr="http://schemas.openxmlformats.org/drawingml/2006/chartDrawing">
    <cdr:from>
      <cdr:x>0.69181</cdr:x>
      <cdr:y>0.168</cdr:y>
    </cdr:from>
    <cdr:to>
      <cdr:x>0.77281</cdr:x>
      <cdr:y>0.21839</cdr:y>
    </cdr:to>
    <cdr:sp macro="" textlink="'07_Investments'!$G$96">
      <cdr:nvSpPr>
        <cdr:cNvPr id="11" name="Textfeld 1"/>
        <cdr:cNvSpPr txBox="1"/>
      </cdr:nvSpPr>
      <cdr:spPr>
        <a:xfrm xmlns:a="http://schemas.openxmlformats.org/drawingml/2006/main">
          <a:off x="2757463" y="507109"/>
          <a:ext cx="322857" cy="1521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A88CBD01-9CC6-45C5-B2A5-8379CFCE0F00}" type="TxLink">
            <a:rPr lang="en-US" sz="8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10.0</a:t>
          </a:fld>
          <a:endParaRPr lang="de-DE" sz="1100"/>
        </a:p>
      </cdr:txBody>
    </cdr:sp>
  </cdr:relSizeAnchor>
</c:userShapes>
</file>

<file path=xl/drawings/drawing69.xml><?xml version="1.0" encoding="utf-8"?>
<c:userShapes xmlns:c="http://schemas.openxmlformats.org/drawingml/2006/chart">
  <cdr:relSizeAnchor xmlns:cdr="http://schemas.openxmlformats.org/drawingml/2006/chartDrawing">
    <cdr:from>
      <cdr:x>0.02833</cdr:x>
      <cdr:y>0.11355</cdr:y>
    </cdr:from>
    <cdr:to>
      <cdr:x>0.10772</cdr:x>
      <cdr:y>0.25054</cdr:y>
    </cdr:to>
    <cdr:sp macro="" textlink="">
      <cdr:nvSpPr>
        <cdr:cNvPr id="2" name="Textfeld 1"/>
        <cdr:cNvSpPr txBox="1"/>
      </cdr:nvSpPr>
      <cdr:spPr>
        <a:xfrm xmlns:a="http://schemas.openxmlformats.org/drawingml/2006/main" rot="16200000">
          <a:off x="80357" y="260863"/>
          <a:ext cx="296755" cy="26696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lIns="0" tIns="0" rIns="0" bIns="0" rtlCol="0"/>
        <a:lstStyle xmlns:a="http://schemas.openxmlformats.org/drawingml/2006/main"/>
        <a:p xmlns:a="http://schemas.openxmlformats.org/drawingml/2006/main">
          <a:r>
            <a:rPr lang="de-DE" sz="600">
              <a:latin typeface="Arial" pitchFamily="34" charset="0"/>
              <a:cs typeface="Arial" pitchFamily="34" charset="0"/>
            </a:rPr>
            <a:t>(a)</a:t>
          </a:r>
        </a:p>
      </cdr:txBody>
    </cdr:sp>
  </cdr:relSizeAnchor>
  <cdr:relSizeAnchor xmlns:cdr="http://schemas.openxmlformats.org/drawingml/2006/chartDrawing">
    <cdr:from>
      <cdr:x>0.19178</cdr:x>
      <cdr:y>0.02266</cdr:y>
    </cdr:from>
    <cdr:to>
      <cdr:x>0.87854</cdr:x>
      <cdr:y>0.08456</cdr:y>
    </cdr:to>
    <cdr:grpSp>
      <cdr:nvGrpSpPr>
        <cdr:cNvPr id="3" name="Gruppieren 2"/>
        <cdr:cNvGrpSpPr/>
      </cdr:nvGrpSpPr>
      <cdr:grpSpPr>
        <a:xfrm xmlns:a="http://schemas.openxmlformats.org/drawingml/2006/main">
          <a:off x="644906" y="49089"/>
          <a:ext cx="2309396" cy="134083"/>
          <a:chOff x="-64078" y="0"/>
          <a:chExt cx="1910089" cy="167366"/>
        </a:xfrm>
      </cdr:grpSpPr>
      <cdr:sp macro="" textlink="">
        <cdr:nvSpPr>
          <cdr:cNvPr id="5" name="Textfeld 3"/>
          <cdr:cNvSpPr txBox="1"/>
        </cdr:nvSpPr>
        <cdr:spPr>
          <a:xfrm xmlns:a="http://schemas.openxmlformats.org/drawingml/2006/main">
            <a:off x="-64078" y="0"/>
            <a:ext cx="909906" cy="167366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r>
              <a:rPr lang="de-DE" sz="800">
                <a:solidFill>
                  <a:schemeClr val="bg1"/>
                </a:solidFill>
                <a:latin typeface="Arial" pitchFamily="34" charset="0"/>
                <a:cs typeface="Arial" pitchFamily="34" charset="0"/>
              </a:rPr>
              <a:t>Actual</a:t>
            </a:r>
          </a:p>
        </cdr:txBody>
      </cdr:sp>
      <cdr:sp macro="" textlink="">
        <cdr:nvSpPr>
          <cdr:cNvPr id="6" name="Textfeld 1"/>
          <cdr:cNvSpPr txBox="1"/>
        </cdr:nvSpPr>
        <cdr:spPr>
          <a:xfrm xmlns:a="http://schemas.openxmlformats.org/drawingml/2006/main">
            <a:off x="935211" y="0"/>
            <a:ext cx="910800" cy="167366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r>
              <a:rPr lang="de-DE" sz="800">
                <a:solidFill>
                  <a:schemeClr val="bg1"/>
                </a:solidFill>
                <a:latin typeface="Arial" pitchFamily="34" charset="0"/>
                <a:cs typeface="Arial" pitchFamily="34" charset="0"/>
              </a:rPr>
              <a:t>Plan</a:t>
            </a:r>
          </a:p>
        </cdr:txBody>
      </cdr:sp>
    </cdr:grpSp>
  </cdr:relSizeAnchor>
  <cdr:relSizeAnchor xmlns:cdr="http://schemas.openxmlformats.org/drawingml/2006/chartDrawing">
    <cdr:from>
      <cdr:x>0.87438</cdr:x>
      <cdr:y>0.5003</cdr:y>
    </cdr:from>
    <cdr:to>
      <cdr:x>0.97044</cdr:x>
      <cdr:y>0.58368</cdr:y>
    </cdr:to>
    <cdr:sp macro="" textlink="'07_Investments'!$G$115">
      <cdr:nvSpPr>
        <cdr:cNvPr id="7" name="Textfeld 6"/>
        <cdr:cNvSpPr txBox="1"/>
      </cdr:nvSpPr>
      <cdr:spPr>
        <a:xfrm xmlns:a="http://schemas.openxmlformats.org/drawingml/2006/main">
          <a:off x="2940321" y="1043613"/>
          <a:ext cx="323024" cy="1739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 anchor="ctr" anchorCtr="0"/>
        <a:lstStyle xmlns:a="http://schemas.openxmlformats.org/drawingml/2006/main"/>
        <a:p xmlns:a="http://schemas.openxmlformats.org/drawingml/2006/main">
          <a:pPr algn="ctr"/>
          <a:fld id="{C229F575-B677-4DB3-826C-DFD35A58FEA7}" type="TxLink">
            <a:rPr lang="en-US" sz="800" b="1" i="0" u="none" strike="noStrike">
              <a:solidFill>
                <a:schemeClr val="accent1"/>
              </a:solidFill>
              <a:latin typeface="Arial"/>
              <a:cs typeface="Arial"/>
            </a:rPr>
            <a:pPr algn="ctr"/>
            <a:t>5%</a:t>
          </a:fld>
          <a:endParaRPr lang="de-DE" sz="1100" b="1">
            <a:solidFill>
              <a:schemeClr val="accent1"/>
            </a:solidFill>
          </a:endParaRPr>
        </a:p>
      </cdr:txBody>
    </cdr:sp>
  </cdr:relSizeAnchor>
</c:userShapes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91109</xdr:colOff>
      <xdr:row>10</xdr:row>
      <xdr:rowOff>99391</xdr:rowOff>
    </xdr:from>
    <xdr:to>
      <xdr:col>13</xdr:col>
      <xdr:colOff>716584</xdr:colOff>
      <xdr:row>28</xdr:row>
      <xdr:rowOff>89314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165652</xdr:colOff>
      <xdr:row>40</xdr:row>
      <xdr:rowOff>41414</xdr:rowOff>
    </xdr:from>
    <xdr:to>
      <xdr:col>13</xdr:col>
      <xdr:colOff>792369</xdr:colOff>
      <xdr:row>59</xdr:row>
      <xdr:rowOff>37607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19708</xdr:colOff>
      <xdr:row>60</xdr:row>
      <xdr:rowOff>8282</xdr:rowOff>
    </xdr:from>
    <xdr:to>
      <xdr:col>12</xdr:col>
      <xdr:colOff>745435</xdr:colOff>
      <xdr:row>79</xdr:row>
      <xdr:rowOff>90270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8</xdr:col>
      <xdr:colOff>0</xdr:colOff>
      <xdr:row>78</xdr:row>
      <xdr:rowOff>91109</xdr:rowOff>
    </xdr:from>
    <xdr:to>
      <xdr:col>13</xdr:col>
      <xdr:colOff>550517</xdr:colOff>
      <xdr:row>97</xdr:row>
      <xdr:rowOff>95667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10" name="Grafik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71.xml><?xml version="1.0" encoding="utf-8"?>
<c:userShapes xmlns:c="http://schemas.openxmlformats.org/drawingml/2006/chart">
  <cdr:relSizeAnchor xmlns:cdr="http://schemas.openxmlformats.org/drawingml/2006/chartDrawing">
    <cdr:from>
      <cdr:x>0.75969</cdr:x>
      <cdr:y>0.15066</cdr:y>
    </cdr:from>
    <cdr:to>
      <cdr:x>0.84097</cdr:x>
      <cdr:y>0.17179</cdr:y>
    </cdr:to>
    <cdr:sp macro="" textlink="">
      <cdr:nvSpPr>
        <cdr:cNvPr id="19" name="Gerade Verbindung mit Pfeil 18"/>
        <cdr:cNvSpPr/>
      </cdr:nvSpPr>
      <cdr:spPr>
        <a:xfrm xmlns:a="http://schemas.openxmlformats.org/drawingml/2006/main" flipV="1">
          <a:off x="3313890" y="431965"/>
          <a:ext cx="354557" cy="6058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6D2077"/>
          </a:solidFill>
          <a:tailEnd type="triangle" w="sm" len="sm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0.70353</cdr:x>
      <cdr:y>0.18822</cdr:y>
    </cdr:from>
    <cdr:to>
      <cdr:x>0.83312</cdr:x>
      <cdr:y>0.22166</cdr:y>
    </cdr:to>
    <cdr:sp macro="" textlink="">
      <cdr:nvSpPr>
        <cdr:cNvPr id="18" name="Gerade Verbindung mit Pfeil 17"/>
        <cdr:cNvSpPr/>
      </cdr:nvSpPr>
      <cdr:spPr>
        <a:xfrm xmlns:a="http://schemas.openxmlformats.org/drawingml/2006/main" flipV="1">
          <a:off x="3068920" y="539670"/>
          <a:ext cx="565294" cy="9588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0091DA"/>
          </a:solidFill>
          <a:tailEnd type="triangle" w="sm" len="sm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0.64442</cdr:x>
      <cdr:y>0.23281</cdr:y>
    </cdr:from>
    <cdr:to>
      <cdr:x>0.8307</cdr:x>
      <cdr:y>0.28041</cdr:y>
    </cdr:to>
    <cdr:sp macro="" textlink="">
      <cdr:nvSpPr>
        <cdr:cNvPr id="16" name="Gerade Verbindung mit Pfeil 15"/>
        <cdr:cNvSpPr/>
      </cdr:nvSpPr>
      <cdr:spPr>
        <a:xfrm xmlns:a="http://schemas.openxmlformats.org/drawingml/2006/main" flipV="1">
          <a:off x="2811062" y="667508"/>
          <a:ext cx="812586" cy="13648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00338D"/>
          </a:solidFill>
          <a:tailEnd type="triangle" w="sm" len="sm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0.43596</cdr:x>
      <cdr:y>0.21035</cdr:y>
    </cdr:from>
    <cdr:to>
      <cdr:x>0.51724</cdr:x>
      <cdr:y>0.23147</cdr:y>
    </cdr:to>
    <cdr:sp macro="" textlink="">
      <cdr:nvSpPr>
        <cdr:cNvPr id="17" name="Gerade Verbindung mit Pfeil 16"/>
        <cdr:cNvSpPr/>
      </cdr:nvSpPr>
      <cdr:spPr>
        <a:xfrm xmlns:a="http://schemas.openxmlformats.org/drawingml/2006/main" flipV="1">
          <a:off x="1901733" y="603113"/>
          <a:ext cx="354558" cy="6055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0091DA"/>
          </a:solidFill>
          <a:tailEnd type="triangle" w="sm" len="sm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0.38719</cdr:x>
      <cdr:y>0.25729</cdr:y>
    </cdr:from>
    <cdr:to>
      <cdr:x>0.51678</cdr:x>
      <cdr:y>0.29074</cdr:y>
    </cdr:to>
    <cdr:sp macro="" textlink="">
      <cdr:nvSpPr>
        <cdr:cNvPr id="15" name="Gerade Verbindung mit Pfeil 14"/>
        <cdr:cNvSpPr/>
      </cdr:nvSpPr>
      <cdr:spPr>
        <a:xfrm xmlns:a="http://schemas.openxmlformats.org/drawingml/2006/main" flipV="1">
          <a:off x="1688990" y="737701"/>
          <a:ext cx="565294" cy="95909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00338D"/>
          </a:solidFill>
          <a:tailEnd type="triangle" w="sm" len="sm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0.18533</cdr:x>
      <cdr:y>0.26741</cdr:y>
    </cdr:from>
    <cdr:to>
      <cdr:x>0.26661</cdr:x>
      <cdr:y>0.28854</cdr:y>
    </cdr:to>
    <cdr:sp macro="" textlink="">
      <cdr:nvSpPr>
        <cdr:cNvPr id="14" name="Gerade Verbindung mit Pfeil 13"/>
        <cdr:cNvSpPr/>
      </cdr:nvSpPr>
      <cdr:spPr>
        <a:xfrm xmlns:a="http://schemas.openxmlformats.org/drawingml/2006/main" flipV="1">
          <a:off x="823796" y="748407"/>
          <a:ext cx="361293" cy="59121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00338D"/>
          </a:solidFill>
          <a:tailEnd type="triangle" w="sm" len="sm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0.16037</cdr:x>
      <cdr:y>0.75328</cdr:y>
    </cdr:from>
    <cdr:to>
      <cdr:x>0.3006</cdr:x>
      <cdr:y>0.80473</cdr:y>
    </cdr:to>
    <cdr:sp macro="" textlink="'08_Adherence'!$B$63">
      <cdr:nvSpPr>
        <cdr:cNvPr id="2" name="Rechteck 1"/>
        <cdr:cNvSpPr/>
      </cdr:nvSpPr>
      <cdr:spPr>
        <a:xfrm xmlns:a="http://schemas.openxmlformats.org/drawingml/2006/main">
          <a:off x="712862" y="2108183"/>
          <a:ext cx="623313" cy="144000"/>
        </a:xfrm>
        <a:prstGeom xmlns:a="http://schemas.openxmlformats.org/drawingml/2006/main" prst="rect">
          <a:avLst/>
        </a:prstGeom>
        <a:solidFill xmlns:a="http://schemas.openxmlformats.org/drawingml/2006/main">
          <a:schemeClr val="bg2"/>
        </a:solidFill>
        <a:ln xmlns:a="http://schemas.openxmlformats.org/drawingml/2006/main" w="6350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lIns="0" tIns="0" rIns="0" bIns="0" anchor="ctr" anchorCtr="0"/>
        <a:lstStyle xmlns:a="http://schemas.openxmlformats.org/drawingml/2006/main"/>
        <a:p xmlns:a="http://schemas.openxmlformats.org/drawingml/2006/main">
          <a:pPr algn="ctr"/>
          <a:fld id="{FA8C36BA-59E8-4BAF-9014-20EA3881BB17}" type="TxLink">
            <a:rPr lang="en-US" sz="800" b="0" i="0" u="none" strike="noStrike">
              <a:solidFill>
                <a:schemeClr val="tx1"/>
              </a:solidFill>
              <a:latin typeface="Arial"/>
              <a:cs typeface="Arial"/>
            </a:rPr>
            <a:pPr algn="ctr"/>
            <a:t>2010</a:t>
          </a:fld>
          <a:endParaRPr lang="de-DE" sz="700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0.34877</cdr:x>
      <cdr:y>0.75328</cdr:y>
    </cdr:from>
    <cdr:to>
      <cdr:x>0.54592</cdr:x>
      <cdr:y>0.80473</cdr:y>
    </cdr:to>
    <cdr:sp macro="" textlink="'08_Adherence'!$C$63">
      <cdr:nvSpPr>
        <cdr:cNvPr id="5" name="Rechteck 4"/>
        <cdr:cNvSpPr/>
      </cdr:nvSpPr>
      <cdr:spPr>
        <a:xfrm xmlns:a="http://schemas.openxmlformats.org/drawingml/2006/main">
          <a:off x="1550276" y="2108183"/>
          <a:ext cx="876348" cy="144000"/>
        </a:xfrm>
        <a:prstGeom xmlns:a="http://schemas.openxmlformats.org/drawingml/2006/main" prst="rect">
          <a:avLst/>
        </a:prstGeom>
        <a:solidFill xmlns:a="http://schemas.openxmlformats.org/drawingml/2006/main">
          <a:schemeClr val="bg2"/>
        </a:solidFill>
        <a:ln xmlns:a="http://schemas.openxmlformats.org/drawingml/2006/main" w="635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lIns="0" tIns="0" rIns="0" bIns="0" anchor="ctr" anchorCtr="0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pPr algn="ctr"/>
          <a:fld id="{D46978A9-7239-4292-A2E9-79EB4AB03E67}" type="TxLink">
            <a:rPr lang="en-US" sz="800" b="0" i="0" u="none" strike="noStrike">
              <a:solidFill>
                <a:schemeClr val="tx1"/>
              </a:solidFill>
              <a:latin typeface="Arial"/>
              <a:cs typeface="Arial"/>
            </a:rPr>
            <a:pPr algn="ctr"/>
            <a:t>2011</a:t>
          </a:fld>
          <a:endParaRPr lang="de-DE" sz="700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0.59113</cdr:x>
      <cdr:y>0.75328</cdr:y>
    </cdr:from>
    <cdr:to>
      <cdr:x>0.85627</cdr:x>
      <cdr:y>0.80473</cdr:y>
    </cdr:to>
    <cdr:sp macro="" textlink="'08_Adherence'!$D$63">
      <cdr:nvSpPr>
        <cdr:cNvPr id="6" name="Rechteck 5"/>
        <cdr:cNvSpPr/>
      </cdr:nvSpPr>
      <cdr:spPr>
        <a:xfrm xmlns:a="http://schemas.openxmlformats.org/drawingml/2006/main">
          <a:off x="2627587" y="2108183"/>
          <a:ext cx="1178520" cy="144000"/>
        </a:xfrm>
        <a:prstGeom xmlns:a="http://schemas.openxmlformats.org/drawingml/2006/main" prst="rect">
          <a:avLst/>
        </a:prstGeom>
        <a:solidFill xmlns:a="http://schemas.openxmlformats.org/drawingml/2006/main">
          <a:schemeClr val="bg2"/>
        </a:solidFill>
        <a:ln xmlns:a="http://schemas.openxmlformats.org/drawingml/2006/main" w="635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lIns="0" tIns="0" rIns="0" bIns="0" anchor="ctr" anchorCtr="0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pPr algn="ctr"/>
          <a:fld id="{F4F2C418-EA59-45A3-B61C-9DC787F65FCA}" type="TxLink">
            <a:rPr lang="en-US" sz="800" b="0" i="0" u="none" strike="noStrike">
              <a:solidFill>
                <a:schemeClr val="tx1"/>
              </a:solidFill>
              <a:latin typeface="Arial"/>
              <a:cs typeface="Arial"/>
            </a:rPr>
            <a:pPr algn="ctr"/>
            <a:t>2012</a:t>
          </a:fld>
          <a:endParaRPr lang="de-DE" sz="700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0.18076</cdr:x>
      <cdr:y>0.2188</cdr:y>
    </cdr:from>
    <cdr:to>
      <cdr:x>0.25465</cdr:x>
      <cdr:y>0.28217</cdr:y>
    </cdr:to>
    <cdr:sp macro="" textlink="'08_Adherence'!$B$70">
      <cdr:nvSpPr>
        <cdr:cNvPr id="7" name="Textfeld 6"/>
        <cdr:cNvSpPr txBox="1"/>
      </cdr:nvSpPr>
      <cdr:spPr>
        <a:xfrm xmlns:a="http://schemas.openxmlformats.org/drawingml/2006/main">
          <a:off x="788509" y="627342"/>
          <a:ext cx="322321" cy="1816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1C01DA26-455C-47AA-8304-DB3BBD790C13}" type="TxLink">
            <a:rPr lang="en-US" sz="700" b="0" i="0" u="none" strike="noStrike">
              <a:solidFill>
                <a:schemeClr val="tx2"/>
              </a:solidFill>
              <a:latin typeface="Arial"/>
              <a:cs typeface="Arial"/>
            </a:rPr>
            <a:pPr algn="ctr"/>
            <a:t>2.0%</a:t>
          </a:fld>
          <a:endParaRPr lang="de-DE" sz="1100">
            <a:solidFill>
              <a:schemeClr val="tx2"/>
            </a:solidFill>
          </a:endParaRPr>
        </a:p>
      </cdr:txBody>
    </cdr:sp>
  </cdr:relSizeAnchor>
  <cdr:relSizeAnchor xmlns:cdr="http://schemas.openxmlformats.org/drawingml/2006/chartDrawing">
    <cdr:from>
      <cdr:x>0.38668</cdr:x>
      <cdr:y>0.22013</cdr:y>
    </cdr:from>
    <cdr:to>
      <cdr:x>0.46057</cdr:x>
      <cdr:y>0.2835</cdr:y>
    </cdr:to>
    <cdr:sp macro="" textlink="'08_Adherence'!$C$70">
      <cdr:nvSpPr>
        <cdr:cNvPr id="8" name="Textfeld 1"/>
        <cdr:cNvSpPr txBox="1"/>
      </cdr:nvSpPr>
      <cdr:spPr>
        <a:xfrm xmlns:a="http://schemas.openxmlformats.org/drawingml/2006/main">
          <a:off x="1686783" y="631171"/>
          <a:ext cx="322321" cy="1816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A9F43D8D-B79E-477E-86D2-BE3D99A781C5}" type="TxLink">
            <a:rPr lang="en-US" sz="700" b="0" i="0" u="none" strike="noStrike">
              <a:solidFill>
                <a:schemeClr val="tx2"/>
              </a:solidFill>
              <a:latin typeface="Arial"/>
              <a:cs typeface="Arial"/>
            </a:rPr>
            <a:pPr algn="ctr"/>
            <a:t>5.9%</a:t>
          </a:fld>
          <a:endParaRPr lang="de-DE" sz="1100">
            <a:solidFill>
              <a:schemeClr val="tx2"/>
            </a:solidFill>
          </a:endParaRPr>
        </a:p>
      </cdr:txBody>
    </cdr:sp>
  </cdr:relSizeAnchor>
  <cdr:relSizeAnchor xmlns:cdr="http://schemas.openxmlformats.org/drawingml/2006/chartDrawing">
    <cdr:from>
      <cdr:x>0.64185</cdr:x>
      <cdr:y>0.21415</cdr:y>
    </cdr:from>
    <cdr:to>
      <cdr:x>0.71574</cdr:x>
      <cdr:y>0.27752</cdr:y>
    </cdr:to>
    <cdr:sp macro="" textlink="'08_Adherence'!$D$70">
      <cdr:nvSpPr>
        <cdr:cNvPr id="9" name="Textfeld 1"/>
        <cdr:cNvSpPr txBox="1"/>
      </cdr:nvSpPr>
      <cdr:spPr>
        <a:xfrm xmlns:a="http://schemas.openxmlformats.org/drawingml/2006/main">
          <a:off x="2799862" y="614011"/>
          <a:ext cx="322321" cy="1816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AFB3174F-837D-4269-88D1-AA185A84C18F}" type="TxLink">
            <a:rPr lang="en-US" sz="700" b="0" i="0" u="none" strike="noStrike">
              <a:solidFill>
                <a:schemeClr val="tx2"/>
              </a:solidFill>
              <a:latin typeface="Arial"/>
              <a:cs typeface="Arial"/>
            </a:rPr>
            <a:pPr algn="ctr"/>
            <a:t>5.7%</a:t>
          </a:fld>
          <a:endParaRPr lang="de-DE" sz="1100">
            <a:solidFill>
              <a:schemeClr val="tx2"/>
            </a:solidFill>
          </a:endParaRPr>
        </a:p>
      </cdr:txBody>
    </cdr:sp>
  </cdr:relSizeAnchor>
  <cdr:relSizeAnchor xmlns:cdr="http://schemas.openxmlformats.org/drawingml/2006/chartDrawing">
    <cdr:from>
      <cdr:x>0.43429</cdr:x>
      <cdr:y>0.15704</cdr:y>
    </cdr:from>
    <cdr:to>
      <cdr:x>0.50818</cdr:x>
      <cdr:y>0.22041</cdr:y>
    </cdr:to>
    <cdr:sp macro="" textlink="'08_Adherence'!$C$71">
      <cdr:nvSpPr>
        <cdr:cNvPr id="10" name="Textfeld 1"/>
        <cdr:cNvSpPr txBox="1"/>
      </cdr:nvSpPr>
      <cdr:spPr>
        <a:xfrm xmlns:a="http://schemas.openxmlformats.org/drawingml/2006/main">
          <a:off x="1894443" y="450263"/>
          <a:ext cx="322321" cy="1816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39EE0DBD-531E-4763-8974-FF26E1F787F3}" type="TxLink">
            <a:rPr lang="en-US" sz="700" b="0" i="0" u="none" strike="noStrike">
              <a:solidFill>
                <a:schemeClr val="accent1"/>
              </a:solidFill>
              <a:latin typeface="Arial"/>
              <a:cs typeface="Arial"/>
            </a:rPr>
            <a:pPr algn="ctr"/>
            <a:t>3.8%</a:t>
          </a:fld>
          <a:endParaRPr lang="de-DE" sz="1100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0.70448</cdr:x>
      <cdr:y>0.15346</cdr:y>
    </cdr:from>
    <cdr:to>
      <cdr:x>0.77837</cdr:x>
      <cdr:y>0.21683</cdr:y>
    </cdr:to>
    <cdr:sp macro="" textlink="'08_Adherence'!$D$71">
      <cdr:nvSpPr>
        <cdr:cNvPr id="11" name="Textfeld 1"/>
        <cdr:cNvSpPr txBox="1"/>
      </cdr:nvSpPr>
      <cdr:spPr>
        <a:xfrm xmlns:a="http://schemas.openxmlformats.org/drawingml/2006/main">
          <a:off x="3073055" y="440009"/>
          <a:ext cx="322321" cy="1816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9B1D18-DDBC-4717-90FD-2CCEE180F39F}" type="TxLink">
            <a:rPr lang="en-US" sz="700" b="0" i="0" u="none" strike="noStrike">
              <a:solidFill>
                <a:schemeClr val="accent1"/>
              </a:solidFill>
              <a:latin typeface="Arial"/>
              <a:cs typeface="Arial"/>
            </a:rPr>
            <a:pPr algn="ctr"/>
            <a:t>3.7%</a:t>
          </a:fld>
          <a:endParaRPr lang="de-DE" sz="1100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0.75654</cdr:x>
      <cdr:y>0.10188</cdr:y>
    </cdr:from>
    <cdr:to>
      <cdr:x>0.83043</cdr:x>
      <cdr:y>0.16525</cdr:y>
    </cdr:to>
    <cdr:sp macro="" textlink="'08_Adherence'!$D$72">
      <cdr:nvSpPr>
        <cdr:cNvPr id="12" name="Textfeld 1"/>
        <cdr:cNvSpPr txBox="1"/>
      </cdr:nvSpPr>
      <cdr:spPr>
        <a:xfrm xmlns:a="http://schemas.openxmlformats.org/drawingml/2006/main">
          <a:off x="3300154" y="292116"/>
          <a:ext cx="322321" cy="1816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B1770F80-C983-49CA-8914-DB7F2C38981B}" type="TxLink">
            <a:rPr lang="en-US" sz="700" b="0" i="0" u="none" strike="noStrike">
              <a:solidFill>
                <a:schemeClr val="accent2"/>
              </a:solidFill>
              <a:latin typeface="Arial"/>
              <a:cs typeface="Arial"/>
            </a:rPr>
            <a:pPr algn="ctr"/>
            <a:t>1.8%</a:t>
          </a:fld>
          <a:endParaRPr lang="de-DE" sz="110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0.16124</cdr:x>
      <cdr:y>0.6422</cdr:y>
    </cdr:from>
    <cdr:to>
      <cdr:x>0.22954</cdr:x>
      <cdr:y>0.72803</cdr:y>
    </cdr:to>
    <cdr:sp macro="" textlink="'08_Adherence'!$A$65">
      <cdr:nvSpPr>
        <cdr:cNvPr id="20" name="Textfeld 19"/>
        <cdr:cNvSpPr txBox="1"/>
      </cdr:nvSpPr>
      <cdr:spPr>
        <a:xfrm xmlns:a="http://schemas.openxmlformats.org/drawingml/2006/main">
          <a:off x="704022" y="1797326"/>
          <a:ext cx="298174" cy="2401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 anchor="ctr" anchorCtr="0"/>
        <a:lstStyle xmlns:a="http://schemas.openxmlformats.org/drawingml/2006/main"/>
        <a:p xmlns:a="http://schemas.openxmlformats.org/drawingml/2006/main">
          <a:pPr algn="ctr"/>
          <a:fld id="{613CA8C1-362B-416A-AE56-ABBF40A254EB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Planning 2009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0.22912</cdr:x>
      <cdr:y>0.6422</cdr:y>
    </cdr:from>
    <cdr:to>
      <cdr:x>0.29742</cdr:x>
      <cdr:y>0.72803</cdr:y>
    </cdr:to>
    <cdr:sp macro="" textlink="'08_Adherence'!$A$64">
      <cdr:nvSpPr>
        <cdr:cNvPr id="21" name="Textfeld 1"/>
        <cdr:cNvSpPr txBox="1"/>
      </cdr:nvSpPr>
      <cdr:spPr>
        <a:xfrm xmlns:a="http://schemas.openxmlformats.org/drawingml/2006/main">
          <a:off x="999451" y="1841335"/>
          <a:ext cx="297937" cy="2460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CD28447E-9BA4-42CC-893A-1B1FE547705B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Actual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0.34379</cdr:x>
      <cdr:y>0.6422</cdr:y>
    </cdr:from>
    <cdr:to>
      <cdr:x>0.41209</cdr:x>
      <cdr:y>0.72803</cdr:y>
    </cdr:to>
    <cdr:sp macro="" textlink="'08_Adherence'!$A$65">
      <cdr:nvSpPr>
        <cdr:cNvPr id="23" name="Textfeld 1"/>
        <cdr:cNvSpPr txBox="1"/>
      </cdr:nvSpPr>
      <cdr:spPr>
        <a:xfrm xmlns:a="http://schemas.openxmlformats.org/drawingml/2006/main">
          <a:off x="1499674" y="1841335"/>
          <a:ext cx="297936" cy="2460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6EA299C7-8EC3-4D19-82F3-48288F07263C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Planning 2009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0.4192</cdr:x>
      <cdr:y>0.6422</cdr:y>
    </cdr:from>
    <cdr:to>
      <cdr:x>0.4875</cdr:x>
      <cdr:y>0.72803</cdr:y>
    </cdr:to>
    <cdr:sp macro="" textlink="'08_Adherence'!$A$66">
      <cdr:nvSpPr>
        <cdr:cNvPr id="24" name="Textfeld 1"/>
        <cdr:cNvSpPr txBox="1"/>
      </cdr:nvSpPr>
      <cdr:spPr>
        <a:xfrm xmlns:a="http://schemas.openxmlformats.org/drawingml/2006/main">
          <a:off x="1828613" y="1841335"/>
          <a:ext cx="297937" cy="2460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5CEB66E-D616-4BC1-9291-3B3B8D0E9677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Planning 2010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0.48406</cdr:x>
      <cdr:y>0.6422</cdr:y>
    </cdr:from>
    <cdr:to>
      <cdr:x>0.55235</cdr:x>
      <cdr:y>0.72803</cdr:y>
    </cdr:to>
    <cdr:sp macro="" textlink="'08_Adherence'!$A$64">
      <cdr:nvSpPr>
        <cdr:cNvPr id="25" name="Textfeld 1"/>
        <cdr:cNvSpPr txBox="1"/>
      </cdr:nvSpPr>
      <cdr:spPr>
        <a:xfrm xmlns:a="http://schemas.openxmlformats.org/drawingml/2006/main">
          <a:off x="2111570" y="1841335"/>
          <a:ext cx="297893" cy="2460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F19764E-06B6-47DA-AAFA-9908AEF248F2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Actual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0.59572</cdr:x>
      <cdr:y>0.6422</cdr:y>
    </cdr:from>
    <cdr:to>
      <cdr:x>0.66401</cdr:x>
      <cdr:y>0.72803</cdr:y>
    </cdr:to>
    <cdr:sp macro="" textlink="'08_Adherence'!$A$65">
      <cdr:nvSpPr>
        <cdr:cNvPr id="27" name="Textfeld 1"/>
        <cdr:cNvSpPr txBox="1"/>
      </cdr:nvSpPr>
      <cdr:spPr>
        <a:xfrm xmlns:a="http://schemas.openxmlformats.org/drawingml/2006/main">
          <a:off x="2598654" y="1841335"/>
          <a:ext cx="297893" cy="2460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284249F-8D6D-45A9-B12E-D2808E123A48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Planning 2009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0.66812</cdr:x>
      <cdr:y>0.6422</cdr:y>
    </cdr:from>
    <cdr:to>
      <cdr:x>0.73641</cdr:x>
      <cdr:y>0.72803</cdr:y>
    </cdr:to>
    <cdr:sp macro="" textlink="'08_Adherence'!$A$66">
      <cdr:nvSpPr>
        <cdr:cNvPr id="28" name="Textfeld 1"/>
        <cdr:cNvSpPr txBox="1"/>
      </cdr:nvSpPr>
      <cdr:spPr>
        <a:xfrm xmlns:a="http://schemas.openxmlformats.org/drawingml/2006/main">
          <a:off x="2917134" y="1797326"/>
          <a:ext cx="298174" cy="2401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BFAA68C-3FD7-468F-8B1F-C10C197B5ED7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Planning 2010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0.7375</cdr:x>
      <cdr:y>0.6422</cdr:y>
    </cdr:from>
    <cdr:to>
      <cdr:x>0.80579</cdr:x>
      <cdr:y>0.72803</cdr:y>
    </cdr:to>
    <cdr:sp macro="" textlink="'08_Adherence'!$A$67">
      <cdr:nvSpPr>
        <cdr:cNvPr id="29" name="Textfeld 1"/>
        <cdr:cNvSpPr txBox="1"/>
      </cdr:nvSpPr>
      <cdr:spPr>
        <a:xfrm xmlns:a="http://schemas.openxmlformats.org/drawingml/2006/main">
          <a:off x="3217119" y="1841335"/>
          <a:ext cx="297893" cy="2460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6528A984-5948-4262-BEAE-F91F44C50EEE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Planning 2011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0.80086</cdr:x>
      <cdr:y>0.6422</cdr:y>
    </cdr:from>
    <cdr:to>
      <cdr:x>0.86915</cdr:x>
      <cdr:y>0.72803</cdr:y>
    </cdr:to>
    <cdr:sp macro="" textlink="'08_Adherence'!$A$64">
      <cdr:nvSpPr>
        <cdr:cNvPr id="30" name="Textfeld 1"/>
        <cdr:cNvSpPr txBox="1"/>
      </cdr:nvSpPr>
      <cdr:spPr>
        <a:xfrm xmlns:a="http://schemas.openxmlformats.org/drawingml/2006/main">
          <a:off x="3493506" y="1841335"/>
          <a:ext cx="297893" cy="2460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DD226EBE-D46F-4464-9A2C-04F4532735DB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Actual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</c:userShapes>
</file>

<file path=xl/drawings/drawing7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281609</xdr:colOff>
      <xdr:row>13</xdr:row>
      <xdr:rowOff>8282</xdr:rowOff>
    </xdr:from>
    <xdr:to>
      <xdr:col>14</xdr:col>
      <xdr:colOff>790567</xdr:colOff>
      <xdr:row>32</xdr:row>
      <xdr:rowOff>126998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142874</xdr:colOff>
      <xdr:row>38</xdr:row>
      <xdr:rowOff>16566</xdr:rowOff>
    </xdr:from>
    <xdr:to>
      <xdr:col>15</xdr:col>
      <xdr:colOff>8283</xdr:colOff>
      <xdr:row>54</xdr:row>
      <xdr:rowOff>173520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207064</xdr:colOff>
      <xdr:row>72</xdr:row>
      <xdr:rowOff>33130</xdr:rowOff>
    </xdr:from>
    <xdr:to>
      <xdr:col>15</xdr:col>
      <xdr:colOff>9573</xdr:colOff>
      <xdr:row>92</xdr:row>
      <xdr:rowOff>44312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10</xdr:col>
      <xdr:colOff>0</xdr:colOff>
      <xdr:row>99</xdr:row>
      <xdr:rowOff>0</xdr:rowOff>
    </xdr:from>
    <xdr:to>
      <xdr:col>14</xdr:col>
      <xdr:colOff>452783</xdr:colOff>
      <xdr:row>118</xdr:row>
      <xdr:rowOff>118718</xdr:rowOff>
    </xdr:to>
    <xdr:graphicFrame macro="">
      <xdr:nvGraphicFramePr>
        <xdr:cNvPr id="10" name="Diagramm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6</xdr:col>
      <xdr:colOff>149087</xdr:colOff>
      <xdr:row>118</xdr:row>
      <xdr:rowOff>91109</xdr:rowOff>
    </xdr:from>
    <xdr:to>
      <xdr:col>11</xdr:col>
      <xdr:colOff>571500</xdr:colOff>
      <xdr:row>134</xdr:row>
      <xdr:rowOff>54250</xdr:rowOff>
    </xdr:to>
    <xdr:graphicFrame macro="">
      <xdr:nvGraphicFramePr>
        <xdr:cNvPr id="11" name="Diagramm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8</xdr:col>
      <xdr:colOff>0</xdr:colOff>
      <xdr:row>141</xdr:row>
      <xdr:rowOff>0</xdr:rowOff>
    </xdr:from>
    <xdr:to>
      <xdr:col>12</xdr:col>
      <xdr:colOff>495300</xdr:colOff>
      <xdr:row>158</xdr:row>
      <xdr:rowOff>0</xdr:rowOff>
    </xdr:to>
    <xdr:graphicFrame macro="">
      <xdr:nvGraphicFramePr>
        <xdr:cNvPr id="12" name="Diagramm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13" name="Grafik 1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73.xml><?xml version="1.0" encoding="utf-8"?>
<c:userShapes xmlns:c="http://schemas.openxmlformats.org/drawingml/2006/chart">
  <cdr:relSizeAnchor xmlns:cdr="http://schemas.openxmlformats.org/drawingml/2006/chartDrawing">
    <cdr:from>
      <cdr:x>0.71298</cdr:x>
      <cdr:y>0.83833</cdr:y>
    </cdr:from>
    <cdr:to>
      <cdr:x>0.76753</cdr:x>
      <cdr:y>0.85469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3169209" y="2342302"/>
          <a:ext cx="242475" cy="4571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2"/>
        </a:solidFill>
        <a:ln xmlns:a="http://schemas.openxmlformats.org/drawingml/2006/main">
          <a:solidFill>
            <a:schemeClr val="accent2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0.75795</cdr:x>
      <cdr:y>0.80756</cdr:y>
    </cdr:from>
    <cdr:to>
      <cdr:x>0.86513</cdr:x>
      <cdr:y>0.87954</cdr:y>
    </cdr:to>
    <cdr:sp macro="" textlink="'09_Sustainable year'!$I$15">
      <cdr:nvSpPr>
        <cdr:cNvPr id="3" name="Textfeld 2"/>
        <cdr:cNvSpPr txBox="1"/>
      </cdr:nvSpPr>
      <cdr:spPr>
        <a:xfrm xmlns:a="http://schemas.openxmlformats.org/drawingml/2006/main">
          <a:off x="3369107" y="2256334"/>
          <a:ext cx="476415" cy="201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9B704533-148A-4CA1-BF0E-B112578C7F40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/>
            <a:t>Ø TV</a:t>
          </a:fld>
          <a:endParaRPr lang="de-DE" sz="800">
            <a:latin typeface="Arial" pitchFamily="34" charset="0"/>
            <a:cs typeface="Arial" pitchFamily="34" charset="0"/>
          </a:endParaRPr>
        </a:p>
      </cdr:txBody>
    </cdr:sp>
  </cdr:relSizeAnchor>
</c:userShapes>
</file>

<file path=xl/drawings/drawing74.xml><?xml version="1.0" encoding="utf-8"?>
<c:userShapes xmlns:c="http://schemas.openxmlformats.org/drawingml/2006/chart">
  <cdr:relSizeAnchor xmlns:cdr="http://schemas.openxmlformats.org/drawingml/2006/chartDrawing">
    <cdr:from>
      <cdr:x>0.12418</cdr:x>
      <cdr:y>0.13077</cdr:y>
    </cdr:from>
    <cdr:to>
      <cdr:x>0.7673</cdr:x>
      <cdr:y>0.17525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05535" y="358468"/>
          <a:ext cx="3136135" cy="121922"/>
          <a:chOff x="-628648" y="0"/>
          <a:chExt cx="3387424" cy="167367"/>
        </a:xfrm>
      </cdr:grpSpPr>
      <cdr:sp macro="" textlink="'09_Sustainable year'!$C$40">
        <cdr:nvSpPr>
          <cdr:cNvPr id="4" name="Textfeld 3"/>
          <cdr:cNvSpPr txBox="1"/>
        </cdr:nvSpPr>
        <cdr:spPr>
          <a:xfrm xmlns:a="http://schemas.openxmlformats.org/drawingml/2006/main">
            <a:off x="-628648" y="0"/>
            <a:ext cx="1649242" cy="16736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1B907495-2FC9-42C5-886F-4A09D35654C7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9_Sustainable year'!$F$40">
        <cdr:nvSpPr>
          <cdr:cNvPr id="5" name="Textfeld 1"/>
          <cdr:cNvSpPr txBox="1"/>
        </cdr:nvSpPr>
        <cdr:spPr>
          <a:xfrm xmlns:a="http://schemas.openxmlformats.org/drawingml/2006/main">
            <a:off x="1109976" y="0"/>
            <a:ext cx="1648800" cy="16736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B66020B3-EF47-49C9-AF60-900C4859DA56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75.xml><?xml version="1.0" encoding="utf-8"?>
<c:userShapes xmlns:c="http://schemas.openxmlformats.org/drawingml/2006/chart">
  <cdr:relSizeAnchor xmlns:cdr="http://schemas.openxmlformats.org/drawingml/2006/chartDrawing">
    <cdr:from>
      <cdr:x>0.13422</cdr:x>
      <cdr:y>0.09288</cdr:y>
    </cdr:from>
    <cdr:to>
      <cdr:x>0.7509</cdr:x>
      <cdr:y>0.1362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45590" y="308150"/>
          <a:ext cx="2966192" cy="143723"/>
          <a:chOff x="-445910" y="0"/>
          <a:chExt cx="3307051" cy="154898"/>
        </a:xfrm>
      </cdr:grpSpPr>
      <cdr:sp macro="" textlink="'09_Sustainable year'!$C$76">
        <cdr:nvSpPr>
          <cdr:cNvPr id="4" name="Textfeld 3"/>
          <cdr:cNvSpPr txBox="1"/>
        </cdr:nvSpPr>
        <cdr:spPr>
          <a:xfrm xmlns:a="http://schemas.openxmlformats.org/drawingml/2006/main">
            <a:off x="-445910" y="0"/>
            <a:ext cx="1609377" cy="154898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797FDC52-4FF8-4C1F-BCE6-59D431B06E6C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9_Sustainable year'!$F$76">
        <cdr:nvSpPr>
          <cdr:cNvPr id="5" name="Textfeld 1"/>
          <cdr:cNvSpPr txBox="1"/>
        </cdr:nvSpPr>
        <cdr:spPr>
          <a:xfrm xmlns:a="http://schemas.openxmlformats.org/drawingml/2006/main">
            <a:off x="1252849" y="0"/>
            <a:ext cx="1608292" cy="154898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E39FD016-055D-41D4-8A0F-8CFA465A5D70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76.xml><?xml version="1.0" encoding="utf-8"?>
<c:userShapes xmlns:c="http://schemas.openxmlformats.org/drawingml/2006/chart">
  <cdr:relSizeAnchor xmlns:cdr="http://schemas.openxmlformats.org/drawingml/2006/chartDrawing">
    <cdr:from>
      <cdr:x>0.1444</cdr:x>
      <cdr:y>0.075</cdr:y>
    </cdr:from>
    <cdr:to>
      <cdr:x>0.67749</cdr:x>
      <cdr:y>0.12239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77034" y="221073"/>
          <a:ext cx="2130256" cy="139691"/>
          <a:chOff x="289413" y="0"/>
          <a:chExt cx="1838237" cy="167366"/>
        </a:xfrm>
      </cdr:grpSpPr>
      <cdr:sp macro="" textlink="'09_Sustainable year'!$C$102">
        <cdr:nvSpPr>
          <cdr:cNvPr id="4" name="Textfeld 3"/>
          <cdr:cNvSpPr txBox="1"/>
        </cdr:nvSpPr>
        <cdr:spPr>
          <a:xfrm xmlns:a="http://schemas.openxmlformats.org/drawingml/2006/main">
            <a:off x="289413" y="0"/>
            <a:ext cx="874054" cy="167366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5F5C7A81-D918-42A8-A424-06399ABDB66C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9_Sustainable year'!$F$102">
        <cdr:nvSpPr>
          <cdr:cNvPr id="5" name="Textfeld 1"/>
          <cdr:cNvSpPr txBox="1"/>
        </cdr:nvSpPr>
        <cdr:spPr>
          <a:xfrm xmlns:a="http://schemas.openxmlformats.org/drawingml/2006/main">
            <a:off x="1252850" y="0"/>
            <a:ext cx="874800" cy="167366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C4F57C6C-D132-421E-B41F-12DC8CDFB65B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77.xml><?xml version="1.0" encoding="utf-8"?>
<c:userShapes xmlns:c="http://schemas.openxmlformats.org/drawingml/2006/chart">
  <cdr:relSizeAnchor xmlns:cdr="http://schemas.openxmlformats.org/drawingml/2006/chartDrawing">
    <cdr:from>
      <cdr:x>0.50519</cdr:x>
      <cdr:y>0.60602</cdr:y>
    </cdr:from>
    <cdr:to>
      <cdr:x>0.62786</cdr:x>
      <cdr:y>0.63436</cdr:y>
    </cdr:to>
    <cdr:sp macro="" textlink="'09_Sustainable year'!$B$146">
      <cdr:nvSpPr>
        <cdr:cNvPr id="2" name="Textfeld 26"/>
        <cdr:cNvSpPr txBox="1"/>
      </cdr:nvSpPr>
      <cdr:spPr>
        <a:xfrm xmlns:a="http://schemas.openxmlformats.org/drawingml/2006/main">
          <a:off x="1482120" y="2521683"/>
          <a:ext cx="359888" cy="117917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lIns="0" tIns="0" rIns="0" bIns="0" rtlCol="0">
          <a:spAutoFit/>
        </a:bodyPr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1pPr>
          <a:lvl2pPr marL="457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2pPr>
          <a:lvl3pPr marL="914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3pPr>
          <a:lvl4pPr marL="1371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4pPr>
          <a:lvl5pPr marL="18288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5pPr>
          <a:lvl6pPr marL="22860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6pPr>
          <a:lvl7pPr marL="2743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7pPr>
          <a:lvl8pPr marL="3200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8pPr>
          <a:lvl9pPr marL="3657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9pPr>
        </a:lstStyle>
        <a:p xmlns:a="http://schemas.openxmlformats.org/drawingml/2006/main">
          <a:pPr algn="ctr"/>
          <a:fld id="{E064F24E-27E2-46A8-8386-F52AF6773EA6}" type="TxLink">
            <a:rPr lang="en-US" sz="800" b="0" i="0" u="none" strike="noStrike" smtClean="0">
              <a:solidFill>
                <a:schemeClr val="tx2"/>
              </a:solidFill>
              <a:latin typeface="Arial"/>
              <a:cs typeface="Arial"/>
            </a:rPr>
            <a:pPr algn="ctr"/>
            <a:t>36%</a:t>
          </a:fld>
          <a:endParaRPr lang="en-GB" sz="900" dirty="0" smtClean="0">
            <a:solidFill>
              <a:schemeClr val="tx2"/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0.50477</cdr:x>
      <cdr:y>0.39713</cdr:y>
    </cdr:from>
    <cdr:to>
      <cdr:x>0.62744</cdr:x>
      <cdr:y>0.42547</cdr:y>
    </cdr:to>
    <cdr:sp macro="" textlink="'09_Sustainable year'!$C$146">
      <cdr:nvSpPr>
        <cdr:cNvPr id="3" name="Textfeld 31"/>
        <cdr:cNvSpPr txBox="1"/>
      </cdr:nvSpPr>
      <cdr:spPr>
        <a:xfrm xmlns:a="http://schemas.openxmlformats.org/drawingml/2006/main">
          <a:off x="1482357" y="964584"/>
          <a:ext cx="360247" cy="68834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lIns="0" tIns="0" rIns="0" bIns="0" rtlCol="0">
          <a:spAutoFit/>
        </a:bodyPr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1pPr>
          <a:lvl2pPr marL="457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2pPr>
          <a:lvl3pPr marL="914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3pPr>
          <a:lvl4pPr marL="1371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4pPr>
          <a:lvl5pPr marL="18288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5pPr>
          <a:lvl6pPr marL="22860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6pPr>
          <a:lvl7pPr marL="2743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7pPr>
          <a:lvl8pPr marL="3200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8pPr>
          <a:lvl9pPr marL="3657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9pPr>
        </a:lstStyle>
        <a:p xmlns:a="http://schemas.openxmlformats.org/drawingml/2006/main">
          <a:pPr algn="ctr"/>
          <a:fld id="{A01A177F-23C6-4433-9CEC-7A2C335D49C0}" type="TxLink">
            <a:rPr lang="en-US" sz="800" b="0" i="0" u="none" strike="noStrike" smtClean="0">
              <a:solidFill>
                <a:schemeClr val="accent1"/>
              </a:solidFill>
              <a:latin typeface="Arial"/>
              <a:cs typeface="Arial"/>
            </a:rPr>
            <a:pPr algn="ctr"/>
            <a:t>30%</a:t>
          </a:fld>
          <a:endParaRPr lang="en-GB" sz="900" dirty="0" smtClean="0">
            <a:solidFill>
              <a:schemeClr val="accent1"/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0.50843</cdr:x>
      <cdr:y>0.19254</cdr:y>
    </cdr:from>
    <cdr:to>
      <cdr:x>0.6311</cdr:x>
      <cdr:y>0.22088</cdr:y>
    </cdr:to>
    <cdr:sp macro="" textlink="'09_Sustainable year'!$D$146">
      <cdr:nvSpPr>
        <cdr:cNvPr id="4" name="Textfeld 32"/>
        <cdr:cNvSpPr txBox="1"/>
      </cdr:nvSpPr>
      <cdr:spPr>
        <a:xfrm xmlns:a="http://schemas.openxmlformats.org/drawingml/2006/main">
          <a:off x="1493125" y="467664"/>
          <a:ext cx="360247" cy="68834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lIns="0" tIns="0" rIns="0" bIns="0" rtlCol="0">
          <a:spAutoFit/>
        </a:bodyPr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1pPr>
          <a:lvl2pPr marL="457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2pPr>
          <a:lvl3pPr marL="914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3pPr>
          <a:lvl4pPr marL="1371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4pPr>
          <a:lvl5pPr marL="18288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5pPr>
          <a:lvl6pPr marL="22860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6pPr>
          <a:lvl7pPr marL="2743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7pPr>
          <a:lvl8pPr marL="3200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8pPr>
          <a:lvl9pPr marL="3657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9pPr>
        </a:lstStyle>
        <a:p xmlns:a="http://schemas.openxmlformats.org/drawingml/2006/main">
          <a:pPr algn="ctr"/>
          <a:fld id="{6B81E77F-ACD2-4C7E-8937-3E6581A772A8}" type="TxLink">
            <a:rPr lang="en-US" sz="800" b="0" i="0" u="none" strike="noStrike" dirty="0" smtClean="0">
              <a:solidFill>
                <a:schemeClr val="accent2"/>
              </a:solidFill>
              <a:latin typeface="Arial"/>
              <a:cs typeface="Arial"/>
            </a:rPr>
            <a:pPr algn="ctr"/>
            <a:t>20%</a:t>
          </a:fld>
          <a:endParaRPr lang="en-GB" sz="900" dirty="0" smtClean="0">
            <a:solidFill>
              <a:schemeClr val="accent2"/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0.62621</cdr:x>
      <cdr:y>0.05098</cdr:y>
    </cdr:from>
    <cdr:to>
      <cdr:x>0.88583</cdr:x>
      <cdr:y>0.12241</cdr:y>
    </cdr:to>
    <cdr:sp macro="" textlink="'09_Sustainable year'!$F$146">
      <cdr:nvSpPr>
        <cdr:cNvPr id="5" name="Textfeld 4"/>
        <cdr:cNvSpPr txBox="1"/>
      </cdr:nvSpPr>
      <cdr:spPr>
        <a:xfrm xmlns:a="http://schemas.openxmlformats.org/drawingml/2006/main">
          <a:off x="2147290" y="123825"/>
          <a:ext cx="890237" cy="1734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1pPr>
          <a:lvl2pPr marL="457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2pPr>
          <a:lvl3pPr marL="914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3pPr>
          <a:lvl4pPr marL="1371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4pPr>
          <a:lvl5pPr marL="18288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5pPr>
          <a:lvl6pPr marL="22860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6pPr>
          <a:lvl7pPr marL="2743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7pPr>
          <a:lvl8pPr marL="3200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8pPr>
          <a:lvl9pPr marL="3657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9pPr>
        </a:lstStyle>
        <a:p xmlns:a="http://schemas.openxmlformats.org/drawingml/2006/main">
          <a:pPr algn="ctr"/>
          <a:fld id="{6833E699-41B1-4427-AEFC-A8E0ECC07223}" type="TxLink">
            <a:rPr lang="en-US" sz="8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29.4%</a:t>
          </a:fld>
          <a:endParaRPr lang="de-DE" sz="900" b="1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0.2525</cdr:x>
      <cdr:y>0.05098</cdr:y>
    </cdr:from>
    <cdr:to>
      <cdr:x>0.5069</cdr:x>
      <cdr:y>0.12241</cdr:y>
    </cdr:to>
    <cdr:sp macro="" textlink="'09_Sustainable year'!$F$143">
      <cdr:nvSpPr>
        <cdr:cNvPr id="6" name="Textfeld 3"/>
        <cdr:cNvSpPr txBox="1"/>
      </cdr:nvSpPr>
      <cdr:spPr>
        <a:xfrm xmlns:a="http://schemas.openxmlformats.org/drawingml/2006/main">
          <a:off x="865839" y="123825"/>
          <a:ext cx="872338" cy="1734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1pPr>
          <a:lvl2pPr marL="457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2pPr>
          <a:lvl3pPr marL="914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3pPr>
          <a:lvl4pPr marL="1371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4pPr>
          <a:lvl5pPr marL="18288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5pPr>
          <a:lvl6pPr marL="22860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6pPr>
          <a:lvl7pPr marL="2743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7pPr>
          <a:lvl8pPr marL="3200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8pPr>
          <a:lvl9pPr marL="3657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9pPr>
        </a:lstStyle>
        <a:p xmlns:a="http://schemas.openxmlformats.org/drawingml/2006/main">
          <a:pPr algn="ctr"/>
          <a:fld id="{46CA8A29-B566-47C1-BC88-953BCBD0A85C}" type="TxLink">
            <a:rPr lang="en-US" sz="800" b="1" i="0" u="none" strike="noStrike" dirty="0">
              <a:solidFill>
                <a:srgbClr val="000000"/>
              </a:solidFill>
              <a:latin typeface="Arial"/>
              <a:cs typeface="Arial"/>
            </a:rPr>
            <a:pPr algn="ctr"/>
            <a:t>280.0</a:t>
          </a:fld>
          <a:endParaRPr lang="de-DE" sz="900" b="1" dirty="0">
            <a:latin typeface="Arial" pitchFamily="34" charset="0"/>
            <a:cs typeface="Arial" pitchFamily="34" charset="0"/>
          </a:endParaRPr>
        </a:p>
      </cdr:txBody>
    </cdr:sp>
  </cdr:relSizeAnchor>
</c:userShapes>
</file>

<file path=xl/drawings/drawing7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620185</xdr:colOff>
      <xdr:row>39</xdr:row>
      <xdr:rowOff>113505</xdr:rowOff>
    </xdr:from>
    <xdr:to>
      <xdr:col>12</xdr:col>
      <xdr:colOff>757768</xdr:colOff>
      <xdr:row>67</xdr:row>
      <xdr:rowOff>113505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29</xdr:row>
          <xdr:rowOff>9525</xdr:rowOff>
        </xdr:from>
        <xdr:to>
          <xdr:col>9</xdr:col>
          <xdr:colOff>0</xdr:colOff>
          <xdr:row>30</xdr:row>
          <xdr:rowOff>19050</xdr:rowOff>
        </xdr:to>
        <xdr:sp macro="" textlink="">
          <xdr:nvSpPr>
            <xdr:cNvPr id="9217" name="Scroll Bar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22</xdr:row>
          <xdr:rowOff>9525</xdr:rowOff>
        </xdr:from>
        <xdr:to>
          <xdr:col>9</xdr:col>
          <xdr:colOff>0</xdr:colOff>
          <xdr:row>23</xdr:row>
          <xdr:rowOff>19050</xdr:rowOff>
        </xdr:to>
        <xdr:sp macro="" textlink="">
          <xdr:nvSpPr>
            <xdr:cNvPr id="9218" name="Scroll Bar 2" hidden="1">
              <a:extLst>
                <a:ext uri="{63B3BB69-23CF-44E3-9099-C40C66FF867C}">
                  <a14:compatExt spid="_x0000_s9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</xdr:row>
          <xdr:rowOff>9525</xdr:rowOff>
        </xdr:from>
        <xdr:to>
          <xdr:col>9</xdr:col>
          <xdr:colOff>0</xdr:colOff>
          <xdr:row>16</xdr:row>
          <xdr:rowOff>19050</xdr:rowOff>
        </xdr:to>
        <xdr:sp macro="" textlink="">
          <xdr:nvSpPr>
            <xdr:cNvPr id="9219" name="Scroll Bar 3" hidden="1">
              <a:extLst>
                <a:ext uri="{63B3BB69-23CF-44E3-9099-C40C66FF867C}">
                  <a14:compatExt spid="_x0000_s9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</xdr:row>
          <xdr:rowOff>9525</xdr:rowOff>
        </xdr:from>
        <xdr:to>
          <xdr:col>9</xdr:col>
          <xdr:colOff>0</xdr:colOff>
          <xdr:row>9</xdr:row>
          <xdr:rowOff>19050</xdr:rowOff>
        </xdr:to>
        <xdr:sp macro="" textlink="">
          <xdr:nvSpPr>
            <xdr:cNvPr id="9220" name="Scroll Bar 4" hidden="1">
              <a:extLst>
                <a:ext uri="{63B3BB69-23CF-44E3-9099-C40C66FF867C}">
                  <a14:compatExt spid="_x0000_s9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2</xdr:col>
      <xdr:colOff>266456</xdr:colOff>
      <xdr:row>1</xdr:row>
      <xdr:rowOff>9010</xdr:rowOff>
    </xdr:to>
    <xdr:pic>
      <xdr:nvPicPr>
        <xdr:cNvPr id="8" name="Grafik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79.xml><?xml version="1.0" encoding="utf-8"?>
<c:userShapes xmlns:c="http://schemas.openxmlformats.org/drawingml/2006/chart">
  <cdr:relSizeAnchor xmlns:cdr="http://schemas.openxmlformats.org/drawingml/2006/chartDrawing">
    <cdr:from>
      <cdr:x>0.44439</cdr:x>
      <cdr:y>0.79496</cdr:y>
    </cdr:from>
    <cdr:to>
      <cdr:x>0.54531</cdr:x>
      <cdr:y>0.8724</cdr:y>
    </cdr:to>
    <cdr:sp macro="" textlink="">
      <cdr:nvSpPr>
        <cdr:cNvPr id="3" name="Textfeld 3"/>
        <cdr:cNvSpPr txBox="1"/>
      </cdr:nvSpPr>
      <cdr:spPr>
        <a:xfrm xmlns:a="http://schemas.openxmlformats.org/drawingml/2006/main">
          <a:off x="2610798" y="3509853"/>
          <a:ext cx="592904" cy="3419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DE" sz="800" i="1">
              <a:solidFill>
                <a:srgbClr val="0091DA"/>
              </a:solidFill>
              <a:latin typeface="Arial" pitchFamily="34" charset="0"/>
              <a:cs typeface="Arial" pitchFamily="34" charset="0"/>
            </a:rPr>
            <a:t>3.7 %</a:t>
          </a:r>
        </a:p>
      </cdr:txBody>
    </cdr:sp>
  </cdr:relSizeAnchor>
  <cdr:relSizeAnchor xmlns:cdr="http://schemas.openxmlformats.org/drawingml/2006/chartDrawing">
    <cdr:from>
      <cdr:x>0.50985</cdr:x>
      <cdr:y>0.52104</cdr:y>
    </cdr:from>
    <cdr:to>
      <cdr:x>0.60084</cdr:x>
      <cdr:y>0.56768</cdr:y>
    </cdr:to>
    <cdr:sp macro="" textlink="">
      <cdr:nvSpPr>
        <cdr:cNvPr id="4" name="Textfeld 3"/>
        <cdr:cNvSpPr txBox="1"/>
      </cdr:nvSpPr>
      <cdr:spPr>
        <a:xfrm xmlns:a="http://schemas.openxmlformats.org/drawingml/2006/main">
          <a:off x="2995360" y="2300460"/>
          <a:ext cx="534565" cy="2059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DE" sz="800" i="1">
              <a:solidFill>
                <a:srgbClr val="0091DA"/>
              </a:solidFill>
              <a:latin typeface="Arial" pitchFamily="34" charset="0"/>
              <a:ea typeface="+mn-ea"/>
              <a:cs typeface="Arial" pitchFamily="34" charset="0"/>
            </a:rPr>
            <a:t>2.3</a:t>
          </a:r>
          <a:r>
            <a:rPr lang="de-DE" sz="800" i="1">
              <a:solidFill>
                <a:srgbClr val="0091DA"/>
              </a:solidFill>
              <a:latin typeface="Arial" pitchFamily="34" charset="0"/>
              <a:cs typeface="Arial" pitchFamily="34" charset="0"/>
            </a:rPr>
            <a:t> %</a:t>
          </a:r>
        </a:p>
      </cdr:txBody>
    </cdr:sp>
  </cdr:relSizeAnchor>
  <cdr:relSizeAnchor xmlns:cdr="http://schemas.openxmlformats.org/drawingml/2006/chartDrawing">
    <cdr:from>
      <cdr:x>0.19046</cdr:x>
      <cdr:y>0.79496</cdr:y>
    </cdr:from>
    <cdr:to>
      <cdr:x>0.29138</cdr:x>
      <cdr:y>0.8724</cdr:y>
    </cdr:to>
    <cdr:sp macro="" textlink="">
      <cdr:nvSpPr>
        <cdr:cNvPr id="5" name="Textfeld 3"/>
        <cdr:cNvSpPr txBox="1"/>
      </cdr:nvSpPr>
      <cdr:spPr>
        <a:xfrm xmlns:a="http://schemas.openxmlformats.org/drawingml/2006/main">
          <a:off x="1118962" y="3509854"/>
          <a:ext cx="592905" cy="3419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r>
            <a:rPr lang="de-DE" sz="800" i="1">
              <a:solidFill>
                <a:srgbClr val="0091DA"/>
              </a:solidFill>
              <a:latin typeface="Arial" pitchFamily="34" charset="0"/>
              <a:cs typeface="Arial" pitchFamily="34" charset="0"/>
            </a:rPr>
            <a:t>7.0 %</a:t>
          </a:r>
        </a:p>
      </cdr:txBody>
    </cdr:sp>
  </cdr:relSizeAnchor>
  <cdr:relSizeAnchor xmlns:cdr="http://schemas.openxmlformats.org/drawingml/2006/chartDrawing">
    <cdr:from>
      <cdr:x>0.14037</cdr:x>
      <cdr:y>0.51915</cdr:y>
    </cdr:from>
    <cdr:to>
      <cdr:x>0.24129</cdr:x>
      <cdr:y>0.59658</cdr:y>
    </cdr:to>
    <cdr:sp macro="" textlink="">
      <cdr:nvSpPr>
        <cdr:cNvPr id="6" name="Textfeld 3"/>
        <cdr:cNvSpPr txBox="1"/>
      </cdr:nvSpPr>
      <cdr:spPr>
        <a:xfrm xmlns:a="http://schemas.openxmlformats.org/drawingml/2006/main">
          <a:off x="824667" y="2292106"/>
          <a:ext cx="592905" cy="34186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r>
            <a:rPr lang="de-DE" sz="800" i="1">
              <a:solidFill>
                <a:srgbClr val="0091DA"/>
              </a:solidFill>
              <a:latin typeface="Arial" pitchFamily="34" charset="0"/>
              <a:cs typeface="Arial" pitchFamily="34" charset="0"/>
            </a:rPr>
            <a:t>8.0 %</a:t>
          </a:r>
        </a:p>
      </cdr:txBody>
    </cdr:sp>
  </cdr:relSizeAnchor>
  <cdr:relSizeAnchor xmlns:cdr="http://schemas.openxmlformats.org/drawingml/2006/chartDrawing">
    <cdr:from>
      <cdr:x>0.19764</cdr:x>
      <cdr:y>0.92862</cdr:y>
    </cdr:from>
    <cdr:to>
      <cdr:x>0.55348</cdr:x>
      <cdr:y>0.98393</cdr:y>
    </cdr:to>
    <cdr:sp macro="" textlink="">
      <cdr:nvSpPr>
        <cdr:cNvPr id="7" name="Rechteck 6"/>
        <cdr:cNvSpPr/>
      </cdr:nvSpPr>
      <cdr:spPr>
        <a:xfrm xmlns:a="http://schemas.openxmlformats.org/drawingml/2006/main">
          <a:off x="1161105" y="4099946"/>
          <a:ext cx="2090558" cy="244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de-DE" sz="800" i="1">
              <a:solidFill>
                <a:srgbClr val="0091DA"/>
              </a:solidFill>
              <a:latin typeface="Arial" pitchFamily="34" charset="0"/>
              <a:cs typeface="Arial" pitchFamily="34" charset="0"/>
            </a:rPr>
            <a:t>Market growth rate</a:t>
          </a:r>
          <a:r>
            <a:rPr lang="de-DE" sz="800" i="1" baseline="0">
              <a:solidFill>
                <a:srgbClr val="0091DA"/>
              </a:solidFill>
              <a:latin typeface="Arial" pitchFamily="34" charset="0"/>
              <a:cs typeface="Arial" pitchFamily="34" charset="0"/>
            </a:rPr>
            <a:t> </a:t>
          </a:r>
          <a:r>
            <a:rPr lang="de-DE" sz="800" i="1">
              <a:solidFill>
                <a:srgbClr val="0091DA"/>
              </a:solidFill>
              <a:latin typeface="Arial" pitchFamily="34" charset="0"/>
              <a:cs typeface="Arial" pitchFamily="34" charset="0"/>
            </a:rPr>
            <a:t>(CAGR 2012-2015)</a:t>
          </a:r>
        </a:p>
      </cdr:txBody>
    </cdr:sp>
  </cdr:relSizeAnchor>
  <cdr:relSizeAnchor xmlns:cdr="http://schemas.openxmlformats.org/drawingml/2006/chartDrawing">
    <cdr:from>
      <cdr:x>0.31472</cdr:x>
      <cdr:y>0.38325</cdr:y>
    </cdr:from>
    <cdr:to>
      <cdr:x>0.40589</cdr:x>
      <cdr:y>0.42094</cdr:y>
    </cdr:to>
    <cdr:sp macro="" textlink="">
      <cdr:nvSpPr>
        <cdr:cNvPr id="8" name="Textfeld 2"/>
        <cdr:cNvSpPr txBox="1"/>
      </cdr:nvSpPr>
      <cdr:spPr>
        <a:xfrm xmlns:a="http://schemas.openxmlformats.org/drawingml/2006/main">
          <a:off x="1848970" y="1692088"/>
          <a:ext cx="535641" cy="16640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indent="0"/>
          <a:r>
            <a:rPr lang="de-DE" sz="800" i="1">
              <a:solidFill>
                <a:srgbClr val="0091DA"/>
              </a:solidFill>
              <a:latin typeface="Arial" pitchFamily="34" charset="0"/>
              <a:cs typeface="Arial" pitchFamily="34" charset="0"/>
            </a:rPr>
            <a:t>1.8 %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fr2fsr307\dtg_107\Users\ibertram\AppData\Local\Microsoft\Windows\Temporary%20Internet%20Files\Content.Outlook\K87K15X4\Kosten_GKV_WI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fr2fsr307\dtg_107\Intern\Advisory_T&amp;R_360Matrix_192820\02_Work%20books%20(Module)\60_Bereinigung%20nach%20allen%20&#196;nderungen%20(11-2014)\FINAL_Module_Tools_Valuation%20(Ingo%20Bertram)\Tools\work%20book_Sales%20&amp;%20Gross%20Profit%20Planning_v02_EN_mm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fr2fsr642\sdc\Live\GRP025\114393_6.2\Working\aktueller%20Stand\Work%20Book_Planning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_TM_Balken_Tabelle UE Rohertrag"/>
      <sheetName val="Balken_Tabelle UE Rohertrag EBI"/>
      <sheetName val="Tabelle GuV"/>
      <sheetName val="Balken_Kosten Ergebnismargen"/>
      <sheetName val="Waterfall_EBIT"/>
      <sheetName val="Balken_EBIT-Marge"/>
      <sheetName val="Tabelle_EBIT-Marge"/>
      <sheetName val="Balken_Kostensenkung"/>
      <sheetName val="_TM_Fläche_EBIT Peervgl"/>
      <sheetName val="Fläche_EBIT Peervgl"/>
      <sheetName val="_TM_Fläche_EBIT Analysten"/>
      <sheetName val="Fläche_EBIT Analysten"/>
      <sheetName val="Balken_Budget-FC Vgl"/>
      <sheetName val="Balken_Saisonalität"/>
      <sheetName val="_TM_Tabelle18"/>
      <sheetName val="Tabelle YTD"/>
      <sheetName val="Balken_Budget FC Vgl"/>
      <sheetName val="Tabelle_je MA"/>
      <sheetName val="_TM_Fläche_je MA Peer"/>
      <sheetName val="Fläche_je MA Peer"/>
      <sheetName val="Balken_Persoaufw je MA"/>
      <sheetName val="Balken_Umsatz ja MA"/>
      <sheetName val="Tabelle_Aufriss sbE"/>
      <sheetName val="_TM_Balken_Tabelle Afa Inv"/>
      <sheetName val="Balken_Tabelle Afa Inv"/>
      <sheetName val="_TM_Fläche_Afa_Inv Peervgl"/>
      <sheetName val="Fläche_Afa_Inv Peervgl"/>
      <sheetName val="_TM_Fläche_Afa_Inv Analysten"/>
      <sheetName val="Fläche_Afa_Inv Analysten"/>
    </sheetNames>
    <sheetDataSet>
      <sheetData sheetId="0">
        <row r="5">
          <cell r="B5">
            <v>20</v>
          </cell>
          <cell r="C5">
            <v>22</v>
          </cell>
          <cell r="D5">
            <v>22.5</v>
          </cell>
          <cell r="E5">
            <v>23</v>
          </cell>
          <cell r="F5">
            <v>23</v>
          </cell>
          <cell r="G5">
            <v>25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_TM_Fläche Umsatzwachstum Peerv"/>
      <sheetName val="_TM_Fläche Umsatzwachstum Analy"/>
      <sheetName val="_TM_Bubble_Umsatzanteil Rohmarg"/>
      <sheetName val="_TM_Fläche_Rohmarge Peervgl"/>
      <sheetName val="_TM_Fläche_Rohmarge Analysten"/>
      <sheetName val="Pie_Currency Risks"/>
      <sheetName val="Chart_Plan Forward Exchange Rat"/>
      <sheetName val="_TM_Balken_Kundenverträge"/>
      <sheetName val="Charts_Contracts"/>
    </sheetNames>
    <sheetDataSet>
      <sheetData sheetId="0">
        <row r="22">
          <cell r="B22">
            <v>255</v>
          </cell>
          <cell r="C22">
            <v>267.5</v>
          </cell>
          <cell r="D22">
            <v>278</v>
          </cell>
          <cell r="E22">
            <v>293</v>
          </cell>
          <cell r="F22">
            <v>313</v>
          </cell>
          <cell r="G22">
            <v>344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_TM_Balken_Tabelle UE Rohertrag"/>
      <sheetName val="Contents"/>
      <sheetName val="11_Currency"/>
      <sheetName val="10_Sales &amp; GP"/>
      <sheetName val="10_Sales &amp; GP tables"/>
      <sheetName val="01_P&amp;L_small"/>
      <sheetName val="01_P&amp;L_big"/>
      <sheetName val="02_Comparison"/>
      <sheetName val="_TM_Fläche_EBIT Peervgl"/>
      <sheetName val="_TM_Fläche_EBIT Analysten"/>
      <sheetName val="03_FC vs. Budget"/>
      <sheetName val="04_Cost split up_small"/>
      <sheetName val="04_Cost split up_big"/>
      <sheetName val="05_Cashflow_small (2)"/>
      <sheetName val="05_Cashflow_big"/>
      <sheetName val="06_Financing"/>
      <sheetName val="07_Investments"/>
      <sheetName val="08_Adherence"/>
      <sheetName val="09_Sustainable year"/>
      <sheetName val="99_Others"/>
      <sheetName val="_TM_Fläche_Vertriebsquote Peerv"/>
      <sheetName val="_TM_Folie 5 (5)"/>
      <sheetName val="_TM_Balken_Tabelle Afa Inv"/>
      <sheetName val="_TM_Fläche_Afa_Inv Peervgl"/>
      <sheetName val="_TM_Folie 5 (7)"/>
      <sheetName val="_TM_Fläche_Afa_Inv Analysten"/>
      <sheetName val="_TM_Tabelle12"/>
    </sheetNames>
    <sheetDataSet>
      <sheetData sheetId="0">
        <row r="4">
          <cell r="E4" t="str">
            <v>€m</v>
          </cell>
        </row>
        <row r="54">
          <cell r="D54" t="str">
            <v>EBITDA</v>
          </cell>
          <cell r="E54">
            <v>18</v>
          </cell>
          <cell r="F54">
            <v>19</v>
          </cell>
          <cell r="G54">
            <v>19.5</v>
          </cell>
          <cell r="H54">
            <v>21</v>
          </cell>
          <cell r="I54">
            <v>22</v>
          </cell>
          <cell r="J54">
            <v>26</v>
          </cell>
        </row>
        <row r="68">
          <cell r="E68">
            <v>2010</v>
          </cell>
          <cell r="F68">
            <v>2011</v>
          </cell>
          <cell r="G68">
            <v>2012</v>
          </cell>
          <cell r="H68">
            <v>2013</v>
          </cell>
          <cell r="I68">
            <v>2014</v>
          </cell>
          <cell r="J68">
            <v>2015</v>
          </cell>
        </row>
        <row r="69">
          <cell r="E69" t="str">
            <v>Actual</v>
          </cell>
          <cell r="F69" t="str">
            <v>Actual</v>
          </cell>
          <cell r="G69" t="str">
            <v>Actual</v>
          </cell>
          <cell r="H69" t="str">
            <v>Plan</v>
          </cell>
          <cell r="I69" t="str">
            <v>Plan</v>
          </cell>
          <cell r="J69" t="str">
            <v>Plan</v>
          </cell>
        </row>
        <row r="70">
          <cell r="D70" t="str">
            <v>Sales</v>
          </cell>
          <cell r="E70">
            <v>50</v>
          </cell>
          <cell r="F70">
            <v>54</v>
          </cell>
          <cell r="G70">
            <v>56</v>
          </cell>
          <cell r="H70">
            <v>59</v>
          </cell>
          <cell r="I70">
            <v>61</v>
          </cell>
          <cell r="J70">
            <v>67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New Brand">
  <a:themeElements>
    <a:clrScheme name="New KPMG Colours">
      <a:dk1>
        <a:srgbClr val="000000"/>
      </a:dk1>
      <a:lt1>
        <a:sysClr val="window" lastClr="FFFFFF"/>
      </a:lt1>
      <a:dk2>
        <a:srgbClr val="00338D"/>
      </a:dk2>
      <a:lt2>
        <a:srgbClr val="F0F0F0"/>
      </a:lt2>
      <a:accent1>
        <a:srgbClr val="0091DA"/>
      </a:accent1>
      <a:accent2>
        <a:srgbClr val="6D2077"/>
      </a:accent2>
      <a:accent3>
        <a:srgbClr val="005EB8"/>
      </a:accent3>
      <a:accent4>
        <a:srgbClr val="00A3A1"/>
      </a:accent4>
      <a:accent5>
        <a:srgbClr val="EAAA00"/>
      </a:accent5>
      <a:accent6>
        <a:srgbClr val="43B02A"/>
      </a:accent6>
      <a:hlink>
        <a:srgbClr val="0091DA"/>
      </a:hlink>
      <a:folHlink>
        <a:srgbClr val="0091DA"/>
      </a:folHlink>
    </a:clrScheme>
    <a:fontScheme name="KPMG">
      <a:majorFont>
        <a:latin typeface="KPMG Extralight"/>
        <a:ea typeface=""/>
        <a:cs typeface=""/>
      </a:majorFont>
      <a:minorFont>
        <a:latin typeface="Arial"/>
        <a:ea typeface=""/>
        <a:cs typeface="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ln>
          <a:noFill/>
        </a:ln>
      </a:spPr>
      <a:bodyPr lIns="54000" tIns="54000" rIns="54000" bIns="54000" rtlCol="0" anchor="ctr"/>
      <a:lstStyle>
        <a:defPPr algn="ctr">
          <a:defRPr sz="900" dirty="0" err="1" smtClean="0">
            <a:solidFill>
              <a:schemeClr val="bg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solidFill>
            <a:schemeClr val="bg2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54610" tIns="54610" rIns="54610" bIns="54610" rtlCol="0">
        <a:noAutofit/>
      </a:bodyPr>
      <a:lstStyle>
        <a:defPPr>
          <a:spcAft>
            <a:spcPts val="600"/>
          </a:spcAft>
          <a:defRPr sz="900" dirty="0" err="1" smtClean="0">
            <a:solidFill>
              <a:schemeClr val="tx2"/>
            </a:solidFill>
          </a:defRPr>
        </a:defPPr>
      </a:lstStyle>
    </a:txDef>
  </a:objectDefaults>
  <a:extraClrSchemeLst/>
  <a:custClrLst>
    <a:custClr name="KPMG Blue">
      <a:srgbClr val="00338D"/>
    </a:custClr>
    <a:custClr name="Medium Blue">
      <a:srgbClr val="005EB8"/>
    </a:custClr>
    <a:custClr name="Light Blue">
      <a:srgbClr val="0091DA"/>
    </a:custClr>
    <a:custClr name="Violet">
      <a:srgbClr val="483698"/>
    </a:custClr>
    <a:custClr name="Purple">
      <a:srgbClr val="470A68"/>
    </a:custClr>
    <a:custClr name="Light Purple">
      <a:srgbClr val="6D2077"/>
    </a:custClr>
    <a:custClr name="Green">
      <a:srgbClr val="00A3A1"/>
    </a:custClr>
    <a:custClr name="Dark Green">
      <a:srgbClr val="009A44"/>
    </a:custClr>
    <a:custClr name="Light Green">
      <a:srgbClr val="43B02A"/>
    </a:custClr>
    <a:custClr name="Yellow">
      <a:srgbClr val="EAAA00"/>
    </a:custClr>
    <a:custClr name="Orange">
      <a:srgbClr val="F68D2E"/>
    </a:custClr>
    <a:custClr name="Red ">
      <a:srgbClr val="BC204B"/>
    </a:custClr>
    <a:custClr name="Pink">
      <a:srgbClr val="C6007E"/>
    </a:custClr>
    <a:custClr name="Dark Brown">
      <a:srgbClr val="753F19"/>
    </a:custClr>
    <a:custClr name="Light Brown">
      <a:srgbClr val="9B642E"/>
    </a:custClr>
    <a:custClr name="Olive">
      <a:srgbClr val="9D9375"/>
    </a:custClr>
    <a:custClr name="Beige">
      <a:srgbClr val="E3BC9F"/>
    </a:custClr>
    <a:custClr name="Light Pink">
      <a:srgbClr val="E36877"/>
    </a:custClr>
  </a:custClrLst>
  <a:extLst>
    <a:ext uri="{05A4C25C-085E-4340-85A3-A5531E510DB2}">
      <thm15:themeFamily xmlns:thm15="http://schemas.microsoft.com/office/thememl/2012/main" name="New Brand" id="{5D227A78-1C88-4FAA-8970-91B2BED1D2F5}" vid="{D48091E0-B5B5-46C3-B705-994CB908A540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6.xml"/><Relationship Id="rId2" Type="http://schemas.openxmlformats.org/officeDocument/2006/relationships/drawing" Target="../drawings/drawing78.xml"/><Relationship Id="rId1" Type="http://schemas.openxmlformats.org/officeDocument/2006/relationships/printerSettings" Target="../printerSettings/printerSettings18.bin"/><Relationship Id="rId6" Type="http://schemas.openxmlformats.org/officeDocument/2006/relationships/ctrlProp" Target="../ctrlProps/ctrlProp5.xml"/><Relationship Id="rId5" Type="http://schemas.openxmlformats.org/officeDocument/2006/relationships/ctrlProp" Target="../ctrlProps/ctrlProp4.xml"/><Relationship Id="rId4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">
    <tabColor rgb="FFFFC000"/>
  </sheetPr>
  <dimension ref="A1:K82"/>
  <sheetViews>
    <sheetView zoomScale="115" zoomScaleNormal="115" workbookViewId="0">
      <selection activeCell="B3" sqref="B3"/>
    </sheetView>
  </sheetViews>
  <sheetFormatPr defaultColWidth="11.5" defaultRowHeight="11.25" outlineLevelRow="1"/>
  <cols>
    <col min="1" max="1" width="1.83203125" style="25" customWidth="1"/>
    <col min="2" max="2" width="5.83203125" style="25" customWidth="1"/>
    <col min="3" max="3" width="2.1640625" style="25" customWidth="1"/>
    <col min="4" max="4" width="34.83203125" style="25" customWidth="1"/>
    <col min="5" max="16384" width="11.5" style="25"/>
  </cols>
  <sheetData>
    <row r="1" spans="1:11" ht="20.25" customHeight="1">
      <c r="A1" s="26" t="s">
        <v>95</v>
      </c>
      <c r="B1" s="26"/>
      <c r="C1" s="26"/>
    </row>
    <row r="2" spans="1:11" ht="14.25" customHeight="1"/>
    <row r="3" spans="1:11" ht="14.25" customHeight="1">
      <c r="D3" s="34" t="s">
        <v>103</v>
      </c>
      <c r="E3" s="50" t="s">
        <v>3</v>
      </c>
      <c r="F3" s="51"/>
      <c r="G3" s="51"/>
      <c r="H3" s="51"/>
      <c r="I3" s="51"/>
      <c r="J3" s="52"/>
    </row>
    <row r="4" spans="1:11" ht="14.25" customHeight="1">
      <c r="D4" s="25" t="s">
        <v>104</v>
      </c>
      <c r="E4" s="49" t="s">
        <v>97</v>
      </c>
    </row>
    <row r="5" spans="1:11" ht="14.25" customHeight="1"/>
    <row r="6" spans="1:11" ht="14.25" customHeight="1">
      <c r="B6" s="25">
        <v>1</v>
      </c>
    </row>
    <row r="7" spans="1:11" ht="14.25" customHeight="1"/>
    <row r="8" spans="1:11" ht="14.25" customHeight="1"/>
    <row r="9" spans="1:11" ht="14.25" customHeight="1"/>
    <row r="10" spans="1:11" ht="14.25" hidden="1" customHeight="1" outlineLevel="1">
      <c r="B10" s="128" t="s">
        <v>101</v>
      </c>
    </row>
    <row r="11" spans="1:11" ht="14.25" hidden="1" customHeight="1" outlineLevel="1"/>
    <row r="12" spans="1:11" ht="14.25" hidden="1" customHeight="1" outlineLevel="1">
      <c r="B12" s="781" t="s">
        <v>101</v>
      </c>
      <c r="E12" s="129">
        <v>2010</v>
      </c>
      <c r="F12" s="29">
        <f>E12+1</f>
        <v>2011</v>
      </c>
      <c r="G12" s="29">
        <f>F12+1</f>
        <v>2012</v>
      </c>
      <c r="H12" s="29">
        <f>G12+1</f>
        <v>2013</v>
      </c>
      <c r="I12" s="29">
        <f>H12+1</f>
        <v>2014</v>
      </c>
      <c r="J12" s="29">
        <f>I12+1</f>
        <v>2015</v>
      </c>
    </row>
    <row r="13" spans="1:11" ht="14.25" hidden="1" customHeight="1" outlineLevel="1" thickBot="1">
      <c r="B13" s="782"/>
      <c r="D13" s="25" t="str">
        <f>E4</f>
        <v>€m</v>
      </c>
      <c r="E13" s="29" t="s">
        <v>51</v>
      </c>
      <c r="F13" s="29" t="str">
        <f>E13</f>
        <v>Actual</v>
      </c>
      <c r="G13" s="29" t="str">
        <f>F13</f>
        <v>Actual</v>
      </c>
      <c r="H13" s="29" t="s">
        <v>2</v>
      </c>
      <c r="I13" s="29" t="str">
        <f>H13</f>
        <v>Plan</v>
      </c>
      <c r="J13" s="29" t="str">
        <f>I13</f>
        <v>Plan</v>
      </c>
    </row>
    <row r="14" spans="1:11" ht="5.25" hidden="1" customHeight="1" outlineLevel="1">
      <c r="B14" s="782"/>
      <c r="D14" s="30"/>
      <c r="E14" s="30"/>
      <c r="F14" s="30"/>
      <c r="G14" s="30"/>
      <c r="H14" s="30"/>
      <c r="I14" s="30"/>
      <c r="J14" s="30"/>
    </row>
    <row r="15" spans="1:11" ht="14.25" hidden="1" customHeight="1" outlineLevel="1">
      <c r="B15" s="782"/>
      <c r="D15" s="25" t="s">
        <v>47</v>
      </c>
      <c r="E15" s="32">
        <v>50</v>
      </c>
      <c r="F15" s="32">
        <v>54</v>
      </c>
      <c r="G15" s="32">
        <v>56</v>
      </c>
      <c r="H15" s="32">
        <v>59</v>
      </c>
      <c r="I15" s="32">
        <v>61</v>
      </c>
      <c r="J15" s="32">
        <v>67</v>
      </c>
    </row>
    <row r="16" spans="1:11" ht="14.25" hidden="1" customHeight="1" outlineLevel="1">
      <c r="B16" s="782"/>
      <c r="C16" s="27"/>
      <c r="D16" s="37" t="s">
        <v>588</v>
      </c>
      <c r="E16" s="32">
        <v>25</v>
      </c>
      <c r="F16" s="32">
        <v>27</v>
      </c>
      <c r="G16" s="32">
        <v>28</v>
      </c>
      <c r="H16" s="32">
        <v>29</v>
      </c>
      <c r="I16" s="32">
        <v>29.5</v>
      </c>
      <c r="J16" s="32">
        <v>31.5</v>
      </c>
      <c r="K16" s="27"/>
    </row>
    <row r="17" spans="2:11" ht="14.25" hidden="1" customHeight="1" outlineLevel="1">
      <c r="B17" s="782"/>
      <c r="C17" s="27"/>
      <c r="D17" s="37" t="s">
        <v>589</v>
      </c>
      <c r="E17" s="31">
        <f>E16/E15</f>
        <v>0.5</v>
      </c>
      <c r="F17" s="31">
        <f t="shared" ref="F17:J17" si="0">F16/F15</f>
        <v>0.5</v>
      </c>
      <c r="G17" s="31">
        <f t="shared" si="0"/>
        <v>0.5</v>
      </c>
      <c r="H17" s="31">
        <f t="shared" si="0"/>
        <v>0.49152542372881358</v>
      </c>
      <c r="I17" s="31">
        <f t="shared" si="0"/>
        <v>0.48360655737704916</v>
      </c>
      <c r="J17" s="31">
        <f t="shared" si="0"/>
        <v>0.47014925373134331</v>
      </c>
      <c r="K17" s="27"/>
    </row>
    <row r="18" spans="2:11" ht="14.25" hidden="1" customHeight="1" outlineLevel="1">
      <c r="B18" s="782"/>
      <c r="D18" s="35" t="s">
        <v>48</v>
      </c>
      <c r="E18" s="36">
        <f>E15-E16</f>
        <v>25</v>
      </c>
      <c r="F18" s="36">
        <f t="shared" ref="F18:J18" si="1">F15-F16</f>
        <v>27</v>
      </c>
      <c r="G18" s="36">
        <f t="shared" si="1"/>
        <v>28</v>
      </c>
      <c r="H18" s="36">
        <f t="shared" si="1"/>
        <v>30</v>
      </c>
      <c r="I18" s="36">
        <f t="shared" si="1"/>
        <v>31.5</v>
      </c>
      <c r="J18" s="36">
        <f t="shared" si="1"/>
        <v>35.5</v>
      </c>
    </row>
    <row r="19" spans="2:11" ht="14.25" hidden="1" customHeight="1" outlineLevel="1">
      <c r="B19" s="782"/>
      <c r="D19" s="38" t="s">
        <v>49</v>
      </c>
      <c r="E19" s="31">
        <f>E18/E15</f>
        <v>0.5</v>
      </c>
      <c r="F19" s="31">
        <f t="shared" ref="F19:J19" si="2">F18/F15</f>
        <v>0.5</v>
      </c>
      <c r="G19" s="31">
        <f t="shared" si="2"/>
        <v>0.5</v>
      </c>
      <c r="H19" s="31">
        <f t="shared" si="2"/>
        <v>0.50847457627118642</v>
      </c>
      <c r="I19" s="31">
        <f t="shared" si="2"/>
        <v>0.51639344262295084</v>
      </c>
      <c r="J19" s="31">
        <f t="shared" si="2"/>
        <v>0.52985074626865669</v>
      </c>
    </row>
    <row r="20" spans="2:11" ht="14.25" hidden="1" customHeight="1" outlineLevel="1">
      <c r="B20" s="782"/>
      <c r="D20" s="37" t="s">
        <v>55</v>
      </c>
      <c r="E20" s="32">
        <v>0</v>
      </c>
      <c r="F20" s="32">
        <v>0</v>
      </c>
      <c r="G20" s="32">
        <v>0</v>
      </c>
      <c r="H20" s="32">
        <v>0</v>
      </c>
      <c r="I20" s="32">
        <v>0</v>
      </c>
      <c r="J20" s="32">
        <v>0</v>
      </c>
    </row>
    <row r="21" spans="2:11" ht="14.25" hidden="1" customHeight="1" outlineLevel="1">
      <c r="B21" s="782"/>
      <c r="D21" s="37" t="s">
        <v>591</v>
      </c>
      <c r="E21" s="31">
        <f>E20/E15</f>
        <v>0</v>
      </c>
      <c r="F21" s="31">
        <f t="shared" ref="F21:J21" si="3">F20/F15</f>
        <v>0</v>
      </c>
      <c r="G21" s="31">
        <f t="shared" si="3"/>
        <v>0</v>
      </c>
      <c r="H21" s="31">
        <f t="shared" si="3"/>
        <v>0</v>
      </c>
      <c r="I21" s="31">
        <f t="shared" si="3"/>
        <v>0</v>
      </c>
      <c r="J21" s="31">
        <f t="shared" si="3"/>
        <v>0</v>
      </c>
    </row>
    <row r="22" spans="2:11" ht="14.25" hidden="1" customHeight="1" outlineLevel="1">
      <c r="B22" s="782"/>
      <c r="D22" s="37" t="s">
        <v>584</v>
      </c>
      <c r="E22" s="32">
        <v>7</v>
      </c>
      <c r="F22" s="32">
        <v>8</v>
      </c>
      <c r="G22" s="32">
        <v>8.5</v>
      </c>
      <c r="H22" s="32">
        <v>9</v>
      </c>
      <c r="I22" s="32">
        <v>9.5</v>
      </c>
      <c r="J22" s="32">
        <v>10.5</v>
      </c>
    </row>
    <row r="23" spans="2:11" ht="14.25" hidden="1" customHeight="1" outlineLevel="1">
      <c r="B23" s="782"/>
      <c r="D23" s="37" t="s">
        <v>585</v>
      </c>
      <c r="E23" s="31">
        <f>E22/E15</f>
        <v>0.14000000000000001</v>
      </c>
      <c r="F23" s="31">
        <f t="shared" ref="F23:J23" si="4">F22/F15</f>
        <v>0.14814814814814814</v>
      </c>
      <c r="G23" s="31">
        <f t="shared" si="4"/>
        <v>0.15178571428571427</v>
      </c>
      <c r="H23" s="31">
        <f t="shared" si="4"/>
        <v>0.15254237288135594</v>
      </c>
      <c r="I23" s="31">
        <f t="shared" si="4"/>
        <v>0.15573770491803279</v>
      </c>
      <c r="J23" s="31">
        <f t="shared" si="4"/>
        <v>0.15671641791044777</v>
      </c>
    </row>
    <row r="24" spans="2:11" ht="14.25" hidden="1" customHeight="1" outlineLevel="1">
      <c r="B24" s="782"/>
      <c r="D24" s="37" t="s">
        <v>586</v>
      </c>
      <c r="E24" s="32">
        <v>3</v>
      </c>
      <c r="F24" s="32">
        <v>3</v>
      </c>
      <c r="G24" s="32">
        <v>3</v>
      </c>
      <c r="H24" s="32">
        <v>3</v>
      </c>
      <c r="I24" s="32">
        <v>3</v>
      </c>
      <c r="J24" s="32">
        <v>4</v>
      </c>
    </row>
    <row r="25" spans="2:11" ht="14.25" hidden="1" customHeight="1" outlineLevel="1">
      <c r="B25" s="782"/>
      <c r="D25" s="37" t="s">
        <v>590</v>
      </c>
      <c r="E25" s="31">
        <f>E24/E15</f>
        <v>0.06</v>
      </c>
      <c r="F25" s="31">
        <f t="shared" ref="F25:J25" si="5">F24/F15</f>
        <v>5.5555555555555552E-2</v>
      </c>
      <c r="G25" s="31">
        <f t="shared" si="5"/>
        <v>5.3571428571428568E-2</v>
      </c>
      <c r="H25" s="31">
        <f t="shared" si="5"/>
        <v>5.0847457627118647E-2</v>
      </c>
      <c r="I25" s="31">
        <f t="shared" si="5"/>
        <v>4.9180327868852458E-2</v>
      </c>
      <c r="J25" s="31">
        <f t="shared" si="5"/>
        <v>5.9701492537313432E-2</v>
      </c>
    </row>
    <row r="26" spans="2:11" ht="14.25" hidden="1" customHeight="1" outlineLevel="1">
      <c r="B26" s="782"/>
      <c r="D26" s="37" t="s">
        <v>89</v>
      </c>
      <c r="E26" s="32">
        <v>-8</v>
      </c>
      <c r="F26" s="32">
        <v>-8</v>
      </c>
      <c r="G26" s="32">
        <v>-8</v>
      </c>
      <c r="H26" s="32">
        <v>-8</v>
      </c>
      <c r="I26" s="32">
        <v>-8</v>
      </c>
      <c r="J26" s="32">
        <v>-8</v>
      </c>
    </row>
    <row r="27" spans="2:11" ht="14.25" hidden="1" customHeight="1" outlineLevel="1">
      <c r="B27" s="782"/>
      <c r="D27" s="37" t="s">
        <v>90</v>
      </c>
      <c r="E27" s="31">
        <f>E26/E15</f>
        <v>-0.16</v>
      </c>
      <c r="F27" s="31">
        <f t="shared" ref="F27:J27" si="6">F26/F15</f>
        <v>-0.14814814814814814</v>
      </c>
      <c r="G27" s="31">
        <f t="shared" si="6"/>
        <v>-0.14285714285714285</v>
      </c>
      <c r="H27" s="31">
        <f t="shared" si="6"/>
        <v>-0.13559322033898305</v>
      </c>
      <c r="I27" s="31">
        <f t="shared" si="6"/>
        <v>-0.13114754098360656</v>
      </c>
      <c r="J27" s="31">
        <f t="shared" si="6"/>
        <v>-0.11940298507462686</v>
      </c>
    </row>
    <row r="28" spans="2:11" ht="14.25" hidden="1" customHeight="1" outlineLevel="1">
      <c r="B28" s="782"/>
      <c r="D28" s="40" t="s">
        <v>92</v>
      </c>
      <c r="E28" s="41">
        <f>SUM(E16+E20+E22+E24-E26)</f>
        <v>43</v>
      </c>
      <c r="F28" s="41">
        <f t="shared" ref="F28:J28" si="7">SUM(F16+F20+F22+F24-F26)</f>
        <v>46</v>
      </c>
      <c r="G28" s="41">
        <f t="shared" si="7"/>
        <v>47.5</v>
      </c>
      <c r="H28" s="41">
        <f t="shared" si="7"/>
        <v>49</v>
      </c>
      <c r="I28" s="41">
        <f t="shared" si="7"/>
        <v>50</v>
      </c>
      <c r="J28" s="41">
        <f t="shared" si="7"/>
        <v>54</v>
      </c>
    </row>
    <row r="29" spans="2:11" ht="14.25" hidden="1" customHeight="1" outlineLevel="1">
      <c r="B29" s="782"/>
      <c r="D29" s="44" t="s">
        <v>102</v>
      </c>
      <c r="E29" s="32">
        <v>5</v>
      </c>
      <c r="F29" s="32">
        <v>5</v>
      </c>
      <c r="G29" s="32">
        <v>5</v>
      </c>
      <c r="H29" s="32">
        <v>5</v>
      </c>
      <c r="I29" s="32">
        <v>5</v>
      </c>
      <c r="J29" s="32">
        <v>5</v>
      </c>
    </row>
    <row r="30" spans="2:11" ht="14.25" hidden="1" customHeight="1" outlineLevel="1">
      <c r="B30" s="782"/>
      <c r="D30" s="44" t="s">
        <v>59</v>
      </c>
      <c r="E30" s="43">
        <f t="shared" ref="E30:J30" si="8">E29/E15</f>
        <v>0.1</v>
      </c>
      <c r="F30" s="43">
        <f t="shared" si="8"/>
        <v>9.2592592592592587E-2</v>
      </c>
      <c r="G30" s="43">
        <f t="shared" si="8"/>
        <v>8.9285714285714288E-2</v>
      </c>
      <c r="H30" s="43">
        <f t="shared" si="8"/>
        <v>8.4745762711864403E-2</v>
      </c>
      <c r="I30" s="43">
        <f t="shared" si="8"/>
        <v>8.1967213114754092E-2</v>
      </c>
      <c r="J30" s="43">
        <f t="shared" si="8"/>
        <v>7.4626865671641784E-2</v>
      </c>
    </row>
    <row r="31" spans="2:11" s="42" customFormat="1" ht="14.25" hidden="1" customHeight="1" outlineLevel="1">
      <c r="B31" s="782"/>
      <c r="D31" s="35" t="s">
        <v>0</v>
      </c>
      <c r="E31" s="45">
        <f>E33+E29</f>
        <v>12</v>
      </c>
      <c r="F31" s="45">
        <f t="shared" ref="F31:J31" si="9">F33+F29</f>
        <v>13</v>
      </c>
      <c r="G31" s="45">
        <f t="shared" si="9"/>
        <v>13.5</v>
      </c>
      <c r="H31" s="45">
        <f>H33+H29</f>
        <v>15</v>
      </c>
      <c r="I31" s="45">
        <f t="shared" si="9"/>
        <v>16</v>
      </c>
      <c r="J31" s="45">
        <f t="shared" si="9"/>
        <v>18</v>
      </c>
    </row>
    <row r="32" spans="2:11" s="42" customFormat="1" ht="14.25" hidden="1" customHeight="1" outlineLevel="1">
      <c r="B32" s="782"/>
      <c r="D32" s="25" t="s">
        <v>50</v>
      </c>
      <c r="E32" s="31">
        <f t="shared" ref="E32:J32" si="10">E31/E15</f>
        <v>0.24</v>
      </c>
      <c r="F32" s="31">
        <f t="shared" si="10"/>
        <v>0.24074074074074073</v>
      </c>
      <c r="G32" s="31">
        <f t="shared" si="10"/>
        <v>0.24107142857142858</v>
      </c>
      <c r="H32" s="31">
        <f t="shared" si="10"/>
        <v>0.25423728813559321</v>
      </c>
      <c r="I32" s="31">
        <f t="shared" si="10"/>
        <v>0.26229508196721313</v>
      </c>
      <c r="J32" s="31">
        <f t="shared" si="10"/>
        <v>0.26865671641791045</v>
      </c>
    </row>
    <row r="33" spans="2:10" s="34" customFormat="1" ht="14.25" hidden="1" customHeight="1" outlineLevel="1">
      <c r="B33" s="782"/>
      <c r="D33" s="40" t="s">
        <v>1</v>
      </c>
      <c r="E33" s="41">
        <f>E18-E20-E22-E24+E26</f>
        <v>7</v>
      </c>
      <c r="F33" s="41">
        <f t="shared" ref="F33:J33" si="11">F18-F20-F22-F24+F26</f>
        <v>8</v>
      </c>
      <c r="G33" s="41">
        <f t="shared" si="11"/>
        <v>8.5</v>
      </c>
      <c r="H33" s="41">
        <f t="shared" si="11"/>
        <v>10</v>
      </c>
      <c r="I33" s="41">
        <f t="shared" si="11"/>
        <v>11</v>
      </c>
      <c r="J33" s="41">
        <f t="shared" si="11"/>
        <v>13</v>
      </c>
    </row>
    <row r="34" spans="2:10" ht="14.25" hidden="1" customHeight="1" outlineLevel="1">
      <c r="B34" s="782"/>
      <c r="D34" s="69" t="s">
        <v>45</v>
      </c>
      <c r="E34" s="70">
        <f t="shared" ref="E34:J34" si="12">E33/E15</f>
        <v>0.14000000000000001</v>
      </c>
      <c r="F34" s="70">
        <f t="shared" si="12"/>
        <v>0.14814814814814814</v>
      </c>
      <c r="G34" s="70">
        <f t="shared" si="12"/>
        <v>0.15178571428571427</v>
      </c>
      <c r="H34" s="70">
        <f t="shared" si="12"/>
        <v>0.16949152542372881</v>
      </c>
      <c r="I34" s="70">
        <f t="shared" si="12"/>
        <v>0.18032786885245902</v>
      </c>
      <c r="J34" s="70">
        <f t="shared" si="12"/>
        <v>0.19402985074626866</v>
      </c>
    </row>
    <row r="35" spans="2:10" ht="2.25" hidden="1" customHeight="1" outlineLevel="1">
      <c r="B35" s="782"/>
    </row>
    <row r="36" spans="2:10" ht="14.25" hidden="1" customHeight="1" outlineLevel="1">
      <c r="B36" s="782"/>
      <c r="D36" s="25" t="s">
        <v>52</v>
      </c>
      <c r="E36" s="32">
        <v>1</v>
      </c>
      <c r="F36" s="32">
        <v>1.2</v>
      </c>
      <c r="G36" s="32">
        <v>1.2</v>
      </c>
      <c r="H36" s="32">
        <v>1.3</v>
      </c>
      <c r="I36" s="32">
        <v>1.2</v>
      </c>
      <c r="J36" s="32">
        <v>1.3</v>
      </c>
    </row>
    <row r="37" spans="2:10" ht="12.75" hidden="1" customHeight="1" outlineLevel="1">
      <c r="B37" s="782"/>
      <c r="D37" s="25" t="s">
        <v>53</v>
      </c>
      <c r="E37" s="32">
        <v>6.6</v>
      </c>
      <c r="F37" s="32">
        <v>6.84</v>
      </c>
      <c r="G37" s="32">
        <v>6.99</v>
      </c>
      <c r="H37" s="32">
        <v>7.4099999999999993</v>
      </c>
      <c r="I37" s="32">
        <v>7.74</v>
      </c>
      <c r="J37" s="32">
        <v>8.3099999999999987</v>
      </c>
    </row>
    <row r="38" spans="2:10" ht="14.25" hidden="1" customHeight="1" outlineLevel="1">
      <c r="B38" s="39"/>
    </row>
    <row r="39" spans="2:10" hidden="1" outlineLevel="1"/>
    <row r="40" spans="2:10" ht="12" hidden="1" outlineLevel="1">
      <c r="B40" s="128" t="s">
        <v>168</v>
      </c>
    </row>
    <row r="41" spans="2:10" hidden="1" outlineLevel="1"/>
    <row r="42" spans="2:10" ht="14.25" hidden="1" customHeight="1" outlineLevel="1">
      <c r="B42" s="783" t="s">
        <v>168</v>
      </c>
      <c r="E42" s="129">
        <v>2010</v>
      </c>
      <c r="F42" s="29">
        <f>E42+1</f>
        <v>2011</v>
      </c>
      <c r="G42" s="29">
        <f t="shared" ref="G42:J42" si="13">F42+1</f>
        <v>2012</v>
      </c>
      <c r="H42" s="29">
        <f t="shared" si="13"/>
        <v>2013</v>
      </c>
      <c r="I42" s="29">
        <f t="shared" si="13"/>
        <v>2014</v>
      </c>
      <c r="J42" s="29">
        <f t="shared" si="13"/>
        <v>2015</v>
      </c>
    </row>
    <row r="43" spans="2:10" ht="14.25" hidden="1" customHeight="1" outlineLevel="1" thickBot="1">
      <c r="B43" s="783"/>
      <c r="D43" s="25" t="str">
        <f>E4</f>
        <v>€m</v>
      </c>
      <c r="E43" s="29" t="s">
        <v>51</v>
      </c>
      <c r="F43" s="29" t="str">
        <f>E43</f>
        <v>Actual</v>
      </c>
      <c r="G43" s="29" t="str">
        <f>F43</f>
        <v>Actual</v>
      </c>
      <c r="H43" s="29" t="s">
        <v>2</v>
      </c>
      <c r="I43" s="29" t="str">
        <f>H43</f>
        <v>Plan</v>
      </c>
      <c r="J43" s="29" t="str">
        <f>I43</f>
        <v>Plan</v>
      </c>
    </row>
    <row r="44" spans="2:10" ht="3" hidden="1" customHeight="1" outlineLevel="1">
      <c r="B44" s="783"/>
      <c r="D44" s="30"/>
      <c r="E44" s="30"/>
      <c r="F44" s="30"/>
      <c r="G44" s="30"/>
      <c r="H44" s="30"/>
      <c r="I44" s="30"/>
      <c r="J44" s="30"/>
    </row>
    <row r="45" spans="2:10" ht="14.25" hidden="1" customHeight="1" outlineLevel="1">
      <c r="B45" s="783"/>
      <c r="D45" s="25" t="s">
        <v>47</v>
      </c>
      <c r="E45" s="32">
        <v>50</v>
      </c>
      <c r="F45" s="32">
        <v>54</v>
      </c>
      <c r="G45" s="32">
        <v>56</v>
      </c>
      <c r="H45" s="32">
        <v>59</v>
      </c>
      <c r="I45" s="32">
        <v>61</v>
      </c>
      <c r="J45" s="32">
        <v>67</v>
      </c>
    </row>
    <row r="46" spans="2:10" ht="14.25" hidden="1" customHeight="1" outlineLevel="1">
      <c r="B46" s="783"/>
      <c r="D46" s="37" t="s">
        <v>169</v>
      </c>
      <c r="E46" s="32">
        <v>20</v>
      </c>
      <c r="F46" s="32">
        <v>22</v>
      </c>
      <c r="G46" s="32">
        <v>22.5</v>
      </c>
      <c r="H46" s="32">
        <v>23</v>
      </c>
      <c r="I46" s="32">
        <v>23</v>
      </c>
      <c r="J46" s="32">
        <v>25</v>
      </c>
    </row>
    <row r="47" spans="2:10" ht="14.25" hidden="1" customHeight="1" outlineLevel="1">
      <c r="B47" s="783"/>
      <c r="D47" s="37" t="s">
        <v>170</v>
      </c>
      <c r="E47" s="31">
        <f t="shared" ref="E47:J47" si="14">E46/E45</f>
        <v>0.4</v>
      </c>
      <c r="F47" s="31">
        <f t="shared" si="14"/>
        <v>0.40740740740740738</v>
      </c>
      <c r="G47" s="31">
        <f t="shared" si="14"/>
        <v>0.4017857142857143</v>
      </c>
      <c r="H47" s="31">
        <f t="shared" si="14"/>
        <v>0.38983050847457629</v>
      </c>
      <c r="I47" s="31">
        <f t="shared" si="14"/>
        <v>0.37704918032786883</v>
      </c>
      <c r="J47" s="31">
        <f t="shared" si="14"/>
        <v>0.37313432835820898</v>
      </c>
    </row>
    <row r="48" spans="2:10" ht="14.25" hidden="1" customHeight="1" outlineLevel="1">
      <c r="B48" s="783"/>
      <c r="D48" s="35" t="s">
        <v>48</v>
      </c>
      <c r="E48" s="36">
        <f t="shared" ref="E48:J48" si="15">E45-E46</f>
        <v>30</v>
      </c>
      <c r="F48" s="36">
        <f t="shared" si="15"/>
        <v>32</v>
      </c>
      <c r="G48" s="36">
        <f t="shared" si="15"/>
        <v>33.5</v>
      </c>
      <c r="H48" s="36">
        <f t="shared" si="15"/>
        <v>36</v>
      </c>
      <c r="I48" s="36">
        <f t="shared" si="15"/>
        <v>38</v>
      </c>
      <c r="J48" s="36">
        <f t="shared" si="15"/>
        <v>42</v>
      </c>
    </row>
    <row r="49" spans="2:10" ht="14.25" hidden="1" customHeight="1" outlineLevel="1">
      <c r="B49" s="783"/>
      <c r="D49" s="38" t="s">
        <v>49</v>
      </c>
      <c r="E49" s="31">
        <f t="shared" ref="E49:J49" si="16">E48/E45</f>
        <v>0.6</v>
      </c>
      <c r="F49" s="31">
        <f t="shared" si="16"/>
        <v>0.59259259259259256</v>
      </c>
      <c r="G49" s="31">
        <f t="shared" si="16"/>
        <v>0.5982142857142857</v>
      </c>
      <c r="H49" s="31">
        <f t="shared" si="16"/>
        <v>0.61016949152542377</v>
      </c>
      <c r="I49" s="31">
        <f t="shared" si="16"/>
        <v>0.62295081967213117</v>
      </c>
      <c r="J49" s="31">
        <f t="shared" si="16"/>
        <v>0.62686567164179108</v>
      </c>
    </row>
    <row r="50" spans="2:10" ht="14.25" hidden="1" customHeight="1" outlineLevel="1">
      <c r="B50" s="783"/>
      <c r="D50" s="37" t="s">
        <v>598</v>
      </c>
      <c r="E50" s="32">
        <v>15</v>
      </c>
      <c r="F50" s="32">
        <v>16</v>
      </c>
      <c r="G50" s="32">
        <v>17</v>
      </c>
      <c r="H50" s="32">
        <v>18</v>
      </c>
      <c r="I50" s="32">
        <v>19</v>
      </c>
      <c r="J50" s="32">
        <v>20</v>
      </c>
    </row>
    <row r="51" spans="2:10" ht="14.25" hidden="1" customHeight="1" outlineLevel="1">
      <c r="B51" s="783"/>
      <c r="D51" s="37" t="s">
        <v>599</v>
      </c>
      <c r="E51" s="31">
        <f t="shared" ref="E51:J51" si="17">E50/E45</f>
        <v>0.3</v>
      </c>
      <c r="F51" s="31">
        <f t="shared" si="17"/>
        <v>0.29629629629629628</v>
      </c>
      <c r="G51" s="31">
        <f t="shared" si="17"/>
        <v>0.30357142857142855</v>
      </c>
      <c r="H51" s="31">
        <f t="shared" si="17"/>
        <v>0.30508474576271188</v>
      </c>
      <c r="I51" s="31">
        <f t="shared" si="17"/>
        <v>0.31147540983606559</v>
      </c>
      <c r="J51" s="31">
        <f t="shared" si="17"/>
        <v>0.29850746268656714</v>
      </c>
    </row>
    <row r="52" spans="2:10" ht="14.25" hidden="1" customHeight="1" outlineLevel="1">
      <c r="B52" s="783"/>
      <c r="D52" s="37" t="s">
        <v>89</v>
      </c>
      <c r="E52" s="32">
        <v>3</v>
      </c>
      <c r="F52" s="32">
        <v>3</v>
      </c>
      <c r="G52" s="32">
        <v>3</v>
      </c>
      <c r="H52" s="32">
        <v>3</v>
      </c>
      <c r="I52" s="32">
        <v>3</v>
      </c>
      <c r="J52" s="32">
        <v>4</v>
      </c>
    </row>
    <row r="53" spans="2:10" ht="14.25" hidden="1" customHeight="1" outlineLevel="1">
      <c r="B53" s="783"/>
      <c r="D53" s="44" t="s">
        <v>90</v>
      </c>
      <c r="E53" s="43">
        <f t="shared" ref="E53:J53" si="18">E52/E45</f>
        <v>0.06</v>
      </c>
      <c r="F53" s="43">
        <f t="shared" si="18"/>
        <v>5.5555555555555552E-2</v>
      </c>
      <c r="G53" s="43">
        <f t="shared" si="18"/>
        <v>5.3571428571428568E-2</v>
      </c>
      <c r="H53" s="43">
        <f t="shared" si="18"/>
        <v>5.0847457627118647E-2</v>
      </c>
      <c r="I53" s="43">
        <f t="shared" si="18"/>
        <v>4.9180327868852458E-2</v>
      </c>
      <c r="J53" s="43">
        <f t="shared" si="18"/>
        <v>5.9701492537313432E-2</v>
      </c>
    </row>
    <row r="54" spans="2:10" ht="14.25" hidden="1" customHeight="1" outlineLevel="1">
      <c r="B54" s="783"/>
      <c r="D54" s="35" t="s">
        <v>0</v>
      </c>
      <c r="E54" s="45">
        <f>E48-E50+E52</f>
        <v>18</v>
      </c>
      <c r="F54" s="45">
        <f t="shared" ref="F54:J54" si="19">F48-F50+F52</f>
        <v>19</v>
      </c>
      <c r="G54" s="45">
        <f t="shared" si="19"/>
        <v>19.5</v>
      </c>
      <c r="H54" s="45">
        <f t="shared" si="19"/>
        <v>21</v>
      </c>
      <c r="I54" s="45">
        <f t="shared" si="19"/>
        <v>22</v>
      </c>
      <c r="J54" s="45">
        <f t="shared" si="19"/>
        <v>26</v>
      </c>
    </row>
    <row r="55" spans="2:10" ht="14.25" hidden="1" customHeight="1" outlineLevel="1">
      <c r="B55" s="783"/>
      <c r="D55" s="25" t="s">
        <v>50</v>
      </c>
      <c r="E55" s="31">
        <f t="shared" ref="E55:J55" si="20">E54/E45</f>
        <v>0.36</v>
      </c>
      <c r="F55" s="31">
        <f t="shared" si="20"/>
        <v>0.35185185185185186</v>
      </c>
      <c r="G55" s="31">
        <f t="shared" si="20"/>
        <v>0.3482142857142857</v>
      </c>
      <c r="H55" s="31">
        <f t="shared" si="20"/>
        <v>0.3559322033898305</v>
      </c>
      <c r="I55" s="31">
        <f t="shared" si="20"/>
        <v>0.36065573770491804</v>
      </c>
      <c r="J55" s="31">
        <f t="shared" si="20"/>
        <v>0.38805970149253732</v>
      </c>
    </row>
    <row r="56" spans="2:10" ht="14.25" hidden="1" customHeight="1" outlineLevel="1">
      <c r="B56" s="783"/>
      <c r="D56" s="44" t="s">
        <v>78</v>
      </c>
      <c r="E56" s="32">
        <v>5</v>
      </c>
      <c r="F56" s="32">
        <v>5</v>
      </c>
      <c r="G56" s="32">
        <v>5</v>
      </c>
      <c r="H56" s="32">
        <v>5</v>
      </c>
      <c r="I56" s="32">
        <v>5</v>
      </c>
      <c r="J56" s="32">
        <v>5</v>
      </c>
    </row>
    <row r="57" spans="2:10" ht="14.25" hidden="1" customHeight="1" outlineLevel="1">
      <c r="B57" s="783"/>
      <c r="D57" s="44" t="s">
        <v>59</v>
      </c>
      <c r="E57" s="43">
        <f t="shared" ref="E57:J57" si="21">E56/E45</f>
        <v>0.1</v>
      </c>
      <c r="F57" s="43">
        <f t="shared" si="21"/>
        <v>9.2592592592592587E-2</v>
      </c>
      <c r="G57" s="43">
        <f t="shared" si="21"/>
        <v>8.9285714285714288E-2</v>
      </c>
      <c r="H57" s="43">
        <f t="shared" si="21"/>
        <v>8.4745762711864403E-2</v>
      </c>
      <c r="I57" s="43">
        <f t="shared" si="21"/>
        <v>8.1967213114754092E-2</v>
      </c>
      <c r="J57" s="43">
        <f t="shared" si="21"/>
        <v>7.4626865671641784E-2</v>
      </c>
    </row>
    <row r="58" spans="2:10" ht="14.25" hidden="1" customHeight="1" outlineLevel="1">
      <c r="B58" s="783"/>
      <c r="D58" s="35" t="s">
        <v>1</v>
      </c>
      <c r="E58" s="45">
        <f t="shared" ref="E58:J58" si="22">E54-E56</f>
        <v>13</v>
      </c>
      <c r="F58" s="45">
        <f t="shared" si="22"/>
        <v>14</v>
      </c>
      <c r="G58" s="45">
        <f t="shared" si="22"/>
        <v>14.5</v>
      </c>
      <c r="H58" s="45">
        <f t="shared" si="22"/>
        <v>16</v>
      </c>
      <c r="I58" s="45">
        <f t="shared" si="22"/>
        <v>17</v>
      </c>
      <c r="J58" s="45">
        <f t="shared" si="22"/>
        <v>21</v>
      </c>
    </row>
    <row r="59" spans="2:10" ht="14.25" hidden="1" customHeight="1" outlineLevel="1">
      <c r="B59" s="783"/>
      <c r="D59" s="69" t="s">
        <v>45</v>
      </c>
      <c r="E59" s="70">
        <f t="shared" ref="E59:J59" si="23">E58/E45</f>
        <v>0.26</v>
      </c>
      <c r="F59" s="70">
        <f t="shared" si="23"/>
        <v>0.25925925925925924</v>
      </c>
      <c r="G59" s="70">
        <f t="shared" si="23"/>
        <v>0.25892857142857145</v>
      </c>
      <c r="H59" s="70">
        <f t="shared" si="23"/>
        <v>0.2711864406779661</v>
      </c>
      <c r="I59" s="70">
        <f t="shared" si="23"/>
        <v>0.27868852459016391</v>
      </c>
      <c r="J59" s="70">
        <f t="shared" si="23"/>
        <v>0.31343283582089554</v>
      </c>
    </row>
    <row r="60" spans="2:10" ht="3" hidden="1" customHeight="1" outlineLevel="1">
      <c r="B60" s="783"/>
    </row>
    <row r="61" spans="2:10" ht="14.25" hidden="1" customHeight="1" outlineLevel="1">
      <c r="B61" s="783"/>
      <c r="D61" s="25" t="s">
        <v>52</v>
      </c>
      <c r="E61" s="32">
        <v>1</v>
      </c>
      <c r="F61" s="32">
        <v>1.2</v>
      </c>
      <c r="G61" s="32">
        <v>1.2</v>
      </c>
      <c r="H61" s="32">
        <v>1.3</v>
      </c>
      <c r="I61" s="32">
        <v>1.2</v>
      </c>
      <c r="J61" s="32">
        <v>1.3</v>
      </c>
    </row>
    <row r="62" spans="2:10" ht="14.25" hidden="1" customHeight="1" outlineLevel="1">
      <c r="B62" s="783"/>
      <c r="D62" s="25" t="s">
        <v>53</v>
      </c>
      <c r="E62" s="32">
        <v>6.6</v>
      </c>
      <c r="F62" s="32">
        <v>6.84</v>
      </c>
      <c r="G62" s="32">
        <v>6.99</v>
      </c>
      <c r="H62" s="32">
        <v>7.4099999999999993</v>
      </c>
      <c r="I62" s="32">
        <v>7.74</v>
      </c>
      <c r="J62" s="32">
        <v>8.3099999999999987</v>
      </c>
    </row>
    <row r="63" spans="2:10" hidden="1" outlineLevel="1"/>
    <row r="64" spans="2:10" hidden="1" outlineLevel="1"/>
    <row r="65" spans="2:10" ht="12" collapsed="1">
      <c r="B65" s="128" t="s">
        <v>171</v>
      </c>
    </row>
    <row r="68" spans="2:10" ht="14.25" customHeight="1">
      <c r="D68" s="42"/>
      <c r="E68" s="133">
        <f t="shared" ref="E68:J68" si="24">CHOOSE($B$6,E12,E42)</f>
        <v>2010</v>
      </c>
      <c r="F68" s="133">
        <f t="shared" si="24"/>
        <v>2011</v>
      </c>
      <c r="G68" s="133">
        <f t="shared" si="24"/>
        <v>2012</v>
      </c>
      <c r="H68" s="133">
        <f t="shared" si="24"/>
        <v>2013</v>
      </c>
      <c r="I68" s="133">
        <f t="shared" si="24"/>
        <v>2014</v>
      </c>
      <c r="J68" s="133">
        <f t="shared" si="24"/>
        <v>2015</v>
      </c>
    </row>
    <row r="69" spans="2:10" ht="14.25" customHeight="1" thickBot="1">
      <c r="D69" s="134" t="str">
        <f>CHOOSE($B$6,D13,D43)</f>
        <v>€m</v>
      </c>
      <c r="E69" s="135" t="str">
        <f t="shared" ref="E69:J69" si="25">CHOOSE($B$6,E13,E43)</f>
        <v>Actual</v>
      </c>
      <c r="F69" s="135" t="str">
        <f t="shared" si="25"/>
        <v>Actual</v>
      </c>
      <c r="G69" s="135" t="str">
        <f t="shared" si="25"/>
        <v>Actual</v>
      </c>
      <c r="H69" s="135" t="str">
        <f t="shared" si="25"/>
        <v>Plan</v>
      </c>
      <c r="I69" s="135" t="str">
        <f t="shared" si="25"/>
        <v>Plan</v>
      </c>
      <c r="J69" s="135" t="str">
        <f t="shared" si="25"/>
        <v>Plan</v>
      </c>
    </row>
    <row r="70" spans="2:10" ht="14.25" customHeight="1">
      <c r="D70" s="40" t="str">
        <f>CHOOSE($B$6,D15,D45)</f>
        <v>Sales</v>
      </c>
      <c r="E70" s="130">
        <f t="shared" ref="E70:J70" si="26">CHOOSE($B$6,E15,E45)</f>
        <v>50</v>
      </c>
      <c r="F70" s="130">
        <f t="shared" si="26"/>
        <v>54</v>
      </c>
      <c r="G70" s="130">
        <f t="shared" si="26"/>
        <v>56</v>
      </c>
      <c r="H70" s="130">
        <f t="shared" si="26"/>
        <v>59</v>
      </c>
      <c r="I70" s="130">
        <f t="shared" si="26"/>
        <v>61</v>
      </c>
      <c r="J70" s="130">
        <f t="shared" si="26"/>
        <v>67</v>
      </c>
    </row>
    <row r="71" spans="2:10" ht="14.25" customHeight="1">
      <c r="D71" s="40" t="str">
        <f>CHOOSE($B$6,D18,D48)</f>
        <v>Gross profit</v>
      </c>
      <c r="E71" s="41">
        <f t="shared" ref="E71:J71" si="27">CHOOSE($B$6,E18,E48)</f>
        <v>25</v>
      </c>
      <c r="F71" s="41">
        <f t="shared" si="27"/>
        <v>27</v>
      </c>
      <c r="G71" s="41">
        <f t="shared" si="27"/>
        <v>28</v>
      </c>
      <c r="H71" s="41">
        <f t="shared" si="27"/>
        <v>30</v>
      </c>
      <c r="I71" s="41">
        <f t="shared" si="27"/>
        <v>31.5</v>
      </c>
      <c r="J71" s="41">
        <f t="shared" si="27"/>
        <v>35.5</v>
      </c>
    </row>
    <row r="72" spans="2:10" ht="14.25" customHeight="1">
      <c r="D72" s="131" t="str">
        <f>CHOOSE($B$6,D19,D49)</f>
        <v>Gross profit margin</v>
      </c>
      <c r="E72" s="43">
        <f t="shared" ref="E72:J72" si="28">CHOOSE($B$6,E19,E49)</f>
        <v>0.5</v>
      </c>
      <c r="F72" s="43">
        <f t="shared" si="28"/>
        <v>0.5</v>
      </c>
      <c r="G72" s="43">
        <f t="shared" si="28"/>
        <v>0.5</v>
      </c>
      <c r="H72" s="43">
        <f t="shared" si="28"/>
        <v>0.50847457627118642</v>
      </c>
      <c r="I72" s="43">
        <f t="shared" si="28"/>
        <v>0.51639344262295084</v>
      </c>
      <c r="J72" s="43">
        <f t="shared" si="28"/>
        <v>0.52985074626865669</v>
      </c>
    </row>
    <row r="73" spans="2:10" ht="14.25" customHeight="1">
      <c r="D73" s="40" t="str">
        <f>CHOOSE($B$6,D31,D54)</f>
        <v>EBITDA</v>
      </c>
      <c r="E73" s="130">
        <f t="shared" ref="E73:J73" si="29">CHOOSE($B$6,E31,E54)</f>
        <v>12</v>
      </c>
      <c r="F73" s="130">
        <f t="shared" si="29"/>
        <v>13</v>
      </c>
      <c r="G73" s="130">
        <f t="shared" si="29"/>
        <v>13.5</v>
      </c>
      <c r="H73" s="130">
        <f t="shared" si="29"/>
        <v>15</v>
      </c>
      <c r="I73" s="130">
        <f t="shared" si="29"/>
        <v>16</v>
      </c>
      <c r="J73" s="130">
        <f t="shared" si="29"/>
        <v>18</v>
      </c>
    </row>
    <row r="74" spans="2:10" ht="14.25" customHeight="1">
      <c r="D74" s="42" t="str">
        <f>CHOOSE($B$6,D32,D55)</f>
        <v>EBITDA margin</v>
      </c>
      <c r="E74" s="43">
        <f t="shared" ref="E74:J74" si="30">CHOOSE($B$6,E32,E55)</f>
        <v>0.24</v>
      </c>
      <c r="F74" s="43">
        <f t="shared" si="30"/>
        <v>0.24074074074074073</v>
      </c>
      <c r="G74" s="43">
        <f t="shared" si="30"/>
        <v>0.24107142857142858</v>
      </c>
      <c r="H74" s="43">
        <f t="shared" si="30"/>
        <v>0.25423728813559321</v>
      </c>
      <c r="I74" s="43">
        <f t="shared" si="30"/>
        <v>0.26229508196721313</v>
      </c>
      <c r="J74" s="43">
        <f t="shared" si="30"/>
        <v>0.26865671641791045</v>
      </c>
    </row>
    <row r="75" spans="2:10" ht="14.25" customHeight="1">
      <c r="D75" s="44" t="s">
        <v>78</v>
      </c>
      <c r="E75" s="132">
        <f t="shared" ref="E75:J75" si="31">CHOOSE($B$6,E29,E56)</f>
        <v>5</v>
      </c>
      <c r="F75" s="132">
        <f t="shared" si="31"/>
        <v>5</v>
      </c>
      <c r="G75" s="132">
        <f t="shared" si="31"/>
        <v>5</v>
      </c>
      <c r="H75" s="132">
        <f t="shared" si="31"/>
        <v>5</v>
      </c>
      <c r="I75" s="132">
        <f t="shared" si="31"/>
        <v>5</v>
      </c>
      <c r="J75" s="132">
        <f t="shared" si="31"/>
        <v>5</v>
      </c>
    </row>
    <row r="76" spans="2:10" ht="14.25" customHeight="1">
      <c r="D76" s="44" t="str">
        <f>CHOOSE($B$6,D30,D57)</f>
        <v>Depreciation ratio</v>
      </c>
      <c r="E76" s="43">
        <f t="shared" ref="E76:J76" si="32">CHOOSE($B$6,E30,E57)</f>
        <v>0.1</v>
      </c>
      <c r="F76" s="43">
        <f t="shared" si="32"/>
        <v>9.2592592592592587E-2</v>
      </c>
      <c r="G76" s="43">
        <f t="shared" si="32"/>
        <v>8.9285714285714288E-2</v>
      </c>
      <c r="H76" s="43">
        <f t="shared" si="32"/>
        <v>8.4745762711864403E-2</v>
      </c>
      <c r="I76" s="43">
        <f t="shared" si="32"/>
        <v>8.1967213114754092E-2</v>
      </c>
      <c r="J76" s="43">
        <f t="shared" si="32"/>
        <v>7.4626865671641784E-2</v>
      </c>
    </row>
    <row r="77" spans="2:10" ht="14.25" customHeight="1">
      <c r="D77" s="40" t="str">
        <f>CHOOSE($B$6,D33,D58)</f>
        <v>EBIT</v>
      </c>
      <c r="E77" s="41">
        <f t="shared" ref="E77:J77" si="33">CHOOSE($B$6,E33,E58)</f>
        <v>7</v>
      </c>
      <c r="F77" s="41">
        <f t="shared" si="33"/>
        <v>8</v>
      </c>
      <c r="G77" s="41">
        <f t="shared" si="33"/>
        <v>8.5</v>
      </c>
      <c r="H77" s="41">
        <f t="shared" si="33"/>
        <v>10</v>
      </c>
      <c r="I77" s="41">
        <f t="shared" si="33"/>
        <v>11</v>
      </c>
      <c r="J77" s="41">
        <f t="shared" si="33"/>
        <v>13</v>
      </c>
    </row>
    <row r="78" spans="2:10" ht="14.25" customHeight="1">
      <c r="D78" s="42" t="str">
        <f>CHOOSE($B$6,D34,D59)</f>
        <v>EBIT margin</v>
      </c>
      <c r="E78" s="43">
        <f t="shared" ref="E78:J78" si="34">CHOOSE($B$6,E34,E59)</f>
        <v>0.14000000000000001</v>
      </c>
      <c r="F78" s="43">
        <f t="shared" si="34"/>
        <v>0.14814814814814814</v>
      </c>
      <c r="G78" s="43">
        <f t="shared" si="34"/>
        <v>0.15178571428571427</v>
      </c>
      <c r="H78" s="43">
        <f t="shared" si="34"/>
        <v>0.16949152542372881</v>
      </c>
      <c r="I78" s="43">
        <f t="shared" si="34"/>
        <v>0.18032786885245902</v>
      </c>
      <c r="J78" s="43">
        <f t="shared" si="34"/>
        <v>0.19402985074626866</v>
      </c>
    </row>
    <row r="80" spans="2:10" ht="14.25" customHeight="1">
      <c r="D80" s="25" t="s">
        <v>80</v>
      </c>
      <c r="E80" s="32">
        <v>3</v>
      </c>
      <c r="F80" s="32">
        <v>4</v>
      </c>
      <c r="G80" s="32">
        <v>4.5</v>
      </c>
      <c r="H80" s="32">
        <v>8</v>
      </c>
      <c r="I80" s="32">
        <v>9</v>
      </c>
      <c r="J80" s="32">
        <v>10</v>
      </c>
    </row>
    <row r="81" spans="4:10" ht="14.25" customHeight="1">
      <c r="D81" s="131" t="s">
        <v>81</v>
      </c>
      <c r="E81" s="43">
        <f>E80/E70</f>
        <v>0.06</v>
      </c>
      <c r="F81" s="43">
        <f t="shared" ref="F81:J81" si="35">F80/F70</f>
        <v>7.407407407407407E-2</v>
      </c>
      <c r="G81" s="43">
        <f t="shared" si="35"/>
        <v>8.0357142857142863E-2</v>
      </c>
      <c r="H81" s="43">
        <f t="shared" si="35"/>
        <v>0.13559322033898305</v>
      </c>
      <c r="I81" s="43">
        <f t="shared" si="35"/>
        <v>0.14754098360655737</v>
      </c>
      <c r="J81" s="43">
        <f t="shared" si="35"/>
        <v>0.14925373134328357</v>
      </c>
    </row>
    <row r="82" spans="4:10" ht="14.25" customHeight="1">
      <c r="D82" s="25" t="s">
        <v>194</v>
      </c>
      <c r="E82" s="153">
        <v>395</v>
      </c>
      <c r="F82" s="153">
        <v>417</v>
      </c>
      <c r="G82" s="153">
        <v>439</v>
      </c>
      <c r="H82" s="153">
        <v>462</v>
      </c>
      <c r="I82" s="153">
        <v>484</v>
      </c>
      <c r="J82" s="153">
        <v>506</v>
      </c>
    </row>
  </sheetData>
  <mergeCells count="2">
    <mergeCell ref="B12:B37"/>
    <mergeCell ref="B42:B62"/>
  </mergeCells>
  <conditionalFormatting sqref="D12:J37">
    <cfRule type="expression" dxfId="2" priority="3">
      <formula>$B$6=2</formula>
    </cfRule>
  </conditionalFormatting>
  <conditionalFormatting sqref="D42:J62">
    <cfRule type="expression" dxfId="1" priority="2">
      <formula>$B$6=1</formula>
    </cfRule>
  </conditionalFormatting>
  <conditionalFormatting sqref="E82:J82 E80:J80">
    <cfRule type="expression" dxfId="0" priority="1">
      <formula>$B$6=1</formula>
    </cfRule>
  </conditionalFormatting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93" r:id="rId4" name="Option Button 73">
              <controlPr defaultSize="0" autoFill="0" autoLine="0" autoPict="0" altText="Cost of Sales approach">
                <anchor moveWithCells="1">
                  <from>
                    <xdr:col>3</xdr:col>
                    <xdr:colOff>28575</xdr:colOff>
                    <xdr:row>4</xdr:row>
                    <xdr:rowOff>161925</xdr:rowOff>
                  </from>
                  <to>
                    <xdr:col>3</xdr:col>
                    <xdr:colOff>1828800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4" r:id="rId5" name="Option Button 74">
              <controlPr defaultSize="0" autoFill="0" autoLine="0" autoPict="0">
                <anchor moveWithCells="1">
                  <from>
                    <xdr:col>3</xdr:col>
                    <xdr:colOff>28575</xdr:colOff>
                    <xdr:row>5</xdr:row>
                    <xdr:rowOff>171450</xdr:rowOff>
                  </from>
                  <to>
                    <xdr:col>3</xdr:col>
                    <xdr:colOff>1828800</xdr:colOff>
                    <xdr:row>7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E2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4</v>
      </c>
      <c r="C2">
        <v>7</v>
      </c>
      <c r="D2">
        <v>10</v>
      </c>
      <c r="E2" t="s">
        <v>36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>
    <tabColor rgb="FFFFFF00"/>
  </sheetPr>
  <dimension ref="A1:J273"/>
  <sheetViews>
    <sheetView tabSelected="1" workbookViewId="0"/>
  </sheetViews>
  <sheetFormatPr defaultColWidth="12" defaultRowHeight="11.25"/>
  <cols>
    <col min="1" max="1" width="3" customWidth="1"/>
    <col min="2" max="2" width="7" customWidth="1"/>
    <col min="5" max="5" width="22.5" customWidth="1"/>
    <col min="9" max="9" width="20.33203125" customWidth="1"/>
    <col min="10" max="10" width="9.6640625" customWidth="1"/>
  </cols>
  <sheetData>
    <row r="1" spans="1:10" ht="24.75" customHeight="1">
      <c r="A1" s="125"/>
      <c r="B1" s="125"/>
      <c r="C1" s="125" t="s">
        <v>165</v>
      </c>
      <c r="I1" s="27" t="s">
        <v>166</v>
      </c>
      <c r="J1" s="27" t="s">
        <v>167</v>
      </c>
    </row>
    <row r="3" spans="1:10" s="126" customFormat="1" ht="12">
      <c r="B3" s="353" t="s">
        <v>137</v>
      </c>
      <c r="C3" s="354"/>
      <c r="D3" s="354"/>
      <c r="E3" s="354"/>
      <c r="F3" s="354"/>
      <c r="G3" s="354"/>
    </row>
    <row r="5" spans="1:10">
      <c r="C5" s="352" t="s">
        <v>138</v>
      </c>
    </row>
    <row r="7" spans="1:10" s="27" customFormat="1">
      <c r="D7" s="2" t="s">
        <v>145</v>
      </c>
      <c r="E7" s="124" t="s">
        <v>139</v>
      </c>
      <c r="F7" s="2"/>
      <c r="G7" s="2"/>
      <c r="H7" s="2"/>
      <c r="I7" s="2" t="s">
        <v>274</v>
      </c>
      <c r="J7" s="2" t="str">
        <f>'01_P&amp;L_small'!$A$13</f>
        <v>#1</v>
      </c>
    </row>
    <row r="8" spans="1:10" s="27" customFormat="1">
      <c r="D8" s="2" t="s">
        <v>146</v>
      </c>
      <c r="E8" s="124" t="s">
        <v>3</v>
      </c>
      <c r="F8" s="2"/>
      <c r="G8" s="2"/>
      <c r="H8" s="2"/>
      <c r="I8" s="2" t="s">
        <v>274</v>
      </c>
      <c r="J8" s="2" t="str">
        <f>'01_P&amp;L_small'!$A$13</f>
        <v>#1</v>
      </c>
    </row>
    <row r="9" spans="1:10" s="27" customFormat="1">
      <c r="D9" s="2" t="s">
        <v>146</v>
      </c>
      <c r="E9" s="124" t="s">
        <v>140</v>
      </c>
      <c r="F9" s="2"/>
      <c r="G9" s="2"/>
      <c r="H9" s="2"/>
      <c r="I9" s="2" t="s">
        <v>275</v>
      </c>
      <c r="J9" s="2" t="str">
        <f>'01_P&amp;L_big'!$A$12</f>
        <v>#1</v>
      </c>
    </row>
    <row r="10" spans="1:10" s="27" customFormat="1">
      <c r="D10" s="2" t="s">
        <v>145</v>
      </c>
      <c r="E10" s="124" t="s">
        <v>141</v>
      </c>
      <c r="F10" s="2"/>
      <c r="G10" s="2"/>
      <c r="H10" s="2"/>
      <c r="I10" s="2" t="s">
        <v>274</v>
      </c>
      <c r="J10" s="2" t="str">
        <f>'01_P&amp;L_small'!$A$40</f>
        <v>#2</v>
      </c>
    </row>
    <row r="11" spans="1:10" s="27" customFormat="1">
      <c r="D11" s="2" t="s">
        <v>145</v>
      </c>
      <c r="E11" s="124" t="s">
        <v>142</v>
      </c>
      <c r="F11" s="2"/>
      <c r="G11" s="2"/>
      <c r="H11" s="2"/>
      <c r="I11" s="2" t="s">
        <v>274</v>
      </c>
      <c r="J11" s="2" t="str">
        <f>'01_P&amp;L_small'!$A$77</f>
        <v>#3</v>
      </c>
    </row>
    <row r="12" spans="1:10" s="27" customFormat="1">
      <c r="D12" s="2" t="s">
        <v>145</v>
      </c>
      <c r="E12" s="124" t="s">
        <v>143</v>
      </c>
      <c r="F12" s="2"/>
      <c r="G12" s="2"/>
      <c r="H12" s="2"/>
      <c r="I12" s="2" t="s">
        <v>274</v>
      </c>
      <c r="J12" s="2" t="str">
        <f>'01_P&amp;L_small'!$A$95</f>
        <v>#4</v>
      </c>
    </row>
    <row r="13" spans="1:10" s="27" customFormat="1">
      <c r="D13" s="2" t="s">
        <v>146</v>
      </c>
      <c r="E13" s="124" t="s">
        <v>144</v>
      </c>
      <c r="F13" s="2"/>
      <c r="G13" s="2"/>
      <c r="H13" s="2"/>
      <c r="I13" s="2" t="s">
        <v>274</v>
      </c>
      <c r="J13" s="2" t="str">
        <f>'01_P&amp;L_small'!$A$95</f>
        <v>#4</v>
      </c>
    </row>
    <row r="14" spans="1:10" s="27" customFormat="1">
      <c r="D14" s="2" t="s">
        <v>145</v>
      </c>
      <c r="E14" s="124" t="s">
        <v>148</v>
      </c>
      <c r="F14" s="2"/>
      <c r="G14" s="2"/>
      <c r="H14" s="2"/>
      <c r="I14" s="2" t="s">
        <v>274</v>
      </c>
      <c r="J14" s="2" t="str">
        <f>'01_P&amp;L_small'!$A$40</f>
        <v>#2</v>
      </c>
    </row>
    <row r="15" spans="1:10" s="27" customFormat="1">
      <c r="D15" s="2" t="s">
        <v>145</v>
      </c>
      <c r="E15" s="124" t="s">
        <v>149</v>
      </c>
      <c r="F15" s="2"/>
      <c r="G15" s="2"/>
      <c r="H15" s="2"/>
      <c r="I15" s="2" t="s">
        <v>274</v>
      </c>
      <c r="J15" s="2" t="str">
        <f>'01_P&amp;L_small'!$A$40</f>
        <v>#2</v>
      </c>
    </row>
    <row r="16" spans="1:10" s="27" customFormat="1">
      <c r="D16" s="2" t="s">
        <v>145</v>
      </c>
      <c r="E16" s="124" t="s">
        <v>150</v>
      </c>
      <c r="F16" s="2"/>
      <c r="G16" s="2"/>
      <c r="H16" s="2"/>
      <c r="I16" s="2" t="s">
        <v>274</v>
      </c>
      <c r="J16" s="2" t="str">
        <f>'01_P&amp;L_small'!$A$140</f>
        <v>#5</v>
      </c>
    </row>
    <row r="18" spans="3:10" s="27" customFormat="1">
      <c r="C18" s="352" t="s">
        <v>111</v>
      </c>
    </row>
    <row r="20" spans="3:10" s="27" customFormat="1">
      <c r="D20" s="2" t="s">
        <v>145</v>
      </c>
      <c r="E20" s="124" t="s">
        <v>151</v>
      </c>
      <c r="F20" s="2"/>
      <c r="G20" s="2"/>
      <c r="H20" s="2"/>
      <c r="I20" s="2" t="s">
        <v>276</v>
      </c>
      <c r="J20" s="2" t="str">
        <f>'02_Comparison'!$A$12</f>
        <v>#1</v>
      </c>
    </row>
    <row r="21" spans="3:10" s="27" customFormat="1">
      <c r="D21" s="2" t="s">
        <v>145</v>
      </c>
      <c r="E21" s="124" t="s">
        <v>152</v>
      </c>
      <c r="F21" s="2"/>
      <c r="G21" s="2"/>
      <c r="H21" s="2"/>
      <c r="I21" s="2" t="s">
        <v>276</v>
      </c>
      <c r="J21" s="2" t="str">
        <f>'02_Comparison'!$A$12</f>
        <v>#1</v>
      </c>
    </row>
    <row r="22" spans="3:10">
      <c r="I22" s="2"/>
    </row>
    <row r="23" spans="3:10" s="27" customFormat="1">
      <c r="C23" s="352" t="s">
        <v>154</v>
      </c>
      <c r="I23" s="2"/>
    </row>
    <row r="24" spans="3:10">
      <c r="I24" s="2"/>
    </row>
    <row r="25" spans="3:10" s="27" customFormat="1">
      <c r="D25" s="2" t="s">
        <v>145</v>
      </c>
      <c r="E25" s="124" t="s">
        <v>153</v>
      </c>
      <c r="F25" s="2"/>
      <c r="G25" s="2"/>
      <c r="H25" s="2"/>
      <c r="I25" s="2" t="s">
        <v>277</v>
      </c>
      <c r="J25" s="2" t="str">
        <f>'03_FC vs. Budget'!$A$12</f>
        <v>#1</v>
      </c>
    </row>
    <row r="26" spans="3:10" s="27" customFormat="1">
      <c r="D26" s="2" t="s">
        <v>146</v>
      </c>
      <c r="E26" s="124" t="s">
        <v>99</v>
      </c>
      <c r="F26" s="2"/>
      <c r="G26" s="2"/>
      <c r="H26" s="2"/>
      <c r="I26" s="2" t="s">
        <v>277</v>
      </c>
      <c r="J26" s="2" t="str">
        <f>'03_FC vs. Budget'!$A$12</f>
        <v>#1</v>
      </c>
    </row>
    <row r="27" spans="3:10" s="27" customFormat="1">
      <c r="D27" s="2" t="s">
        <v>145</v>
      </c>
      <c r="E27" s="124" t="s">
        <v>155</v>
      </c>
      <c r="F27" s="2"/>
      <c r="G27" s="2"/>
      <c r="H27" s="2"/>
      <c r="I27" s="2" t="s">
        <v>277</v>
      </c>
      <c r="J27" s="2" t="str">
        <f>'03_FC vs. Budget'!$A$84</f>
        <v>#2</v>
      </c>
    </row>
    <row r="28" spans="3:10" s="27" customFormat="1">
      <c r="D28" s="2" t="s">
        <v>145</v>
      </c>
      <c r="E28" s="124" t="s">
        <v>156</v>
      </c>
      <c r="F28" s="2"/>
      <c r="G28" s="2"/>
      <c r="H28" s="2"/>
      <c r="I28" s="2" t="s">
        <v>277</v>
      </c>
      <c r="J28" s="2" t="str">
        <f>'03_FC vs. Budget'!$A$84</f>
        <v>#2</v>
      </c>
    </row>
    <row r="29" spans="3:10" s="27" customFormat="1">
      <c r="D29" s="2" t="s">
        <v>145</v>
      </c>
      <c r="E29" s="124" t="s">
        <v>70</v>
      </c>
      <c r="F29" s="2"/>
      <c r="G29" s="2"/>
      <c r="H29" s="2"/>
      <c r="I29" s="2" t="s">
        <v>277</v>
      </c>
      <c r="J29" s="2" t="str">
        <f>'03_FC vs. Budget'!$A$122</f>
        <v>#3</v>
      </c>
    </row>
    <row r="30" spans="3:10" s="27" customFormat="1">
      <c r="D30" s="2" t="s">
        <v>146</v>
      </c>
      <c r="E30" s="124" t="s">
        <v>100</v>
      </c>
      <c r="F30" s="2"/>
      <c r="G30" s="2"/>
      <c r="H30" s="2"/>
      <c r="I30" s="2" t="s">
        <v>277</v>
      </c>
      <c r="J30" s="2" t="str">
        <f>'03_FC vs. Budget'!$A$142</f>
        <v>#4</v>
      </c>
    </row>
    <row r="32" spans="3:10" s="27" customFormat="1">
      <c r="C32" s="352" t="s">
        <v>112</v>
      </c>
    </row>
    <row r="34" spans="3:10" s="27" customFormat="1">
      <c r="D34" s="2" t="s">
        <v>146</v>
      </c>
      <c r="E34" s="124" t="s">
        <v>46</v>
      </c>
      <c r="F34" s="2"/>
      <c r="G34" s="2"/>
      <c r="H34" s="2"/>
      <c r="I34" s="142" t="s">
        <v>278</v>
      </c>
      <c r="J34" s="2" t="str">
        <f>'04_Cost split up_small'!$A$12</f>
        <v>#1</v>
      </c>
    </row>
    <row r="35" spans="3:10" s="27" customFormat="1">
      <c r="D35" s="2" t="s">
        <v>145</v>
      </c>
      <c r="E35" s="124" t="s">
        <v>157</v>
      </c>
      <c r="F35" s="2"/>
      <c r="G35" s="2"/>
      <c r="H35" s="2"/>
      <c r="I35" s="2" t="s">
        <v>276</v>
      </c>
      <c r="J35" s="2" t="str">
        <f>'02_Comparison'!$A$77</f>
        <v>#3</v>
      </c>
    </row>
    <row r="37" spans="3:10" s="27" customFormat="1">
      <c r="C37" s="352" t="s">
        <v>159</v>
      </c>
    </row>
    <row r="39" spans="3:10" s="27" customFormat="1">
      <c r="C39" s="352" t="s">
        <v>160</v>
      </c>
    </row>
    <row r="41" spans="3:10" s="27" customFormat="1">
      <c r="C41" s="352" t="s">
        <v>130</v>
      </c>
    </row>
    <row r="43" spans="3:10" s="27" customFormat="1">
      <c r="D43" s="2" t="s">
        <v>146</v>
      </c>
      <c r="E43" s="124" t="s">
        <v>89</v>
      </c>
      <c r="F43" s="2"/>
      <c r="G43" s="2"/>
      <c r="H43" s="2"/>
      <c r="I43" s="142" t="s">
        <v>278</v>
      </c>
      <c r="J43" s="2" t="str">
        <f>'04_Cost split up_small'!$A$117</f>
        <v>#5</v>
      </c>
    </row>
    <row r="45" spans="3:10" s="27" customFormat="1">
      <c r="C45" s="123" t="s">
        <v>113</v>
      </c>
    </row>
    <row r="47" spans="3:10">
      <c r="D47" s="2" t="s">
        <v>145</v>
      </c>
      <c r="E47" s="124" t="s">
        <v>163</v>
      </c>
      <c r="F47" s="2"/>
      <c r="G47" s="2"/>
      <c r="H47" s="2"/>
      <c r="I47" s="142" t="s">
        <v>278</v>
      </c>
      <c r="J47" s="2" t="str">
        <f>'04_Cost split up_small'!$A$67</f>
        <v>#3</v>
      </c>
    </row>
    <row r="48" spans="3:10">
      <c r="D48" s="2" t="s">
        <v>146</v>
      </c>
      <c r="E48" s="2" t="s">
        <v>82</v>
      </c>
      <c r="F48" s="2"/>
      <c r="G48" s="2"/>
      <c r="H48" s="2"/>
      <c r="I48" s="142" t="s">
        <v>278</v>
      </c>
      <c r="J48" s="2" t="str">
        <f>'04_Cost split up_small'!$A$89</f>
        <v>#4</v>
      </c>
    </row>
    <row r="49" spans="2:10">
      <c r="D49" s="2" t="s">
        <v>146</v>
      </c>
      <c r="E49" s="2" t="s">
        <v>78</v>
      </c>
      <c r="F49" s="2"/>
      <c r="G49" s="2"/>
      <c r="H49" s="2"/>
      <c r="I49" s="142" t="s">
        <v>278</v>
      </c>
      <c r="J49" s="2" t="str">
        <f>'04_Cost split up_small'!$A$40</f>
        <v>#2</v>
      </c>
    </row>
    <row r="50" spans="2:10">
      <c r="D50" s="2" t="s">
        <v>145</v>
      </c>
      <c r="E50" s="124" t="s">
        <v>161</v>
      </c>
      <c r="F50" s="2"/>
      <c r="G50" s="2"/>
      <c r="H50" s="2"/>
      <c r="I50" s="2" t="s">
        <v>276</v>
      </c>
      <c r="J50" s="2" t="str">
        <f>'02_Comparison'!$A$117</f>
        <v>#4</v>
      </c>
    </row>
    <row r="51" spans="2:10">
      <c r="D51" s="2" t="s">
        <v>145</v>
      </c>
      <c r="E51" s="124" t="s">
        <v>162</v>
      </c>
      <c r="F51" s="2"/>
      <c r="G51" s="2"/>
      <c r="H51" s="2"/>
      <c r="I51" s="2" t="s">
        <v>276</v>
      </c>
      <c r="J51" s="2" t="str">
        <f>'02_Comparison'!$A$155</f>
        <v>#5</v>
      </c>
    </row>
    <row r="52" spans="2:10">
      <c r="D52" s="2" t="s">
        <v>145</v>
      </c>
      <c r="E52" s="124" t="s">
        <v>164</v>
      </c>
      <c r="F52" s="2"/>
      <c r="G52" s="2"/>
      <c r="H52" s="2"/>
      <c r="I52" s="2" t="s">
        <v>276</v>
      </c>
      <c r="J52" s="2" t="str">
        <f>'02_Comparison'!$A$218</f>
        <v>#7</v>
      </c>
    </row>
    <row r="55" spans="2:10" ht="12">
      <c r="B55" s="353" t="s">
        <v>266</v>
      </c>
    </row>
    <row r="57" spans="2:10">
      <c r="C57" s="352" t="s">
        <v>172</v>
      </c>
    </row>
    <row r="59" spans="2:10">
      <c r="D59" s="2" t="s">
        <v>145</v>
      </c>
      <c r="E59" s="120" t="s">
        <v>173</v>
      </c>
      <c r="I59" s="2" t="s">
        <v>274</v>
      </c>
      <c r="J59" s="2" t="str">
        <f>'01_P&amp;L_small'!A$13</f>
        <v>#1</v>
      </c>
    </row>
    <row r="60" spans="2:10">
      <c r="D60" s="2" t="s">
        <v>146</v>
      </c>
      <c r="E60" s="124" t="s">
        <v>3</v>
      </c>
      <c r="I60" s="2" t="s">
        <v>274</v>
      </c>
      <c r="J60" s="2" t="str">
        <f>'01_P&amp;L_small'!A$13</f>
        <v>#1</v>
      </c>
    </row>
    <row r="61" spans="2:10">
      <c r="D61" s="2" t="s">
        <v>146</v>
      </c>
      <c r="E61" s="124" t="s">
        <v>140</v>
      </c>
      <c r="F61" s="2"/>
      <c r="G61" s="2"/>
      <c r="H61" s="2"/>
      <c r="I61" s="2" t="s">
        <v>275</v>
      </c>
      <c r="J61" s="2" t="str">
        <f>'01_P&amp;L_big'!$A$56</f>
        <v>#2</v>
      </c>
    </row>
    <row r="62" spans="2:10">
      <c r="D62" s="2" t="s">
        <v>145</v>
      </c>
      <c r="E62" s="124" t="s">
        <v>141</v>
      </c>
      <c r="F62" s="2"/>
      <c r="G62" s="2"/>
      <c r="H62" s="2"/>
      <c r="I62" s="2" t="s">
        <v>274</v>
      </c>
      <c r="J62" s="2" t="str">
        <f>'01_P&amp;L_small'!A$40</f>
        <v>#2</v>
      </c>
    </row>
    <row r="63" spans="2:10">
      <c r="D63" s="2" t="s">
        <v>145</v>
      </c>
      <c r="E63" s="124" t="s">
        <v>142</v>
      </c>
      <c r="F63" s="2"/>
      <c r="G63" s="2"/>
      <c r="H63" s="2"/>
      <c r="I63" s="2" t="s">
        <v>274</v>
      </c>
      <c r="J63" s="2" t="str">
        <f>'01_P&amp;L_small'!A$77</f>
        <v>#3</v>
      </c>
    </row>
    <row r="64" spans="2:10" s="27" customFormat="1">
      <c r="D64" s="2" t="s">
        <v>145</v>
      </c>
      <c r="E64" s="124" t="s">
        <v>174</v>
      </c>
      <c r="F64" s="2"/>
      <c r="G64" s="2"/>
      <c r="H64" s="2"/>
      <c r="I64" s="2" t="s">
        <v>274</v>
      </c>
      <c r="J64" s="2" t="str">
        <f>'01_P&amp;L_small'!$A$163</f>
        <v>#6</v>
      </c>
    </row>
    <row r="65" spans="3:10" s="27" customFormat="1">
      <c r="D65" s="2" t="s">
        <v>146</v>
      </c>
      <c r="E65" s="124" t="s">
        <v>144</v>
      </c>
      <c r="F65" s="2"/>
      <c r="G65" s="2"/>
      <c r="H65" s="2"/>
      <c r="I65" s="2" t="s">
        <v>274</v>
      </c>
      <c r="J65" s="2" t="str">
        <f>'01_P&amp;L_small'!$A$163</f>
        <v>#6</v>
      </c>
    </row>
    <row r="66" spans="3:10" s="27" customFormat="1">
      <c r="D66" s="2" t="s">
        <v>145</v>
      </c>
      <c r="E66" s="124" t="s">
        <v>148</v>
      </c>
      <c r="F66" s="2"/>
      <c r="G66" s="2"/>
      <c r="H66" s="2"/>
      <c r="I66" s="2" t="s">
        <v>274</v>
      </c>
      <c r="J66" s="2" t="str">
        <f>'01_P&amp;L_small'!$A$203</f>
        <v>#7</v>
      </c>
    </row>
    <row r="67" spans="3:10" s="27" customFormat="1">
      <c r="D67" s="2" t="s">
        <v>145</v>
      </c>
      <c r="E67" s="124" t="s">
        <v>175</v>
      </c>
      <c r="F67" s="2"/>
      <c r="G67" s="2"/>
      <c r="H67" s="2"/>
      <c r="I67" s="2" t="s">
        <v>274</v>
      </c>
      <c r="J67" s="2" t="str">
        <f>'01_P&amp;L_small'!$A$203</f>
        <v>#7</v>
      </c>
    </row>
    <row r="68" spans="3:10" s="27" customFormat="1">
      <c r="D68" s="2" t="s">
        <v>145</v>
      </c>
      <c r="E68" s="124" t="s">
        <v>150</v>
      </c>
      <c r="F68" s="2"/>
      <c r="G68" s="2"/>
      <c r="H68" s="2"/>
      <c r="I68" s="2" t="s">
        <v>274</v>
      </c>
      <c r="J68" s="2" t="str">
        <f>'01_P&amp;L_small'!$A$140</f>
        <v>#5</v>
      </c>
    </row>
    <row r="69" spans="3:10" s="27" customFormat="1">
      <c r="D69" s="2"/>
      <c r="E69" s="124"/>
      <c r="F69" s="2"/>
      <c r="G69" s="2"/>
      <c r="H69" s="2"/>
      <c r="I69" s="2"/>
      <c r="J69" s="2"/>
    </row>
    <row r="70" spans="3:10">
      <c r="C70" s="352" t="s">
        <v>176</v>
      </c>
    </row>
    <row r="72" spans="3:10">
      <c r="D72" s="2" t="s">
        <v>145</v>
      </c>
      <c r="E72" s="124" t="s">
        <v>151</v>
      </c>
      <c r="F72" s="2"/>
      <c r="G72" s="2"/>
      <c r="H72" s="2"/>
      <c r="I72" s="2" t="s">
        <v>276</v>
      </c>
      <c r="J72" s="2" t="str">
        <f>'02_Comparison'!$A$12</f>
        <v>#1</v>
      </c>
    </row>
    <row r="73" spans="3:10">
      <c r="D73" s="2" t="s">
        <v>145</v>
      </c>
      <c r="E73" s="124" t="s">
        <v>152</v>
      </c>
      <c r="F73" s="2"/>
      <c r="G73" s="2"/>
      <c r="H73" s="2"/>
      <c r="I73" s="2" t="s">
        <v>276</v>
      </c>
      <c r="J73" s="2" t="str">
        <f>'02_Comparison'!$A$12</f>
        <v>#1</v>
      </c>
    </row>
    <row r="75" spans="3:10">
      <c r="C75" s="352" t="s">
        <v>177</v>
      </c>
    </row>
    <row r="77" spans="3:10">
      <c r="D77" s="2" t="s">
        <v>145</v>
      </c>
      <c r="E77" s="124" t="s">
        <v>153</v>
      </c>
      <c r="F77" s="2"/>
      <c r="G77" s="2"/>
      <c r="H77" s="2"/>
      <c r="I77" s="2" t="s">
        <v>277</v>
      </c>
      <c r="J77" s="2" t="str">
        <f>'03_FC vs. Budget'!$A$12</f>
        <v>#1</v>
      </c>
    </row>
    <row r="78" spans="3:10">
      <c r="D78" s="2" t="s">
        <v>146</v>
      </c>
      <c r="E78" s="124" t="s">
        <v>99</v>
      </c>
      <c r="F78" s="2"/>
      <c r="G78" s="2"/>
      <c r="H78" s="2"/>
      <c r="I78" s="2" t="s">
        <v>277</v>
      </c>
      <c r="J78" s="2" t="str">
        <f>'03_FC vs. Budget'!$A$12</f>
        <v>#1</v>
      </c>
    </row>
    <row r="79" spans="3:10">
      <c r="D79" s="2" t="s">
        <v>145</v>
      </c>
      <c r="E79" s="124" t="s">
        <v>155</v>
      </c>
      <c r="F79" s="2"/>
      <c r="G79" s="2"/>
      <c r="H79" s="2"/>
      <c r="I79" s="2" t="s">
        <v>277</v>
      </c>
      <c r="J79" s="2" t="str">
        <f>'03_FC vs. Budget'!$A$167</f>
        <v>#5</v>
      </c>
    </row>
    <row r="80" spans="3:10">
      <c r="D80" s="2" t="s">
        <v>145</v>
      </c>
      <c r="E80" s="124" t="s">
        <v>156</v>
      </c>
      <c r="F80" s="2"/>
      <c r="G80" s="2"/>
      <c r="H80" s="2"/>
      <c r="I80" s="2" t="s">
        <v>277</v>
      </c>
      <c r="J80" s="2" t="str">
        <f>'03_FC vs. Budget'!$A$167</f>
        <v>#5</v>
      </c>
    </row>
    <row r="81" spans="3:10">
      <c r="D81" s="2" t="s">
        <v>145</v>
      </c>
      <c r="E81" s="124" t="s">
        <v>70</v>
      </c>
      <c r="F81" s="2"/>
      <c r="G81" s="2"/>
      <c r="H81" s="2"/>
      <c r="I81" s="2" t="s">
        <v>277</v>
      </c>
      <c r="J81" s="2" t="str">
        <f>'03_FC vs. Budget'!$A$122</f>
        <v>#3</v>
      </c>
    </row>
    <row r="82" spans="3:10">
      <c r="D82" s="2" t="s">
        <v>146</v>
      </c>
      <c r="E82" s="124" t="s">
        <v>100</v>
      </c>
      <c r="F82" s="2"/>
      <c r="G82" s="2"/>
      <c r="H82" s="2"/>
      <c r="I82" s="2" t="s">
        <v>277</v>
      </c>
      <c r="J82" s="2" t="str">
        <f>'03_FC vs. Budget'!$A$142</f>
        <v>#4</v>
      </c>
    </row>
    <row r="84" spans="3:10">
      <c r="C84" s="352" t="s">
        <v>180</v>
      </c>
    </row>
    <row r="86" spans="3:10">
      <c r="D86" s="2" t="s">
        <v>146</v>
      </c>
      <c r="E86" s="124" t="s">
        <v>185</v>
      </c>
      <c r="I86" s="142" t="s">
        <v>279</v>
      </c>
      <c r="J86" t="str">
        <f>'04_Cost split up_big'!A12</f>
        <v>#1</v>
      </c>
    </row>
    <row r="87" spans="3:10">
      <c r="D87" s="2" t="s">
        <v>145</v>
      </c>
      <c r="E87" s="124" t="s">
        <v>186</v>
      </c>
      <c r="I87" s="2" t="s">
        <v>276</v>
      </c>
      <c r="J87" t="str">
        <f>'02_Comparison'!A249</f>
        <v>#8</v>
      </c>
    </row>
    <row r="88" spans="3:10">
      <c r="D88" s="2" t="s">
        <v>145</v>
      </c>
      <c r="E88" s="124" t="s">
        <v>187</v>
      </c>
      <c r="I88" s="2" t="s">
        <v>276</v>
      </c>
      <c r="J88" t="str">
        <f>'02_Comparison'!A297</f>
        <v>#9</v>
      </c>
    </row>
    <row r="89" spans="3:10" ht="12">
      <c r="E89" s="152"/>
    </row>
    <row r="90" spans="3:10">
      <c r="C90" s="352" t="s">
        <v>193</v>
      </c>
    </row>
    <row r="92" spans="3:10">
      <c r="D92" s="2" t="s">
        <v>146</v>
      </c>
      <c r="E92" s="124" t="s">
        <v>89</v>
      </c>
      <c r="F92" s="2"/>
      <c r="G92" s="2"/>
      <c r="H92" s="2"/>
      <c r="I92" s="142" t="s">
        <v>278</v>
      </c>
      <c r="J92" s="2" t="str">
        <f>'04_Cost split up_small'!$A$117</f>
        <v>#5</v>
      </c>
    </row>
    <row r="94" spans="3:10">
      <c r="C94" s="352" t="s">
        <v>195</v>
      </c>
    </row>
    <row r="96" spans="3:10">
      <c r="D96" s="2" t="s">
        <v>145</v>
      </c>
      <c r="E96" s="124" t="s">
        <v>163</v>
      </c>
      <c r="F96" s="2"/>
      <c r="G96" s="2"/>
      <c r="H96" s="2"/>
      <c r="I96" s="142" t="s">
        <v>278</v>
      </c>
      <c r="J96" s="2" t="str">
        <f>'04_Cost split up_small'!$A$67</f>
        <v>#3</v>
      </c>
    </row>
    <row r="97" spans="2:10">
      <c r="D97" s="2" t="s">
        <v>146</v>
      </c>
      <c r="E97" s="2" t="s">
        <v>82</v>
      </c>
      <c r="F97" s="2"/>
      <c r="G97" s="2"/>
      <c r="H97" s="2"/>
      <c r="I97" s="142" t="s">
        <v>278</v>
      </c>
      <c r="J97" s="2" t="str">
        <f>'04_Cost split up_small'!$A$89</f>
        <v>#4</v>
      </c>
    </row>
    <row r="98" spans="2:10">
      <c r="D98" s="2" t="s">
        <v>146</v>
      </c>
      <c r="E98" s="2" t="s">
        <v>78</v>
      </c>
      <c r="F98" s="2"/>
      <c r="G98" s="2"/>
      <c r="H98" s="2"/>
      <c r="I98" s="142" t="s">
        <v>278</v>
      </c>
      <c r="J98" s="2" t="str">
        <f>'04_Cost split up_small'!$A$40</f>
        <v>#2</v>
      </c>
    </row>
    <row r="99" spans="2:10">
      <c r="D99" s="2" t="s">
        <v>145</v>
      </c>
      <c r="E99" s="124" t="s">
        <v>161</v>
      </c>
      <c r="F99" s="2"/>
      <c r="G99" s="2"/>
      <c r="H99" s="2"/>
      <c r="I99" s="2" t="s">
        <v>276</v>
      </c>
      <c r="J99" s="2" t="str">
        <f>'02_Comparison'!$A$117</f>
        <v>#4</v>
      </c>
    </row>
    <row r="100" spans="2:10">
      <c r="D100" s="2" t="s">
        <v>145</v>
      </c>
      <c r="E100" s="124" t="s">
        <v>162</v>
      </c>
      <c r="F100" s="2"/>
      <c r="G100" s="2"/>
      <c r="H100" s="2"/>
      <c r="I100" s="2" t="s">
        <v>276</v>
      </c>
      <c r="J100" s="2" t="str">
        <f>'02_Comparison'!$A$155</f>
        <v>#5</v>
      </c>
    </row>
    <row r="101" spans="2:10">
      <c r="D101" s="2" t="s">
        <v>145</v>
      </c>
      <c r="E101" s="124" t="s">
        <v>164</v>
      </c>
      <c r="F101" s="2"/>
      <c r="G101" s="2"/>
      <c r="H101" s="2"/>
      <c r="I101" s="2" t="s">
        <v>276</v>
      </c>
      <c r="J101" s="2" t="str">
        <f>'02_Comparison'!$A$218</f>
        <v>#7</v>
      </c>
    </row>
    <row r="104" spans="2:10" s="27" customFormat="1" ht="12">
      <c r="B104" s="353" t="s">
        <v>265</v>
      </c>
    </row>
    <row r="106" spans="2:10">
      <c r="C106" s="352" t="s">
        <v>267</v>
      </c>
    </row>
    <row r="108" spans="2:10">
      <c r="D108" s="2" t="s">
        <v>146</v>
      </c>
      <c r="E108" s="27" t="s">
        <v>3</v>
      </c>
      <c r="I108" s="166" t="s">
        <v>280</v>
      </c>
      <c r="J108" t="str">
        <f>'05_Cashflow_big'!$A$12</f>
        <v>#1</v>
      </c>
    </row>
    <row r="109" spans="2:10">
      <c r="D109" s="2" t="s">
        <v>146</v>
      </c>
      <c r="E109" s="27" t="s">
        <v>3</v>
      </c>
      <c r="F109" s="27"/>
      <c r="G109" s="27"/>
      <c r="H109" s="27"/>
      <c r="I109" s="166" t="s">
        <v>280</v>
      </c>
      <c r="J109" t="str">
        <f>'05_Cashflow_big'!$A$71</f>
        <v>#2</v>
      </c>
    </row>
    <row r="110" spans="2:10">
      <c r="D110" s="2" t="s">
        <v>146</v>
      </c>
      <c r="E110" s="27" t="s">
        <v>3</v>
      </c>
      <c r="F110" s="27"/>
      <c r="G110" s="27"/>
      <c r="H110" s="27"/>
      <c r="I110" s="166" t="s">
        <v>280</v>
      </c>
      <c r="J110" t="str">
        <f>'05_Cashflow_big'!$A$149</f>
        <v>#3</v>
      </c>
    </row>
    <row r="112" spans="2:10">
      <c r="C112" s="352" t="s">
        <v>268</v>
      </c>
    </row>
    <row r="114" spans="2:10">
      <c r="D114" s="2" t="s">
        <v>146</v>
      </c>
      <c r="E114" s="27" t="s">
        <v>273</v>
      </c>
      <c r="I114" s="166" t="s">
        <v>281</v>
      </c>
      <c r="J114" t="str">
        <f>'05_Cashflow_small'!$A$12</f>
        <v>#1</v>
      </c>
    </row>
    <row r="115" spans="2:10">
      <c r="D115" s="2" t="s">
        <v>145</v>
      </c>
      <c r="E115" s="27" t="s">
        <v>272</v>
      </c>
      <c r="I115" s="166" t="s">
        <v>281</v>
      </c>
      <c r="J115" s="27" t="str">
        <f>'05_Cashflow_small'!$A$12</f>
        <v>#1</v>
      </c>
    </row>
    <row r="117" spans="2:10">
      <c r="C117" s="352" t="s">
        <v>269</v>
      </c>
    </row>
    <row r="119" spans="2:10">
      <c r="D119" s="2" t="s">
        <v>145</v>
      </c>
      <c r="E119" s="27" t="s">
        <v>283</v>
      </c>
      <c r="I119" s="2" t="s">
        <v>276</v>
      </c>
      <c r="J119" t="str">
        <f>'02_Comparison'!A345</f>
        <v>#10</v>
      </c>
    </row>
    <row r="120" spans="2:10">
      <c r="D120" s="2" t="s">
        <v>145</v>
      </c>
      <c r="E120" s="27" t="s">
        <v>284</v>
      </c>
      <c r="I120" s="2" t="s">
        <v>276</v>
      </c>
      <c r="J120" t="str">
        <f>'02_Comparison'!A378</f>
        <v>#11</v>
      </c>
    </row>
    <row r="123" spans="2:10" ht="12">
      <c r="B123" s="353" t="s">
        <v>322</v>
      </c>
    </row>
    <row r="125" spans="2:10">
      <c r="C125" s="352" t="s">
        <v>323</v>
      </c>
    </row>
    <row r="127" spans="2:10">
      <c r="D127" s="2" t="s">
        <v>145</v>
      </c>
      <c r="E127" s="27" t="s">
        <v>313</v>
      </c>
      <c r="I127" s="27" t="s">
        <v>327</v>
      </c>
      <c r="J127" t="str">
        <f>'06_Financing'!$A$12</f>
        <v>#1</v>
      </c>
    </row>
    <row r="128" spans="2:10">
      <c r="D128" s="2" t="s">
        <v>146</v>
      </c>
      <c r="E128" s="27" t="s">
        <v>288</v>
      </c>
      <c r="I128" s="27" t="s">
        <v>327</v>
      </c>
      <c r="J128" s="27" t="str">
        <f>'06_Financing'!$A$12</f>
        <v>#1</v>
      </c>
    </row>
    <row r="130" spans="3:10">
      <c r="C130" s="352" t="s">
        <v>324</v>
      </c>
    </row>
    <row r="132" spans="3:10">
      <c r="D132" s="2" t="s">
        <v>146</v>
      </c>
      <c r="E132" s="27" t="s">
        <v>295</v>
      </c>
      <c r="I132" s="27" t="s">
        <v>327</v>
      </c>
      <c r="J132" t="str">
        <f>'06_Financing'!A38</f>
        <v>#2</v>
      </c>
    </row>
    <row r="133" spans="3:10">
      <c r="D133" s="2" t="s">
        <v>146</v>
      </c>
      <c r="E133" s="27" t="s">
        <v>293</v>
      </c>
      <c r="I133" s="27" t="s">
        <v>327</v>
      </c>
      <c r="J133" t="str">
        <f>'06_Financing'!A76</f>
        <v>#3</v>
      </c>
    </row>
    <row r="135" spans="3:10">
      <c r="C135" s="352" t="s">
        <v>325</v>
      </c>
    </row>
    <row r="137" spans="3:10">
      <c r="D137" s="2" t="s">
        <v>145</v>
      </c>
      <c r="E137" s="27" t="s">
        <v>331</v>
      </c>
      <c r="I137" s="27" t="s">
        <v>327</v>
      </c>
      <c r="J137" t="str">
        <f>'06_Financing'!A99</f>
        <v>#3</v>
      </c>
    </row>
    <row r="138" spans="3:10">
      <c r="D138" s="2" t="s">
        <v>145</v>
      </c>
      <c r="E138" s="27" t="s">
        <v>332</v>
      </c>
      <c r="I138" s="27" t="s">
        <v>327</v>
      </c>
      <c r="J138" t="str">
        <f>'06_Financing'!A122</f>
        <v>#4</v>
      </c>
    </row>
    <row r="141" spans="3:10">
      <c r="C141" s="352" t="s">
        <v>326</v>
      </c>
    </row>
    <row r="143" spans="3:10">
      <c r="D143" s="2" t="s">
        <v>145</v>
      </c>
      <c r="E143" s="27" t="s">
        <v>333</v>
      </c>
      <c r="I143" s="27" t="s">
        <v>327</v>
      </c>
      <c r="J143" t="str">
        <f>'06_Financing'!A149</f>
        <v>#5</v>
      </c>
    </row>
    <row r="144" spans="3:10">
      <c r="D144" s="2" t="s">
        <v>145</v>
      </c>
      <c r="E144" s="27" t="s">
        <v>337</v>
      </c>
      <c r="I144" s="2" t="s">
        <v>276</v>
      </c>
      <c r="J144" t="str">
        <f>'02_Comparison'!A408</f>
        <v>#12</v>
      </c>
    </row>
    <row r="145" spans="2:10">
      <c r="D145" s="2" t="s">
        <v>145</v>
      </c>
      <c r="E145" s="27" t="s">
        <v>336</v>
      </c>
      <c r="I145" s="2" t="s">
        <v>276</v>
      </c>
      <c r="J145" t="str">
        <f>'02_Comparison'!A440</f>
        <v>#13</v>
      </c>
    </row>
    <row r="148" spans="2:10" ht="12">
      <c r="B148" s="353" t="s">
        <v>343</v>
      </c>
    </row>
    <row r="150" spans="2:10">
      <c r="C150" s="352" t="s">
        <v>344</v>
      </c>
    </row>
    <row r="152" spans="2:10">
      <c r="D152" s="2" t="s">
        <v>145</v>
      </c>
      <c r="E152" s="124" t="s">
        <v>163</v>
      </c>
      <c r="F152" s="2"/>
      <c r="G152" s="2"/>
      <c r="H152" s="2"/>
      <c r="I152" s="142" t="s">
        <v>278</v>
      </c>
      <c r="J152" s="2" t="str">
        <f>'04_Cost split up_small'!$A$67</f>
        <v>#3</v>
      </c>
    </row>
    <row r="153" spans="2:10">
      <c r="D153" s="2" t="s">
        <v>146</v>
      </c>
      <c r="E153" s="2" t="s">
        <v>82</v>
      </c>
      <c r="F153" s="2"/>
      <c r="G153" s="2"/>
      <c r="H153" s="2"/>
      <c r="I153" s="142" t="s">
        <v>278</v>
      </c>
      <c r="J153" s="2" t="str">
        <f>'04_Cost split up_small'!$A$89</f>
        <v>#4</v>
      </c>
    </row>
    <row r="155" spans="2:10">
      <c r="C155" s="352" t="s">
        <v>345</v>
      </c>
    </row>
    <row r="157" spans="2:10">
      <c r="D157" s="2" t="s">
        <v>145</v>
      </c>
      <c r="E157" s="2" t="s">
        <v>346</v>
      </c>
      <c r="I157" s="27" t="s">
        <v>373</v>
      </c>
      <c r="J157" t="str">
        <f>'07_Investments'!A12</f>
        <v>#1</v>
      </c>
    </row>
    <row r="158" spans="2:10">
      <c r="D158" s="2" t="s">
        <v>145</v>
      </c>
      <c r="E158" s="2" t="s">
        <v>347</v>
      </c>
      <c r="I158" s="27" t="s">
        <v>373</v>
      </c>
      <c r="J158" t="str">
        <f>'07_Investments'!A33</f>
        <v>#2</v>
      </c>
    </row>
    <row r="160" spans="2:10">
      <c r="C160" s="352" t="s">
        <v>348</v>
      </c>
    </row>
    <row r="162" spans="2:10">
      <c r="D162" s="2" t="s">
        <v>146</v>
      </c>
      <c r="E162" s="2" t="s">
        <v>358</v>
      </c>
      <c r="I162" s="27" t="s">
        <v>373</v>
      </c>
      <c r="J162" t="str">
        <f>'07_Investments'!A56</f>
        <v>#3</v>
      </c>
    </row>
    <row r="163" spans="2:10">
      <c r="D163" s="2" t="s">
        <v>145</v>
      </c>
      <c r="E163" s="2" t="s">
        <v>349</v>
      </c>
      <c r="I163" s="27" t="s">
        <v>373</v>
      </c>
      <c r="J163" t="str">
        <f>'07_Investments'!A86</f>
        <v>#4</v>
      </c>
    </row>
    <row r="164" spans="2:10">
      <c r="E164" s="2"/>
    </row>
    <row r="165" spans="2:10">
      <c r="C165" s="352" t="s">
        <v>350</v>
      </c>
    </row>
    <row r="167" spans="2:10">
      <c r="D167" s="2" t="s">
        <v>145</v>
      </c>
      <c r="E167" s="124" t="s">
        <v>162</v>
      </c>
      <c r="F167" s="2"/>
      <c r="G167" s="2"/>
      <c r="H167" s="2"/>
      <c r="I167" s="2" t="s">
        <v>276</v>
      </c>
      <c r="J167" s="2" t="str">
        <f>'02_Comparison'!$A$155</f>
        <v>#5</v>
      </c>
    </row>
    <row r="168" spans="2:10">
      <c r="D168" s="2" t="s">
        <v>145</v>
      </c>
      <c r="E168" s="124" t="s">
        <v>164</v>
      </c>
      <c r="F168" s="2"/>
      <c r="G168" s="2"/>
      <c r="H168" s="2"/>
      <c r="I168" s="2" t="s">
        <v>276</v>
      </c>
      <c r="J168" s="2" t="str">
        <f>'02_Comparison'!$A$218</f>
        <v>#7</v>
      </c>
    </row>
    <row r="170" spans="2:10" ht="12">
      <c r="B170" s="127"/>
    </row>
    <row r="171" spans="2:10" ht="12">
      <c r="B171" s="353" t="s">
        <v>376</v>
      </c>
    </row>
    <row r="173" spans="2:10">
      <c r="C173" s="352" t="s">
        <v>377</v>
      </c>
    </row>
    <row r="175" spans="2:10">
      <c r="D175" s="2" t="s">
        <v>145</v>
      </c>
      <c r="E175" s="124" t="s">
        <v>379</v>
      </c>
      <c r="I175" s="27" t="s">
        <v>395</v>
      </c>
      <c r="J175" t="str">
        <f>'08_Adherence'!A12</f>
        <v>#1</v>
      </c>
    </row>
    <row r="178" spans="2:10">
      <c r="C178" s="352" t="s">
        <v>378</v>
      </c>
    </row>
    <row r="180" spans="2:10">
      <c r="D180" s="2" t="s">
        <v>145</v>
      </c>
      <c r="E180" s="27" t="s">
        <v>394</v>
      </c>
      <c r="I180" s="27" t="s">
        <v>395</v>
      </c>
      <c r="J180" t="str">
        <f>'08_Adherence'!$A$31</f>
        <v>#2</v>
      </c>
    </row>
    <row r="181" spans="2:10">
      <c r="D181" s="2" t="s">
        <v>146</v>
      </c>
      <c r="E181" s="27" t="s">
        <v>383</v>
      </c>
      <c r="I181" s="27" t="s">
        <v>395</v>
      </c>
      <c r="J181" s="27" t="str">
        <f>'08_Adherence'!$A$31</f>
        <v>#2</v>
      </c>
    </row>
    <row r="182" spans="2:10">
      <c r="D182" s="2" t="s">
        <v>145</v>
      </c>
      <c r="E182" s="27" t="s">
        <v>397</v>
      </c>
      <c r="I182" s="27" t="s">
        <v>395</v>
      </c>
      <c r="J182" t="str">
        <f>'08_Adherence'!$A$59</f>
        <v>#3</v>
      </c>
    </row>
    <row r="183" spans="2:10">
      <c r="D183" s="2" t="s">
        <v>146</v>
      </c>
      <c r="E183" s="27" t="s">
        <v>396</v>
      </c>
      <c r="I183" s="27" t="s">
        <v>395</v>
      </c>
      <c r="J183" s="27" t="str">
        <f>'08_Adherence'!$A$59</f>
        <v>#3</v>
      </c>
    </row>
    <row r="186" spans="2:10" s="27" customFormat="1" ht="12">
      <c r="B186" s="353" t="s">
        <v>399</v>
      </c>
    </row>
    <row r="187" spans="2:10" s="27" customFormat="1"/>
    <row r="188" spans="2:10">
      <c r="C188" s="352" t="s">
        <v>401</v>
      </c>
    </row>
    <row r="190" spans="2:10">
      <c r="D190" s="2" t="s">
        <v>145</v>
      </c>
      <c r="E190" s="27" t="s">
        <v>405</v>
      </c>
      <c r="F190" s="27"/>
      <c r="G190" s="27"/>
      <c r="H190" s="27"/>
      <c r="I190" s="27" t="s">
        <v>445</v>
      </c>
      <c r="J190" s="27" t="str">
        <f>'09_Sustainable year'!$A$12</f>
        <v>#1</v>
      </c>
    </row>
    <row r="191" spans="2:10">
      <c r="D191" s="2" t="s">
        <v>145</v>
      </c>
      <c r="E191" s="27" t="s">
        <v>406</v>
      </c>
      <c r="F191" s="27"/>
      <c r="G191" s="27"/>
      <c r="H191" s="27"/>
      <c r="I191" s="27" t="s">
        <v>445</v>
      </c>
      <c r="J191" s="27" t="str">
        <f>'09_Sustainable year'!$A$34</f>
        <v>#2</v>
      </c>
    </row>
    <row r="192" spans="2:10" s="27" customFormat="1">
      <c r="D192" s="2" t="s">
        <v>145</v>
      </c>
      <c r="E192" s="27" t="s">
        <v>407</v>
      </c>
      <c r="I192" s="27" t="s">
        <v>445</v>
      </c>
      <c r="J192" s="27" t="str">
        <f>'09_Sustainable year'!$A$71</f>
        <v>#3</v>
      </c>
    </row>
    <row r="194" spans="3:10">
      <c r="C194" s="352" t="s">
        <v>400</v>
      </c>
    </row>
    <row r="196" spans="3:10">
      <c r="D196" s="2" t="s">
        <v>145</v>
      </c>
      <c r="E196" s="27" t="s">
        <v>408</v>
      </c>
      <c r="F196" s="27"/>
      <c r="G196" s="27"/>
      <c r="H196" s="27"/>
      <c r="I196" s="27" t="s">
        <v>445</v>
      </c>
      <c r="J196" s="27" t="str">
        <f>'09_Sustainable year'!A98</f>
        <v>#4</v>
      </c>
    </row>
    <row r="197" spans="3:10">
      <c r="D197" s="2" t="s">
        <v>145</v>
      </c>
      <c r="E197" s="27" t="s">
        <v>409</v>
      </c>
      <c r="F197" s="27"/>
      <c r="G197" s="27"/>
      <c r="H197" s="27"/>
      <c r="I197" s="27" t="s">
        <v>445</v>
      </c>
      <c r="J197" s="27" t="str">
        <f>'09_Sustainable year'!$A$12</f>
        <v>#1</v>
      </c>
    </row>
    <row r="198" spans="3:10">
      <c r="D198" s="2" t="s">
        <v>145</v>
      </c>
      <c r="E198" s="27" t="s">
        <v>410</v>
      </c>
      <c r="F198" s="27"/>
      <c r="G198" s="27"/>
      <c r="H198" s="27"/>
      <c r="I198" s="27" t="s">
        <v>445</v>
      </c>
      <c r="J198" s="27" t="str">
        <f>'09_Sustainable year'!A118</f>
        <v>#5</v>
      </c>
    </row>
    <row r="199" spans="3:10">
      <c r="D199" s="2" t="s">
        <v>145</v>
      </c>
      <c r="E199" s="27" t="s">
        <v>411</v>
      </c>
      <c r="F199" s="27"/>
      <c r="G199" s="27"/>
      <c r="H199" s="27"/>
      <c r="I199" s="2" t="s">
        <v>276</v>
      </c>
      <c r="J199" s="27" t="str">
        <f>'02_Comparison'!A470</f>
        <v>#14</v>
      </c>
    </row>
    <row r="201" spans="3:10">
      <c r="C201" s="352" t="s">
        <v>402</v>
      </c>
    </row>
    <row r="203" spans="3:10">
      <c r="D203" s="2" t="s">
        <v>145</v>
      </c>
      <c r="E203" s="27" t="s">
        <v>412</v>
      </c>
      <c r="F203" s="27"/>
      <c r="G203" s="27"/>
      <c r="H203" s="27"/>
      <c r="I203" s="27" t="s">
        <v>373</v>
      </c>
      <c r="J203" s="2" t="str">
        <f>'07_Investments'!A107</f>
        <v>#5</v>
      </c>
    </row>
    <row r="204" spans="3:10">
      <c r="D204" s="2" t="s">
        <v>145</v>
      </c>
      <c r="E204" s="27" t="s">
        <v>413</v>
      </c>
      <c r="F204" s="27"/>
      <c r="G204" s="27"/>
      <c r="H204" s="27"/>
      <c r="I204" s="2" t="s">
        <v>276</v>
      </c>
      <c r="J204" s="2" t="str">
        <f>'02_Comparison'!$A$155</f>
        <v>#5</v>
      </c>
    </row>
    <row r="206" spans="3:10">
      <c r="C206" s="352" t="s">
        <v>403</v>
      </c>
    </row>
    <row r="208" spans="3:10">
      <c r="D208" s="2" t="s">
        <v>145</v>
      </c>
      <c r="E208" s="27" t="s">
        <v>414</v>
      </c>
      <c r="F208" s="27"/>
      <c r="G208" s="27"/>
      <c r="H208" s="27"/>
      <c r="I208" s="2" t="s">
        <v>276</v>
      </c>
      <c r="J208" s="27" t="str">
        <f>'02_Comparison'!A408</f>
        <v>#12</v>
      </c>
    </row>
    <row r="210" spans="2:10">
      <c r="C210" s="352" t="s">
        <v>404</v>
      </c>
    </row>
    <row r="212" spans="2:10">
      <c r="D212" s="2" t="s">
        <v>145</v>
      </c>
      <c r="E212" s="27" t="s">
        <v>415</v>
      </c>
      <c r="F212" s="27"/>
      <c r="G212" s="27"/>
      <c r="H212" s="27"/>
      <c r="I212" s="27" t="s">
        <v>445</v>
      </c>
      <c r="J212" s="27" t="str">
        <f>'09_Sustainable year'!A139</f>
        <v>#6</v>
      </c>
    </row>
    <row r="215" spans="2:10" ht="12">
      <c r="B215" s="353" t="s">
        <v>446</v>
      </c>
    </row>
    <row r="217" spans="2:10">
      <c r="C217" s="352" t="s">
        <v>447</v>
      </c>
    </row>
    <row r="219" spans="2:10" s="27" customFormat="1">
      <c r="D219" s="2" t="s">
        <v>145</v>
      </c>
      <c r="E219" s="27" t="s">
        <v>456</v>
      </c>
      <c r="I219" s="27" t="s">
        <v>533</v>
      </c>
      <c r="J219" s="27" t="str">
        <f>'10_Sales &amp; GP'!A12</f>
        <v>#1</v>
      </c>
    </row>
    <row r="220" spans="2:10" s="27" customFormat="1">
      <c r="D220" s="2" t="s">
        <v>145</v>
      </c>
      <c r="E220" s="27" t="s">
        <v>457</v>
      </c>
      <c r="I220" s="27" t="s">
        <v>512</v>
      </c>
      <c r="J220" s="27" t="str">
        <f>'99_Others'!F1</f>
        <v>#1</v>
      </c>
    </row>
    <row r="221" spans="2:10" s="27" customFormat="1">
      <c r="D221" s="2" t="s">
        <v>145</v>
      </c>
      <c r="E221" s="27" t="s">
        <v>458</v>
      </c>
      <c r="I221" s="27" t="s">
        <v>616</v>
      </c>
      <c r="J221" s="27" t="str">
        <f>'02_Comparison'!A503</f>
        <v>#15</v>
      </c>
    </row>
    <row r="222" spans="2:10" s="27" customFormat="1">
      <c r="D222" s="2" t="s">
        <v>145</v>
      </c>
      <c r="E222" s="27" t="s">
        <v>459</v>
      </c>
      <c r="I222" s="27" t="s">
        <v>616</v>
      </c>
      <c r="J222" s="27" t="str">
        <f>'02_Comparison'!A540</f>
        <v>#16</v>
      </c>
    </row>
    <row r="223" spans="2:10" s="27" customFormat="1"/>
    <row r="224" spans="2:10">
      <c r="C224" s="352" t="s">
        <v>448</v>
      </c>
    </row>
    <row r="226" spans="3:10" s="27" customFormat="1">
      <c r="D226" s="2" t="s">
        <v>145</v>
      </c>
      <c r="E226" s="27" t="s">
        <v>460</v>
      </c>
      <c r="I226" s="27" t="s">
        <v>533</v>
      </c>
      <c r="J226" s="27" t="str">
        <f>'10_Sales &amp; GP'!A39</f>
        <v>#2</v>
      </c>
    </row>
    <row r="227" spans="3:10" s="27" customFormat="1">
      <c r="D227" s="2" t="s">
        <v>145</v>
      </c>
      <c r="E227" s="27" t="s">
        <v>461</v>
      </c>
      <c r="I227" s="27" t="s">
        <v>533</v>
      </c>
      <c r="J227" s="27" t="str">
        <f>'10_Sales &amp; GP'!A66</f>
        <v>#3</v>
      </c>
    </row>
    <row r="228" spans="3:10" s="27" customFormat="1">
      <c r="D228" s="2" t="s">
        <v>145</v>
      </c>
      <c r="E228" s="27" t="s">
        <v>462</v>
      </c>
      <c r="I228" s="27" t="s">
        <v>533</v>
      </c>
      <c r="J228" s="27" t="str">
        <f>'10_Sales &amp; GP'!A96</f>
        <v>#4</v>
      </c>
    </row>
    <row r="229" spans="3:10" s="27" customFormat="1">
      <c r="D229" s="2" t="s">
        <v>145</v>
      </c>
      <c r="E229" s="27" t="s">
        <v>463</v>
      </c>
      <c r="I229" s="27" t="s">
        <v>533</v>
      </c>
      <c r="J229" s="27" t="str">
        <f>'10_Sales &amp; GP'!$A$142</f>
        <v>#5</v>
      </c>
    </row>
    <row r="230" spans="3:10" s="27" customFormat="1">
      <c r="D230" s="2" t="s">
        <v>145</v>
      </c>
      <c r="E230" s="27" t="s">
        <v>464</v>
      </c>
      <c r="I230" s="27" t="s">
        <v>533</v>
      </c>
      <c r="J230" s="27" t="str">
        <f>'10_Sales &amp; GP'!A96</f>
        <v>#4</v>
      </c>
    </row>
    <row r="231" spans="3:10" s="27" customFormat="1">
      <c r="D231" s="2" t="s">
        <v>145</v>
      </c>
      <c r="E231" s="27" t="s">
        <v>465</v>
      </c>
      <c r="I231" s="27" t="s">
        <v>533</v>
      </c>
      <c r="J231" s="27" t="str">
        <f>'10_Sales &amp; GP'!$A$142</f>
        <v>#5</v>
      </c>
    </row>
    <row r="232" spans="3:10" s="27" customFormat="1">
      <c r="D232" s="2" t="s">
        <v>145</v>
      </c>
      <c r="E232" s="27" t="s">
        <v>466</v>
      </c>
      <c r="I232" s="27" t="s">
        <v>533</v>
      </c>
      <c r="J232" s="27" t="str">
        <f>'10_Sales &amp; GP'!A96</f>
        <v>#4</v>
      </c>
    </row>
    <row r="233" spans="3:10" s="27" customFormat="1">
      <c r="D233" s="2" t="s">
        <v>145</v>
      </c>
      <c r="E233" s="27" t="s">
        <v>467</v>
      </c>
      <c r="I233" s="27" t="s">
        <v>533</v>
      </c>
      <c r="J233" s="27" t="str">
        <f>'10_Sales &amp; GP'!$A$142</f>
        <v>#5</v>
      </c>
    </row>
    <row r="234" spans="3:10" s="27" customFormat="1">
      <c r="D234" s="2" t="s">
        <v>145</v>
      </c>
      <c r="E234" s="27" t="s">
        <v>468</v>
      </c>
      <c r="I234" s="27" t="s">
        <v>533</v>
      </c>
      <c r="J234" s="27" t="str">
        <f>'10_Sales &amp; GP'!$A$226</f>
        <v>#6</v>
      </c>
    </row>
    <row r="235" spans="3:10" s="27" customFormat="1">
      <c r="D235" s="2" t="s">
        <v>145</v>
      </c>
      <c r="E235" s="27" t="s">
        <v>469</v>
      </c>
      <c r="I235" s="27" t="s">
        <v>533</v>
      </c>
      <c r="J235" s="27" t="str">
        <f>'10_Sales &amp; GP'!$A$226</f>
        <v>#6</v>
      </c>
    </row>
    <row r="237" spans="3:10">
      <c r="C237" s="352" t="s">
        <v>449</v>
      </c>
    </row>
    <row r="239" spans="3:10" s="27" customFormat="1">
      <c r="D239" s="2" t="s">
        <v>145</v>
      </c>
      <c r="E239" s="27" t="s">
        <v>470</v>
      </c>
      <c r="I239" s="27" t="s">
        <v>533</v>
      </c>
      <c r="J239" s="27" t="str">
        <f>'10_Sales &amp; GP'!A262</f>
        <v>#7</v>
      </c>
    </row>
    <row r="240" spans="3:10" s="27" customFormat="1">
      <c r="D240" s="2" t="s">
        <v>146</v>
      </c>
      <c r="E240" s="27" t="s">
        <v>536</v>
      </c>
      <c r="I240" s="27" t="s">
        <v>542</v>
      </c>
      <c r="J240" s="27" t="str">
        <f>'10_Sales &amp; GP tables'!A12</f>
        <v>#1</v>
      </c>
    </row>
    <row r="241" spans="3:10" s="27" customFormat="1">
      <c r="D241" s="2" t="s">
        <v>145</v>
      </c>
      <c r="E241" s="27" t="s">
        <v>471</v>
      </c>
      <c r="I241" s="27" t="s">
        <v>533</v>
      </c>
      <c r="J241" s="27" t="str">
        <f>'10_Sales &amp; GP'!A282</f>
        <v>#8</v>
      </c>
    </row>
    <row r="242" spans="3:10" s="27" customFormat="1">
      <c r="D242" s="2" t="s">
        <v>146</v>
      </c>
      <c r="E242" s="27" t="s">
        <v>472</v>
      </c>
      <c r="I242" s="27" t="s">
        <v>542</v>
      </c>
      <c r="J242" s="27" t="str">
        <f>'10_Sales &amp; GP tables'!A36</f>
        <v>#2</v>
      </c>
    </row>
    <row r="244" spans="3:10">
      <c r="C244" s="352" t="s">
        <v>450</v>
      </c>
    </row>
    <row r="246" spans="3:10" s="27" customFormat="1">
      <c r="D246" s="2"/>
      <c r="E246" s="27" t="s">
        <v>473</v>
      </c>
      <c r="I246" s="27" t="s">
        <v>533</v>
      </c>
      <c r="J246" s="27" t="str">
        <f>'10_Sales &amp; GP'!A297</f>
        <v>#9</v>
      </c>
    </row>
    <row r="248" spans="3:10">
      <c r="C248" s="352" t="s">
        <v>451</v>
      </c>
    </row>
    <row r="250" spans="3:10" s="27" customFormat="1">
      <c r="D250" s="2"/>
      <c r="E250" s="27" t="s">
        <v>474</v>
      </c>
      <c r="I250" s="27" t="s">
        <v>533</v>
      </c>
      <c r="J250" s="27" t="str">
        <f>'10_Sales &amp; GP'!A314</f>
        <v>#10</v>
      </c>
    </row>
    <row r="252" spans="3:10">
      <c r="C252" s="352" t="s">
        <v>452</v>
      </c>
    </row>
    <row r="254" spans="3:10" s="27" customFormat="1">
      <c r="D254" s="2"/>
      <c r="E254" s="27" t="s">
        <v>475</v>
      </c>
      <c r="I254" s="2" t="s">
        <v>276</v>
      </c>
      <c r="J254" s="27" t="str">
        <f>'02_Comparison'!A570</f>
        <v>#17</v>
      </c>
    </row>
    <row r="255" spans="3:10" s="27" customFormat="1">
      <c r="D255" s="2"/>
      <c r="E255" s="27" t="s">
        <v>476</v>
      </c>
      <c r="I255" s="2" t="s">
        <v>276</v>
      </c>
      <c r="J255" s="27" t="str">
        <f>'02_Comparison'!A608</f>
        <v>#18</v>
      </c>
    </row>
    <row r="256" spans="3:10" s="27" customFormat="1">
      <c r="D256" s="2"/>
      <c r="E256" s="27" t="s">
        <v>477</v>
      </c>
      <c r="I256" s="2" t="s">
        <v>276</v>
      </c>
      <c r="J256" s="27" t="str">
        <f>'02_Comparison'!A680</f>
        <v>#19</v>
      </c>
    </row>
    <row r="257" spans="3:10" s="27" customFormat="1">
      <c r="D257" s="2"/>
      <c r="E257" s="27" t="s">
        <v>478</v>
      </c>
      <c r="I257" s="27" t="s">
        <v>533</v>
      </c>
      <c r="J257" s="27" t="str">
        <f>'10_Sales &amp; GP'!A335</f>
        <v>#11</v>
      </c>
    </row>
    <row r="259" spans="3:10">
      <c r="C259" s="352" t="s">
        <v>453</v>
      </c>
    </row>
    <row r="261" spans="3:10" s="27" customFormat="1">
      <c r="D261" s="2" t="s">
        <v>145</v>
      </c>
      <c r="E261" s="27" t="s">
        <v>70</v>
      </c>
      <c r="I261" s="27" t="s">
        <v>277</v>
      </c>
      <c r="J261" s="27" t="str">
        <f>'03_FC vs. Budget'!$A$122</f>
        <v>#3</v>
      </c>
    </row>
    <row r="262" spans="3:10" s="27" customFormat="1">
      <c r="D262" s="2" t="s">
        <v>146</v>
      </c>
      <c r="E262" s="27" t="s">
        <v>100</v>
      </c>
      <c r="I262" s="27" t="s">
        <v>277</v>
      </c>
      <c r="J262" s="27" t="str">
        <f>'03_FC vs. Budget'!$A$142</f>
        <v>#4</v>
      </c>
    </row>
    <row r="263" spans="3:10" s="27" customFormat="1">
      <c r="D263" s="2" t="s">
        <v>145</v>
      </c>
      <c r="E263" s="27" t="s">
        <v>153</v>
      </c>
      <c r="I263" s="27" t="s">
        <v>277</v>
      </c>
      <c r="J263" s="27" t="str">
        <f>'03_FC vs. Budget'!$A$12</f>
        <v>#1</v>
      </c>
    </row>
    <row r="264" spans="3:10" s="27" customFormat="1">
      <c r="D264" s="2" t="s">
        <v>146</v>
      </c>
      <c r="E264" s="27" t="s">
        <v>99</v>
      </c>
      <c r="I264" s="27" t="s">
        <v>277</v>
      </c>
      <c r="J264" s="27" t="str">
        <f>'03_FC vs. Budget'!$A$12</f>
        <v>#1</v>
      </c>
    </row>
    <row r="266" spans="3:10">
      <c r="C266" s="352" t="s">
        <v>454</v>
      </c>
    </row>
    <row r="268" spans="3:10" s="27" customFormat="1">
      <c r="D268" s="2"/>
      <c r="E268" s="27" t="s">
        <v>479</v>
      </c>
      <c r="I268" s="27" t="s">
        <v>568</v>
      </c>
      <c r="J268" s="27" t="str">
        <f>'11_Currency'!$A$12</f>
        <v>#1</v>
      </c>
    </row>
    <row r="269" spans="3:10" s="27" customFormat="1">
      <c r="D269" s="2"/>
      <c r="E269" s="27" t="s">
        <v>480</v>
      </c>
      <c r="I269" s="27" t="s">
        <v>568</v>
      </c>
      <c r="J269" s="27" t="str">
        <f>'11_Currency'!A39</f>
        <v>#2</v>
      </c>
    </row>
    <row r="271" spans="3:10">
      <c r="C271" s="352" t="s">
        <v>455</v>
      </c>
    </row>
    <row r="273" spans="4:10" s="27" customFormat="1">
      <c r="D273" s="2"/>
      <c r="E273" s="27" t="s">
        <v>481</v>
      </c>
      <c r="I273" s="27" t="s">
        <v>533</v>
      </c>
      <c r="J273" s="27" t="str">
        <f>'10_Sales &amp; GP'!$A$362</f>
        <v>#12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/>
  <dimension ref="A1:U49"/>
  <sheetViews>
    <sheetView zoomScale="40" zoomScaleNormal="40" workbookViewId="0">
      <selection activeCell="E7" sqref="E7"/>
    </sheetView>
  </sheetViews>
  <sheetFormatPr defaultColWidth="11.5" defaultRowHeight="11.25"/>
  <cols>
    <col min="1" max="1" width="19.83203125" style="27" customWidth="1"/>
    <col min="2" max="13" width="9.5" style="27" customWidth="1"/>
    <col min="14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21" ht="20.25" customHeight="1">
      <c r="A1" s="46" t="s">
        <v>104</v>
      </c>
    </row>
    <row r="2" spans="1:21" ht="20.25" customHeight="1">
      <c r="A2" s="48" t="s">
        <v>565</v>
      </c>
    </row>
    <row r="3" spans="1:21" ht="20.25" customHeight="1">
      <c r="A3" s="48"/>
    </row>
    <row r="4" spans="1:21" ht="20.25" customHeight="1">
      <c r="A4" s="48"/>
    </row>
    <row r="5" spans="1:21" ht="20.25" customHeight="1">
      <c r="A5" s="48"/>
    </row>
    <row r="6" spans="1:21" ht="20.25" customHeight="1">
      <c r="A6" s="47"/>
    </row>
    <row r="7" spans="1:21" ht="20.25" customHeight="1">
      <c r="A7" s="47"/>
    </row>
    <row r="8" spans="1:21" ht="20.25" customHeight="1">
      <c r="A8" s="47"/>
    </row>
    <row r="9" spans="1:21" ht="20.25" customHeight="1">
      <c r="A9" s="47"/>
    </row>
    <row r="10" spans="1:21" ht="20.25" customHeight="1">
      <c r="A10" s="47"/>
    </row>
    <row r="11" spans="1:21" ht="20.25" customHeight="1">
      <c r="A11" s="47"/>
    </row>
    <row r="12" spans="1:21" s="356" customFormat="1" ht="20.25" customHeight="1">
      <c r="A12" s="355" t="s">
        <v>158</v>
      </c>
    </row>
    <row r="14" spans="1:21" s="233" customFormat="1"/>
    <row r="15" spans="1:21" s="233" customFormat="1">
      <c r="A15" s="12" t="s">
        <v>95</v>
      </c>
      <c r="H15" s="233" t="str">
        <f>A16</f>
        <v>Sales 2012</v>
      </c>
      <c r="N15" s="343"/>
      <c r="O15" s="233" t="str">
        <f>A21</f>
        <v>Expenditures 2012</v>
      </c>
      <c r="R15" s="343"/>
      <c r="S15" s="784"/>
      <c r="T15" s="784"/>
      <c r="U15" s="784"/>
    </row>
    <row r="16" spans="1:21" s="233" customFormat="1">
      <c r="A16" s="150" t="str">
        <f>CONCATENATE("Sales ",Input!G68)</f>
        <v>Sales 2012</v>
      </c>
      <c r="B16" s="150"/>
    </row>
    <row r="17" spans="1:2" s="233" customFormat="1">
      <c r="A17" s="188" t="s">
        <v>567</v>
      </c>
      <c r="B17" s="188">
        <v>65</v>
      </c>
    </row>
    <row r="18" spans="1:2" s="233" customFormat="1">
      <c r="A18" s="188" t="s">
        <v>566</v>
      </c>
      <c r="B18" s="188">
        <v>35</v>
      </c>
    </row>
    <row r="19" spans="1:2" s="233" customFormat="1">
      <c r="A19" s="150"/>
      <c r="B19" s="150"/>
    </row>
    <row r="20" spans="1:2" s="233" customFormat="1">
      <c r="A20" s="150"/>
      <c r="B20" s="150"/>
    </row>
    <row r="21" spans="1:2" s="233" customFormat="1">
      <c r="A21" s="150" t="str">
        <f>CONCATENATE("Expenditures ",Input!G68)</f>
        <v>Expenditures 2012</v>
      </c>
      <c r="B21" s="150"/>
    </row>
    <row r="22" spans="1:2" s="233" customFormat="1">
      <c r="A22" s="188" t="s">
        <v>567</v>
      </c>
      <c r="B22" s="188">
        <v>62</v>
      </c>
    </row>
    <row r="23" spans="1:2" s="233" customFormat="1">
      <c r="A23" s="188" t="s">
        <v>566</v>
      </c>
      <c r="B23" s="188">
        <v>38</v>
      </c>
    </row>
    <row r="24" spans="1:2" s="233" customFormat="1">
      <c r="A24" s="150"/>
      <c r="B24" s="150"/>
    </row>
    <row r="25" spans="1:2" s="233" customFormat="1">
      <c r="A25" s="150"/>
      <c r="B25" s="150"/>
    </row>
    <row r="26" spans="1:2" s="233" customFormat="1">
      <c r="A26" s="150"/>
      <c r="B26" s="150"/>
    </row>
    <row r="27" spans="1:2" s="233" customFormat="1"/>
    <row r="28" spans="1:2" s="233" customFormat="1"/>
    <row r="29" spans="1:2" s="233" customFormat="1"/>
    <row r="30" spans="1:2" s="233" customFormat="1"/>
    <row r="31" spans="1:2" s="233" customFormat="1"/>
    <row r="39" spans="1:13" s="356" customFormat="1" ht="20.25" customHeight="1">
      <c r="A39" s="355" t="s">
        <v>114</v>
      </c>
    </row>
    <row r="41" spans="1:13" s="233" customFormat="1">
      <c r="A41" s="12" t="s">
        <v>95</v>
      </c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1:13" s="233" customFormat="1">
      <c r="A42" s="344" t="s">
        <v>566</v>
      </c>
      <c r="B42" s="150"/>
      <c r="C42" s="150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1:13" s="233" customFormat="1">
      <c r="A43" s="12" t="s">
        <v>575</v>
      </c>
      <c r="B43" s="150"/>
      <c r="C43" s="150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1:13" s="233" customFormat="1">
      <c r="A44" s="344" t="s">
        <v>567</v>
      </c>
      <c r="B44" s="785">
        <f>Input!H68</f>
        <v>2013</v>
      </c>
      <c r="C44" s="785"/>
      <c r="D44" s="785"/>
      <c r="E44" s="785"/>
      <c r="F44" s="785">
        <f>B44+1</f>
        <v>2014</v>
      </c>
      <c r="G44" s="785"/>
      <c r="H44" s="785"/>
      <c r="I44" s="785"/>
      <c r="J44" s="785">
        <f>F44+1</f>
        <v>2015</v>
      </c>
      <c r="K44" s="785"/>
      <c r="L44" s="785"/>
      <c r="M44" s="785"/>
    </row>
    <row r="45" spans="1:13" s="233" customFormat="1">
      <c r="A45" s="150"/>
      <c r="B45" s="150" t="s">
        <v>574</v>
      </c>
      <c r="C45" s="150" t="s">
        <v>573</v>
      </c>
      <c r="D45" s="150" t="s">
        <v>572</v>
      </c>
      <c r="E45" s="150" t="s">
        <v>571</v>
      </c>
      <c r="F45" s="150" t="s">
        <v>574</v>
      </c>
      <c r="G45" s="150" t="s">
        <v>573</v>
      </c>
      <c r="H45" s="150" t="s">
        <v>572</v>
      </c>
      <c r="I45" s="150" t="s">
        <v>571</v>
      </c>
      <c r="J45" s="150" t="s">
        <v>574</v>
      </c>
      <c r="K45" s="150" t="s">
        <v>573</v>
      </c>
      <c r="L45" s="150" t="s">
        <v>572</v>
      </c>
      <c r="M45" s="150" t="s">
        <v>571</v>
      </c>
    </row>
    <row r="46" spans="1:13" s="233" customFormat="1">
      <c r="A46" s="150" t="s">
        <v>570</v>
      </c>
      <c r="B46" s="188">
        <v>0.75700000000000001</v>
      </c>
      <c r="C46" s="188">
        <v>0.75700000000000001</v>
      </c>
      <c r="D46" s="188">
        <v>0.75700000000000001</v>
      </c>
      <c r="E46" s="188">
        <v>0.75700000000000001</v>
      </c>
      <c r="F46" s="188">
        <v>0.75700000000000001</v>
      </c>
      <c r="G46" s="188">
        <v>0.75700000000000001</v>
      </c>
      <c r="H46" s="188">
        <v>0.75700000000000001</v>
      </c>
      <c r="I46" s="188">
        <v>0.75700000000000001</v>
      </c>
      <c r="J46" s="188">
        <v>0.75700000000000001</v>
      </c>
      <c r="K46" s="188">
        <v>0.75700000000000001</v>
      </c>
      <c r="L46" s="188">
        <v>0.75700000000000001</v>
      </c>
      <c r="M46" s="188">
        <v>0.75700000000000001</v>
      </c>
    </row>
    <row r="47" spans="1:13" s="233" customFormat="1">
      <c r="A47" s="150" t="s">
        <v>569</v>
      </c>
      <c r="B47" s="188">
        <v>0.75900000000000001</v>
      </c>
      <c r="C47" s="188">
        <v>0.77300000000000002</v>
      </c>
      <c r="D47" s="188">
        <v>0.78300000000000003</v>
      </c>
      <c r="E47" s="188">
        <v>0.79600000000000004</v>
      </c>
      <c r="F47" s="188">
        <v>0.81100000000000005</v>
      </c>
      <c r="G47" s="188">
        <v>0.83099999999999996</v>
      </c>
      <c r="H47" s="188">
        <v>0.72</v>
      </c>
      <c r="I47" s="188">
        <v>0.71899999999999997</v>
      </c>
      <c r="J47" s="188">
        <v>0.71099999999999997</v>
      </c>
      <c r="K47" s="188">
        <v>0.69899999999999995</v>
      </c>
      <c r="L47" s="188">
        <v>0.76100000000000001</v>
      </c>
      <c r="M47" s="188">
        <v>0.76600000000000001</v>
      </c>
    </row>
    <row r="48" spans="1:13" s="233" customFormat="1"/>
    <row r="49" s="233" customFormat="1"/>
  </sheetData>
  <mergeCells count="4">
    <mergeCell ref="S15:U15"/>
    <mergeCell ref="B44:E44"/>
    <mergeCell ref="F44:I44"/>
    <mergeCell ref="J44:M44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3"/>
  <dimension ref="A1:O374"/>
  <sheetViews>
    <sheetView topLeftCell="A366" zoomScale="115" zoomScaleNormal="115" workbookViewId="0">
      <selection activeCell="O291" sqref="O291"/>
    </sheetView>
  </sheetViews>
  <sheetFormatPr defaultColWidth="11.5" defaultRowHeight="11.25"/>
  <cols>
    <col min="1" max="1" width="23.83203125" style="27" customWidth="1"/>
    <col min="2" max="6" width="15.6640625" style="27" customWidth="1"/>
    <col min="7" max="7" width="8.5" style="27" customWidth="1"/>
    <col min="8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6" ht="20.25" customHeight="1">
      <c r="A1" s="46" t="s">
        <v>482</v>
      </c>
    </row>
    <row r="2" spans="1:6" ht="20.25" customHeight="1">
      <c r="A2" s="48" t="s">
        <v>483</v>
      </c>
    </row>
    <row r="3" spans="1:6" ht="20.25" customHeight="1">
      <c r="A3" s="48" t="s">
        <v>560</v>
      </c>
    </row>
    <row r="4" spans="1:6" ht="20.25" customHeight="1">
      <c r="A4" s="48" t="s">
        <v>561</v>
      </c>
    </row>
    <row r="5" spans="1:6" ht="20.25" customHeight="1">
      <c r="A5" s="48" t="s">
        <v>562</v>
      </c>
    </row>
    <row r="6" spans="1:6" ht="20.25" customHeight="1">
      <c r="A6" s="48" t="s">
        <v>563</v>
      </c>
    </row>
    <row r="7" spans="1:6" ht="20.25" customHeight="1">
      <c r="A7" s="48" t="s">
        <v>564</v>
      </c>
    </row>
    <row r="8" spans="1:6" ht="20.25" customHeight="1">
      <c r="A8" s="48" t="s">
        <v>580</v>
      </c>
    </row>
    <row r="9" spans="1:6" ht="20.25" customHeight="1">
      <c r="A9" s="47"/>
    </row>
    <row r="10" spans="1:6" ht="20.25" customHeight="1">
      <c r="A10" s="47"/>
    </row>
    <row r="11" spans="1:6" ht="20.25" customHeight="1">
      <c r="A11" s="47"/>
    </row>
    <row r="12" spans="1:6" s="357" customFormat="1" ht="20.25" customHeight="1">
      <c r="A12" s="358" t="s">
        <v>158</v>
      </c>
    </row>
    <row r="14" spans="1:6" s="233" customFormat="1">
      <c r="A14" s="229" t="s">
        <v>95</v>
      </c>
      <c r="B14" s="229"/>
      <c r="C14" s="150"/>
      <c r="D14" s="150"/>
      <c r="E14" s="150"/>
      <c r="F14" s="150"/>
    </row>
    <row r="15" spans="1:6" s="233" customFormat="1">
      <c r="A15" s="248" t="str">
        <f>Input!E4</f>
        <v>€m</v>
      </c>
      <c r="B15" s="229"/>
      <c r="C15" s="150"/>
      <c r="D15" s="150"/>
      <c r="E15" s="150"/>
      <c r="F15" s="150"/>
    </row>
    <row r="16" spans="1:6" s="233" customFormat="1">
      <c r="A16" s="248" t="str">
        <f>Input!E3</f>
        <v>XXX AG</v>
      </c>
      <c r="B16" s="229"/>
      <c r="C16" s="150"/>
      <c r="D16" s="150"/>
      <c r="E16" s="150"/>
      <c r="F16" s="150"/>
    </row>
    <row r="17" spans="1:12" s="233" customFormat="1" ht="53.25" customHeight="1">
      <c r="A17" s="150" t="s">
        <v>488</v>
      </c>
      <c r="B17" s="246" t="s">
        <v>489</v>
      </c>
      <c r="C17" s="246" t="str">
        <f>CONCATENATE("Market Growth (CAGR ",Input!G68," - ",Input!J68,")")</f>
        <v>Market Growth (CAGR 2012 - 2015)</v>
      </c>
      <c r="D17" s="246" t="str">
        <f>CONCATENATE("Market share ",A16," for individual regions in ",Input!G68," (in %)")</f>
        <v>Market share XXX AG for individual regions in 2012 (in %)</v>
      </c>
      <c r="E17" s="238" t="str">
        <f>CONCATENATE("Planned growth rate ",A16," (CAGR ",Input!G68," - ",Input!J68,")")</f>
        <v>Planned growth rate XXX AG (CAGR 2012 - 2015)</v>
      </c>
      <c r="F17" s="246"/>
    </row>
    <row r="18" spans="1:12" s="233" customFormat="1">
      <c r="A18" s="240" t="s">
        <v>432</v>
      </c>
      <c r="B18" s="188">
        <v>32</v>
      </c>
      <c r="C18" s="224">
        <v>1.7999999999999999E-2</v>
      </c>
      <c r="D18" s="247">
        <v>0.6</v>
      </c>
      <c r="E18" s="224">
        <v>2.4E-2</v>
      </c>
      <c r="F18" s="227"/>
    </row>
    <row r="19" spans="1:12" s="233" customFormat="1">
      <c r="A19" s="240" t="s">
        <v>431</v>
      </c>
      <c r="B19" s="188">
        <v>20</v>
      </c>
      <c r="C19" s="224">
        <v>2.3E-2</v>
      </c>
      <c r="D19" s="247">
        <v>0.45</v>
      </c>
      <c r="E19" s="224">
        <f>E18</f>
        <v>2.4E-2</v>
      </c>
      <c r="F19" s="227"/>
    </row>
    <row r="20" spans="1:12" s="233" customFormat="1">
      <c r="A20" s="240" t="s">
        <v>487</v>
      </c>
      <c r="B20" s="188">
        <v>15</v>
      </c>
      <c r="C20" s="224">
        <v>3.6999999999999998E-2</v>
      </c>
      <c r="D20" s="247">
        <v>0.05</v>
      </c>
      <c r="E20" s="224">
        <f>E19</f>
        <v>2.4E-2</v>
      </c>
      <c r="F20" s="227"/>
    </row>
    <row r="21" spans="1:12" s="233" customFormat="1">
      <c r="A21" s="240" t="s">
        <v>486</v>
      </c>
      <c r="B21" s="188">
        <v>5</v>
      </c>
      <c r="C21" s="224">
        <v>7.0000000000000007E-2</v>
      </c>
      <c r="D21" s="247">
        <v>0.1</v>
      </c>
      <c r="E21" s="224">
        <f>E20</f>
        <v>2.4E-2</v>
      </c>
      <c r="F21" s="227"/>
    </row>
    <row r="22" spans="1:12" s="233" customFormat="1">
      <c r="A22" s="240" t="s">
        <v>485</v>
      </c>
      <c r="B22" s="188">
        <v>3</v>
      </c>
      <c r="C22" s="224">
        <v>0.08</v>
      </c>
      <c r="D22" s="247">
        <v>0.05</v>
      </c>
      <c r="E22" s="224">
        <f>E21</f>
        <v>2.4E-2</v>
      </c>
      <c r="F22" s="227"/>
    </row>
    <row r="23" spans="1:12" s="233" customFormat="1">
      <c r="A23" s="242" t="s">
        <v>74</v>
      </c>
      <c r="B23" s="12">
        <f>SUM(B18:B22)</f>
        <v>75</v>
      </c>
      <c r="C23" s="239"/>
      <c r="D23" s="239"/>
      <c r="E23" s="150"/>
      <c r="F23" s="150"/>
    </row>
    <row r="24" spans="1:12" s="233" customFormat="1">
      <c r="A24" s="240"/>
      <c r="B24" s="150"/>
      <c r="C24" s="239"/>
      <c r="D24" s="239"/>
      <c r="E24" s="150"/>
      <c r="F24" s="150"/>
    </row>
    <row r="25" spans="1:12" s="233" customFormat="1">
      <c r="A25" s="242"/>
      <c r="B25" s="150"/>
      <c r="C25" s="239"/>
      <c r="D25" s="239"/>
      <c r="E25" s="150"/>
      <c r="F25" s="150"/>
    </row>
    <row r="26" spans="1:12" s="233" customFormat="1" ht="48.75" customHeight="1">
      <c r="A26" s="150" t="s">
        <v>488</v>
      </c>
      <c r="B26" s="238" t="str">
        <f>CONCATENATE("Market share ",A16," ",Input!G68)</f>
        <v>Market share XXX AG 2012</v>
      </c>
      <c r="C26" s="238" t="str">
        <f>CONCATENATE("Market share of the competitors ",Input!G68)</f>
        <v>Market share of the competitors 2012</v>
      </c>
      <c r="D26" s="238" t="str">
        <f>CONCATENATE("Company-specific market growth rate (CAGR ",Input!G68," - ",Input!J68,")")</f>
        <v>Company-specific market growth rate (CAGR 2012 - 2015)</v>
      </c>
      <c r="E26" s="150"/>
      <c r="F26" s="150"/>
    </row>
    <row r="27" spans="1:12" s="233" customFormat="1">
      <c r="A27" s="240" t="s">
        <v>432</v>
      </c>
      <c r="B27" s="243">
        <f>B18*D18</f>
        <v>19.2</v>
      </c>
      <c r="C27" s="243">
        <f>B18-B27</f>
        <v>12.8</v>
      </c>
      <c r="D27" s="227">
        <f>$B$35</f>
        <v>2.1194256756756756E-2</v>
      </c>
      <c r="E27" s="150"/>
      <c r="F27" s="150"/>
    </row>
    <row r="28" spans="1:12" s="233" customFormat="1">
      <c r="A28" s="240" t="s">
        <v>431</v>
      </c>
      <c r="B28" s="243">
        <f>B19*D19</f>
        <v>9</v>
      </c>
      <c r="C28" s="243">
        <f>B19-B28</f>
        <v>11</v>
      </c>
      <c r="D28" s="227">
        <f>$B$35</f>
        <v>2.1194256756756756E-2</v>
      </c>
      <c r="E28" s="150"/>
      <c r="F28" s="150"/>
      <c r="L28" s="244"/>
    </row>
    <row r="29" spans="1:12" s="233" customFormat="1">
      <c r="A29" s="240" t="s">
        <v>487</v>
      </c>
      <c r="B29" s="243">
        <f>B20*D20</f>
        <v>0.75</v>
      </c>
      <c r="C29" s="243">
        <f>B20-B29</f>
        <v>14.25</v>
      </c>
      <c r="D29" s="227">
        <f>$B$35</f>
        <v>2.1194256756756756E-2</v>
      </c>
      <c r="E29" s="150"/>
      <c r="F29" s="150"/>
    </row>
    <row r="30" spans="1:12" s="233" customFormat="1">
      <c r="A30" s="240" t="s">
        <v>486</v>
      </c>
      <c r="B30" s="243">
        <f>B21*D21</f>
        <v>0.5</v>
      </c>
      <c r="C30" s="243">
        <f>B21-B30</f>
        <v>4.5</v>
      </c>
      <c r="D30" s="227">
        <f>$B$35</f>
        <v>2.1194256756756756E-2</v>
      </c>
      <c r="E30" s="150"/>
      <c r="F30" s="150"/>
    </row>
    <row r="31" spans="1:12" s="233" customFormat="1">
      <c r="A31" s="240" t="s">
        <v>485</v>
      </c>
      <c r="B31" s="243">
        <f>B22*D22</f>
        <v>0.15000000000000002</v>
      </c>
      <c r="C31" s="243">
        <f>B22-B31</f>
        <v>2.85</v>
      </c>
      <c r="D31" s="227">
        <f>$B$35</f>
        <v>2.1194256756756756E-2</v>
      </c>
      <c r="E31" s="150"/>
      <c r="F31" s="150"/>
    </row>
    <row r="32" spans="1:12" s="233" customFormat="1">
      <c r="A32" s="242" t="s">
        <v>74</v>
      </c>
      <c r="B32" s="241">
        <f>SUM(B27:B31)</f>
        <v>29.599999999999998</v>
      </c>
      <c r="C32" s="241">
        <f>SUM(C27:C31)</f>
        <v>45.4</v>
      </c>
      <c r="D32" s="239"/>
      <c r="E32" s="150"/>
      <c r="F32" s="150"/>
    </row>
    <row r="33" spans="1:10" s="233" customFormat="1">
      <c r="A33" s="240"/>
      <c r="B33" s="150"/>
      <c r="C33" s="239"/>
      <c r="D33" s="239"/>
      <c r="E33" s="150"/>
      <c r="F33" s="150"/>
    </row>
    <row r="34" spans="1:10" s="233" customFormat="1" ht="22.5">
      <c r="A34" s="238" t="s">
        <v>484</v>
      </c>
      <c r="B34" s="237">
        <f>SUMPRODUCT(B18:B22,C18:C22)/SUM(B18:B22)</f>
        <v>2.9080000000000002E-2</v>
      </c>
      <c r="E34" s="150"/>
      <c r="F34" s="150"/>
    </row>
    <row r="35" spans="1:10" s="233" customFormat="1" ht="22.5">
      <c r="A35" s="236" t="str">
        <f>CONCATENATE("Company specific market growth ",A16)</f>
        <v>Company specific market growth XXX AG</v>
      </c>
      <c r="B35" s="235">
        <f>SUMPRODUCT(B27:B31,C18:C22)/SUM(B27:B31)</f>
        <v>2.1194256756756756E-2</v>
      </c>
      <c r="C35" s="234"/>
      <c r="E35" s="150"/>
      <c r="F35" s="150"/>
    </row>
    <row r="36" spans="1:10" s="233" customFormat="1">
      <c r="A36" s="150"/>
      <c r="B36" s="150"/>
      <c r="C36" s="150"/>
      <c r="D36" s="150"/>
      <c r="E36" s="150"/>
      <c r="F36" s="150"/>
    </row>
    <row r="39" spans="1:10" s="357" customFormat="1" ht="20.25" customHeight="1">
      <c r="A39" s="358" t="s">
        <v>114</v>
      </c>
    </row>
    <row r="41" spans="1:10" s="233" customFormat="1">
      <c r="A41" s="229"/>
    </row>
    <row r="42" spans="1:10" s="233" customFormat="1">
      <c r="A42" s="9" t="s">
        <v>517</v>
      </c>
      <c r="B42" s="27"/>
      <c r="C42" s="27"/>
      <c r="D42" s="27"/>
      <c r="E42" s="27"/>
      <c r="F42" s="27"/>
      <c r="G42" s="27"/>
    </row>
    <row r="43" spans="1:10" s="233" customFormat="1">
      <c r="A43" s="27"/>
      <c r="B43" s="54">
        <f>Input!E68</f>
        <v>2010</v>
      </c>
      <c r="C43" s="54">
        <f>Input!F68</f>
        <v>2011</v>
      </c>
      <c r="D43" s="54">
        <f>Input!G68</f>
        <v>2012</v>
      </c>
      <c r="E43" s="54">
        <f>Input!H68</f>
        <v>2013</v>
      </c>
      <c r="F43" s="54">
        <f>Input!I68</f>
        <v>2014</v>
      </c>
      <c r="G43" s="54">
        <f>Input!J68</f>
        <v>2015</v>
      </c>
    </row>
    <row r="44" spans="1:10" s="233" customFormat="1">
      <c r="A44" s="27" t="str">
        <f>Input!E4</f>
        <v>€m</v>
      </c>
      <c r="B44" s="54" t="str">
        <f>Input!E69</f>
        <v>Actual</v>
      </c>
      <c r="C44" s="29" t="str">
        <f>Input!F69</f>
        <v>Actual</v>
      </c>
      <c r="D44" s="54" t="str">
        <f>Input!G69</f>
        <v>Actual</v>
      </c>
      <c r="E44" s="54" t="str">
        <f>Input!H69</f>
        <v>Plan</v>
      </c>
      <c r="F44" s="29" t="str">
        <f>Input!I69</f>
        <v>Plan</v>
      </c>
      <c r="G44" s="54" t="str">
        <f>Input!J69</f>
        <v>Plan</v>
      </c>
      <c r="I44" s="314" t="str">
        <f>CONCATENATE("CAGR
",RIGHT(B43,2)," - ",RIGHT(D43,2))</f>
        <v>CAGR
10 - 12</v>
      </c>
      <c r="J44" s="314" t="str">
        <f>CONCATENATE("CAGR
",RIGHT(E43,2)," - ",RIGHT(G43,2))</f>
        <v>CAGR
13 - 15</v>
      </c>
    </row>
    <row r="45" spans="1:10" s="233" customFormat="1">
      <c r="A45" s="92" t="s">
        <v>32</v>
      </c>
      <c r="B45" s="97">
        <v>30</v>
      </c>
      <c r="C45" s="97">
        <v>32.400000000000006</v>
      </c>
      <c r="D45" s="97">
        <v>32.6</v>
      </c>
      <c r="E45" s="97">
        <v>35.400000000000006</v>
      </c>
      <c r="F45" s="97">
        <v>36.6</v>
      </c>
      <c r="G45" s="97">
        <v>41.2</v>
      </c>
      <c r="I45" s="361">
        <f>(D45/B45)^(1/2)-1</f>
        <v>4.2433051407459343E-2</v>
      </c>
      <c r="J45" s="361">
        <f>(G45/E45)^(1/2)-1</f>
        <v>7.8815001707709165E-2</v>
      </c>
    </row>
    <row r="46" spans="1:10" s="233" customFormat="1">
      <c r="A46" s="27" t="s">
        <v>516</v>
      </c>
      <c r="B46" s="27"/>
      <c r="C46" s="65">
        <f>C45/B45-1</f>
        <v>8.0000000000000293E-2</v>
      </c>
      <c r="D46" s="65">
        <f>D45/C45-1</f>
        <v>6.1728395061726449E-3</v>
      </c>
      <c r="E46" s="65">
        <f>E45/D45-1</f>
        <v>8.588957055214741E-2</v>
      </c>
      <c r="F46" s="65">
        <f>F45/E45-1</f>
        <v>3.3898305084745672E-2</v>
      </c>
      <c r="G46" s="65">
        <f>G45/F45-1</f>
        <v>0.12568306010928976</v>
      </c>
      <c r="I46" s="361"/>
      <c r="J46" s="361"/>
    </row>
    <row r="47" spans="1:10" s="233" customFormat="1">
      <c r="A47" s="92" t="s">
        <v>33</v>
      </c>
      <c r="B47" s="97">
        <v>12</v>
      </c>
      <c r="C47" s="97">
        <v>12.96</v>
      </c>
      <c r="D47" s="97">
        <v>11.94</v>
      </c>
      <c r="E47" s="97">
        <v>14.16</v>
      </c>
      <c r="F47" s="97">
        <v>14.639999999999999</v>
      </c>
      <c r="G47" s="97">
        <v>15.08</v>
      </c>
      <c r="I47" s="361">
        <f>(D47/B47)^(1/2)-1</f>
        <v>-2.5031328369998773E-3</v>
      </c>
      <c r="J47" s="361">
        <f>(G47/E47)^(1/2)-1</f>
        <v>3.1974685451358065E-2</v>
      </c>
    </row>
    <row r="48" spans="1:10" s="233" customFormat="1">
      <c r="A48" s="27" t="s">
        <v>516</v>
      </c>
      <c r="B48" s="27"/>
      <c r="C48" s="65">
        <f>C47/B47-1</f>
        <v>8.0000000000000071E-2</v>
      </c>
      <c r="D48" s="65">
        <f>D47/C47-1</f>
        <v>-7.8703703703703831E-2</v>
      </c>
      <c r="E48" s="65">
        <f>E47/D47-1</f>
        <v>0.18592964824120606</v>
      </c>
      <c r="F48" s="65">
        <f>F47/E47-1</f>
        <v>3.3898305084745672E-2</v>
      </c>
      <c r="G48" s="65">
        <f>G47/F47-1</f>
        <v>3.0054644808743314E-2</v>
      </c>
      <c r="I48" s="361"/>
      <c r="J48" s="361"/>
    </row>
    <row r="49" spans="1:10" s="233" customFormat="1">
      <c r="A49" s="92" t="s">
        <v>34</v>
      </c>
      <c r="B49" s="97">
        <v>5</v>
      </c>
      <c r="C49" s="97">
        <v>5.4</v>
      </c>
      <c r="D49" s="97">
        <v>7.1</v>
      </c>
      <c r="E49" s="97">
        <v>5.8999999999999995</v>
      </c>
      <c r="F49" s="97">
        <v>6.0999999999999988</v>
      </c>
      <c r="G49" s="97">
        <v>7</v>
      </c>
      <c r="I49" s="361">
        <f>(D49/B49)^(1/2)-1</f>
        <v>0.19163752878129836</v>
      </c>
      <c r="J49" s="361">
        <f>(G49/E49)^(1/2)-1</f>
        <v>8.9238577156585119E-2</v>
      </c>
    </row>
    <row r="50" spans="1:10" s="233" customFormat="1">
      <c r="A50" s="27" t="s">
        <v>516</v>
      </c>
      <c r="B50" s="27"/>
      <c r="C50" s="65">
        <f>C49/B49-1</f>
        <v>8.0000000000000071E-2</v>
      </c>
      <c r="D50" s="65">
        <f>D49/C49-1</f>
        <v>0.31481481481481466</v>
      </c>
      <c r="E50" s="65">
        <f>E49/D49-1</f>
        <v>-0.16901408450704225</v>
      </c>
      <c r="F50" s="65">
        <f>F49/E49-1</f>
        <v>3.3898305084745672E-2</v>
      </c>
      <c r="G50" s="65">
        <f>G49/F49-1</f>
        <v>0.14754098360655754</v>
      </c>
      <c r="I50" s="361"/>
      <c r="J50" s="361"/>
    </row>
    <row r="51" spans="1:10" s="233" customFormat="1">
      <c r="A51" s="92" t="s">
        <v>35</v>
      </c>
      <c r="B51" s="97">
        <v>3</v>
      </c>
      <c r="C51" s="97">
        <v>3.24</v>
      </c>
      <c r="D51" s="97">
        <v>4.3600000000000003</v>
      </c>
      <c r="E51" s="97">
        <v>3.54</v>
      </c>
      <c r="F51" s="97">
        <v>3.6599999999999997</v>
      </c>
      <c r="G51" s="97">
        <v>3.72</v>
      </c>
      <c r="I51" s="361">
        <f>(D51/B51)^(1/2)-1</f>
        <v>0.20554275466834171</v>
      </c>
      <c r="J51" s="361">
        <f>(G51/E51)^(1/2)-1</f>
        <v>2.5108510172029863E-2</v>
      </c>
    </row>
    <row r="52" spans="1:10" s="233" customFormat="1">
      <c r="A52" s="27" t="s">
        <v>516</v>
      </c>
      <c r="B52" s="27"/>
      <c r="C52" s="65">
        <f>C51/B51-1</f>
        <v>8.0000000000000071E-2</v>
      </c>
      <c r="D52" s="65">
        <f>D51/C51-1</f>
        <v>0.34567901234567899</v>
      </c>
      <c r="E52" s="65">
        <f>E51/D51-1</f>
        <v>-0.18807339449541294</v>
      </c>
      <c r="F52" s="65">
        <f>F51/E51-1</f>
        <v>3.3898305084745672E-2</v>
      </c>
      <c r="G52" s="312">
        <f>G51/F51-1</f>
        <v>1.639344262295106E-2</v>
      </c>
      <c r="I52" s="361"/>
      <c r="J52" s="361"/>
    </row>
    <row r="53" spans="1:10" s="233" customFormat="1">
      <c r="A53" s="9" t="s">
        <v>74</v>
      </c>
      <c r="B53" s="313">
        <f t="shared" ref="B53:G53" si="0">SUM(B45,B47,B49,B51)</f>
        <v>50</v>
      </c>
      <c r="C53" s="313">
        <f t="shared" si="0"/>
        <v>54.000000000000007</v>
      </c>
      <c r="D53" s="313">
        <f t="shared" si="0"/>
        <v>56</v>
      </c>
      <c r="E53" s="313">
        <f t="shared" si="0"/>
        <v>59</v>
      </c>
      <c r="F53" s="313">
        <f t="shared" si="0"/>
        <v>61</v>
      </c>
      <c r="G53" s="313">
        <f t="shared" si="0"/>
        <v>67</v>
      </c>
      <c r="I53" s="362">
        <f>(D53/B53)^(1/2)-1</f>
        <v>5.8300524425836331E-2</v>
      </c>
      <c r="J53" s="362">
        <f>(G53/E53)^(1/2)-1</f>
        <v>6.5642163363942352E-2</v>
      </c>
    </row>
    <row r="54" spans="1:10" s="233" customFormat="1">
      <c r="A54" s="310" t="s">
        <v>118</v>
      </c>
      <c r="B54" s="311">
        <f>B53-Input!E70</f>
        <v>0</v>
      </c>
      <c r="C54" s="311">
        <f>C53-Input!F70</f>
        <v>0</v>
      </c>
      <c r="D54" s="311">
        <f>D53-Input!G70</f>
        <v>0</v>
      </c>
      <c r="E54" s="311">
        <f>E53-Input!H70</f>
        <v>0</v>
      </c>
      <c r="F54" s="311">
        <f>F53-Input!I70</f>
        <v>0</v>
      </c>
      <c r="G54" s="311">
        <f>G53-Input!J70</f>
        <v>0</v>
      </c>
    </row>
    <row r="55" spans="1:10" s="233" customFormat="1"/>
    <row r="56" spans="1:10" s="233" customFormat="1">
      <c r="A56" s="248" t="str">
        <f>CONCATENATE("Sales (",A44,")")</f>
        <v>Sales (€m)</v>
      </c>
    </row>
    <row r="57" spans="1:10" s="233" customFormat="1"/>
    <row r="58" spans="1:10" s="233" customFormat="1">
      <c r="E58" s="306"/>
    </row>
    <row r="59" spans="1:10" s="233" customFormat="1"/>
    <row r="60" spans="1:10" s="233" customFormat="1"/>
    <row r="61" spans="1:10" s="233" customFormat="1"/>
    <row r="66" spans="1:9" s="357" customFormat="1" ht="20.25" customHeight="1">
      <c r="A66" s="358" t="s">
        <v>105</v>
      </c>
    </row>
    <row r="67" spans="1:9" s="233" customFormat="1">
      <c r="A67" s="229"/>
    </row>
    <row r="68" spans="1:9" s="233" customFormat="1">
      <c r="A68" s="27" t="s">
        <v>417</v>
      </c>
      <c r="B68" s="27"/>
      <c r="C68" s="27"/>
      <c r="D68" s="27"/>
      <c r="E68" s="27"/>
      <c r="F68" s="27"/>
      <c r="G68" s="27"/>
    </row>
    <row r="69" spans="1:9" s="233" customFormat="1">
      <c r="A69" s="27"/>
      <c r="C69" s="54">
        <f>Input!F68</f>
        <v>2011</v>
      </c>
      <c r="D69" s="54">
        <f>Input!G68</f>
        <v>2012</v>
      </c>
      <c r="E69" s="54">
        <f>Input!H68</f>
        <v>2013</v>
      </c>
      <c r="F69" s="54">
        <f>Input!I68</f>
        <v>2014</v>
      </c>
      <c r="G69" s="54">
        <f>Input!J68</f>
        <v>2015</v>
      </c>
      <c r="I69" s="314" t="str">
        <f>CONCATENATE("CAGR
",RIGHT(E69,2)," - ",RIGHT(G69,2))</f>
        <v>CAGR
13 - 15</v>
      </c>
    </row>
    <row r="70" spans="1:9" s="233" customFormat="1">
      <c r="A70" s="27"/>
      <c r="C70" s="54" t="str">
        <f>Input!F69</f>
        <v>Actual</v>
      </c>
      <c r="D70" s="54" t="str">
        <f>Input!G69</f>
        <v>Actual</v>
      </c>
      <c r="E70" s="54" t="str">
        <f>Input!H69</f>
        <v>Plan</v>
      </c>
      <c r="F70" s="54" t="str">
        <f>Input!I69</f>
        <v>Plan</v>
      </c>
      <c r="G70" s="54" t="str">
        <f>Input!J69</f>
        <v>Plan</v>
      </c>
      <c r="I70" s="39"/>
    </row>
    <row r="71" spans="1:9" s="233" customFormat="1">
      <c r="A71" s="27" t="str">
        <f>A45</f>
        <v>Segment A</v>
      </c>
      <c r="C71" s="359">
        <f>C46</f>
        <v>8.0000000000000293E-2</v>
      </c>
      <c r="D71" s="359">
        <f t="shared" ref="D71:G71" si="1">D46</f>
        <v>6.1728395061726449E-3</v>
      </c>
      <c r="E71" s="359">
        <f t="shared" si="1"/>
        <v>8.588957055214741E-2</v>
      </c>
      <c r="F71" s="359">
        <f t="shared" si="1"/>
        <v>3.3898305084745672E-2</v>
      </c>
      <c r="G71" s="359">
        <f t="shared" si="1"/>
        <v>0.12568306010928976</v>
      </c>
      <c r="H71" s="360"/>
      <c r="I71" s="359">
        <f>AVERAGE(E71:G71)</f>
        <v>8.1823645248727608E-2</v>
      </c>
    </row>
    <row r="72" spans="1:9" s="233" customFormat="1">
      <c r="A72" s="27" t="str">
        <f>A47</f>
        <v>Segment B</v>
      </c>
      <c r="C72" s="359">
        <f>C48</f>
        <v>8.0000000000000071E-2</v>
      </c>
      <c r="D72" s="359">
        <f t="shared" ref="D72:G72" si="2">D48</f>
        <v>-7.8703703703703831E-2</v>
      </c>
      <c r="E72" s="359">
        <f t="shared" si="2"/>
        <v>0.18592964824120606</v>
      </c>
      <c r="F72" s="359">
        <f t="shared" si="2"/>
        <v>3.3898305084745672E-2</v>
      </c>
      <c r="G72" s="359">
        <f t="shared" si="2"/>
        <v>3.0054644808743314E-2</v>
      </c>
      <c r="H72" s="360"/>
      <c r="I72" s="359">
        <f>AVERAGE(E72:G72)</f>
        <v>8.3294199378231681E-2</v>
      </c>
    </row>
    <row r="73" spans="1:9" s="233" customFormat="1">
      <c r="A73" s="27" t="str">
        <f>A49</f>
        <v>Segment C</v>
      </c>
      <c r="C73" s="359">
        <f>C50</f>
        <v>8.0000000000000071E-2</v>
      </c>
      <c r="D73" s="359">
        <f t="shared" ref="D73:G73" si="3">D50</f>
        <v>0.31481481481481466</v>
      </c>
      <c r="E73" s="359">
        <f t="shared" si="3"/>
        <v>-0.16901408450704225</v>
      </c>
      <c r="F73" s="359">
        <f t="shared" si="3"/>
        <v>3.3898305084745672E-2</v>
      </c>
      <c r="G73" s="359">
        <f t="shared" si="3"/>
        <v>0.14754098360655754</v>
      </c>
      <c r="H73" s="360"/>
      <c r="I73" s="359">
        <f>AVERAGE(E73:G73)</f>
        <v>4.1417347280869876E-3</v>
      </c>
    </row>
    <row r="74" spans="1:9" s="233" customFormat="1">
      <c r="A74" s="27" t="str">
        <f>A51</f>
        <v>Segment D</v>
      </c>
      <c r="C74" s="359">
        <f>C52</f>
        <v>8.0000000000000071E-2</v>
      </c>
      <c r="D74" s="359">
        <f t="shared" ref="D74:G74" si="4">D52</f>
        <v>0.34567901234567899</v>
      </c>
      <c r="E74" s="359">
        <f t="shared" si="4"/>
        <v>-0.18807339449541294</v>
      </c>
      <c r="F74" s="359">
        <f t="shared" si="4"/>
        <v>3.3898305084745672E-2</v>
      </c>
      <c r="G74" s="359">
        <f t="shared" si="4"/>
        <v>1.639344262295106E-2</v>
      </c>
      <c r="H74" s="360"/>
      <c r="I74" s="359">
        <f>AVERAGE(E74:G74)</f>
        <v>-4.5927215595905402E-2</v>
      </c>
    </row>
    <row r="75" spans="1:9" s="233" customFormat="1">
      <c r="A75" s="27" t="s">
        <v>515</v>
      </c>
      <c r="C75" s="359">
        <f>Input!F70/Input!E70-1</f>
        <v>8.0000000000000071E-2</v>
      </c>
      <c r="D75" s="359">
        <f>Input!G70/Input!F70-1</f>
        <v>3.7037037037036979E-2</v>
      </c>
      <c r="E75" s="359">
        <f>Input!H70/Input!G70-1</f>
        <v>5.3571428571428603E-2</v>
      </c>
      <c r="F75" s="359">
        <f>Input!I70/Input!H70-1</f>
        <v>3.3898305084745672E-2</v>
      </c>
      <c r="G75" s="359">
        <f>Input!J70/Input!I70-1</f>
        <v>9.8360655737705027E-2</v>
      </c>
      <c r="H75" s="360"/>
      <c r="I75" s="359">
        <f>AVERAGE(E75:G75)</f>
        <v>6.1943463131293099E-2</v>
      </c>
    </row>
    <row r="76" spans="1:9" s="233" customFormat="1"/>
    <row r="77" spans="1:9" s="233" customFormat="1"/>
    <row r="78" spans="1:9" s="233" customFormat="1">
      <c r="E78" s="306"/>
    </row>
    <row r="79" spans="1:9" s="233" customFormat="1"/>
    <row r="80" spans="1:9" s="233" customFormat="1"/>
    <row r="81" spans="1:1" s="233" customFormat="1"/>
    <row r="82" spans="1:1" s="233" customFormat="1"/>
    <row r="83" spans="1:1" s="233" customFormat="1"/>
    <row r="84" spans="1:1" s="233" customFormat="1"/>
    <row r="85" spans="1:1" s="233" customFormat="1"/>
    <row r="86" spans="1:1" s="233" customFormat="1"/>
    <row r="87" spans="1:1" s="233" customFormat="1"/>
    <row r="88" spans="1:1" s="233" customFormat="1"/>
    <row r="89" spans="1:1" s="233" customFormat="1"/>
    <row r="90" spans="1:1" s="233" customFormat="1"/>
    <row r="91" spans="1:1" s="233" customFormat="1"/>
    <row r="92" spans="1:1" s="233" customFormat="1"/>
    <row r="93" spans="1:1" s="233" customFormat="1"/>
    <row r="94" spans="1:1" s="233" customFormat="1"/>
    <row r="96" spans="1:1" s="357" customFormat="1" ht="20.25" customHeight="1">
      <c r="A96" s="358" t="s">
        <v>107</v>
      </c>
    </row>
    <row r="98" spans="1:10" s="233" customFormat="1">
      <c r="A98" s="9" t="s">
        <v>518</v>
      </c>
      <c r="B98" s="27"/>
      <c r="C98" s="27"/>
      <c r="D98" s="27"/>
      <c r="E98" s="27"/>
      <c r="F98" s="27"/>
      <c r="G98" s="27"/>
    </row>
    <row r="99" spans="1:10" s="233" customFormat="1">
      <c r="A99" s="27"/>
      <c r="B99" s="54">
        <f>Input!E68</f>
        <v>2010</v>
      </c>
      <c r="C99" s="54">
        <f>Input!F68</f>
        <v>2011</v>
      </c>
      <c r="D99" s="54">
        <f>Input!G68</f>
        <v>2012</v>
      </c>
      <c r="E99" s="54">
        <f>Input!H68</f>
        <v>2013</v>
      </c>
      <c r="F99" s="54">
        <f>Input!I68</f>
        <v>2014</v>
      </c>
      <c r="G99" s="54">
        <f>Input!J68</f>
        <v>2015</v>
      </c>
    </row>
    <row r="100" spans="1:10" s="233" customFormat="1">
      <c r="A100" s="27" t="str">
        <f>Input!E4</f>
        <v>€m</v>
      </c>
      <c r="B100" s="54" t="str">
        <f>Input!E69</f>
        <v>Actual</v>
      </c>
      <c r="C100" s="29" t="str">
        <f>Input!F69</f>
        <v>Actual</v>
      </c>
      <c r="D100" s="54" t="str">
        <f>Input!G69</f>
        <v>Actual</v>
      </c>
      <c r="E100" s="54" t="str">
        <f>Input!H69</f>
        <v>Plan</v>
      </c>
      <c r="F100" s="29" t="str">
        <f>Input!I69</f>
        <v>Plan</v>
      </c>
      <c r="G100" s="54" t="str">
        <f>Input!J69</f>
        <v>Plan</v>
      </c>
      <c r="I100" s="314" t="str">
        <f>CONCATENATE("CAGR
",RIGHT(B99,2)," - ",RIGHT(D99,2))</f>
        <v>CAGR
10 - 12</v>
      </c>
      <c r="J100" s="314" t="str">
        <f>CONCATENATE("CAGR
",RIGHT(E99,2)," - ",RIGHT(G99,2))</f>
        <v>CAGR
13 - 15</v>
      </c>
    </row>
    <row r="101" spans="1:10" s="233" customFormat="1">
      <c r="A101" s="27" t="str">
        <f>A45</f>
        <v>Segment A</v>
      </c>
      <c r="B101" s="97">
        <v>19</v>
      </c>
      <c r="C101" s="97">
        <v>19.8</v>
      </c>
      <c r="D101" s="97">
        <v>20.501785714285699</v>
      </c>
      <c r="E101" s="97">
        <v>22.6</v>
      </c>
      <c r="F101" s="97">
        <v>23.8</v>
      </c>
      <c r="G101" s="97">
        <v>26.826865671641801</v>
      </c>
      <c r="I101" s="361">
        <f>(D101/B101)^(1/2)-1</f>
        <v>3.876915307659079E-2</v>
      </c>
      <c r="J101" s="361">
        <f>(G101/E101)^(1/2)-1</f>
        <v>8.9508813409705512E-2</v>
      </c>
    </row>
    <row r="102" spans="1:10" s="233" customFormat="1">
      <c r="A102" s="27" t="str">
        <f>A101</f>
        <v>Segment A</v>
      </c>
      <c r="B102" s="65">
        <f>B101/B45</f>
        <v>0.6333333333333333</v>
      </c>
      <c r="C102" s="65">
        <f t="shared" ref="C102:G102" si="5">C101/C45</f>
        <v>0.61111111111111105</v>
      </c>
      <c r="D102" s="65">
        <f t="shared" si="5"/>
        <v>0.62888913234005206</v>
      </c>
      <c r="E102" s="65">
        <f t="shared" si="5"/>
        <v>0.63841807909604509</v>
      </c>
      <c r="F102" s="65">
        <f t="shared" si="5"/>
        <v>0.65027322404371579</v>
      </c>
      <c r="G102" s="65">
        <f t="shared" si="5"/>
        <v>0.65113751630198546</v>
      </c>
      <c r="I102" s="361"/>
      <c r="J102" s="361"/>
    </row>
    <row r="103" spans="1:10" s="233" customFormat="1">
      <c r="A103" s="27" t="str">
        <f>A102</f>
        <v>Segment A</v>
      </c>
      <c r="B103" s="65">
        <f>B101/Input!E$70</f>
        <v>0.38</v>
      </c>
      <c r="C103" s="65">
        <f>C101/Input!F$70</f>
        <v>0.3666666666666667</v>
      </c>
      <c r="D103" s="65">
        <f>D101/Input!G$70</f>
        <v>0.36610331632653031</v>
      </c>
      <c r="E103" s="65">
        <f>E101/Input!H$70</f>
        <v>0.38305084745762713</v>
      </c>
      <c r="F103" s="65">
        <f>F101/Input!I$70</f>
        <v>0.39016393442622954</v>
      </c>
      <c r="G103" s="65">
        <f>G101/Input!J$70</f>
        <v>0.40040098017375825</v>
      </c>
      <c r="I103" s="361"/>
      <c r="J103" s="361"/>
    </row>
    <row r="104" spans="1:10" s="233" customFormat="1">
      <c r="A104" s="27" t="str">
        <f>A47</f>
        <v>Segment B</v>
      </c>
      <c r="B104" s="97">
        <v>6.2</v>
      </c>
      <c r="C104" s="97">
        <v>7.08</v>
      </c>
      <c r="D104" s="97">
        <v>6.1426785714285703</v>
      </c>
      <c r="E104" s="97">
        <v>7.64</v>
      </c>
      <c r="F104" s="97">
        <v>8.1199999999999992</v>
      </c>
      <c r="G104" s="97">
        <v>8.4531343283582103</v>
      </c>
      <c r="I104" s="361">
        <f>(D104/B104)^(1/2)-1</f>
        <v>-4.633430190198351E-3</v>
      </c>
      <c r="J104" s="361">
        <f>(G104/E104)^(1/2)-1</f>
        <v>5.1870331747827292E-2</v>
      </c>
    </row>
    <row r="105" spans="1:10" s="233" customFormat="1">
      <c r="A105" s="27" t="str">
        <f>A104</f>
        <v>Segment B</v>
      </c>
      <c r="B105" s="65">
        <f t="shared" ref="B105:G105" si="6">B104/B47</f>
        <v>0.51666666666666672</v>
      </c>
      <c r="C105" s="65">
        <f t="shared" si="6"/>
        <v>0.54629629629629628</v>
      </c>
      <c r="D105" s="65">
        <f t="shared" si="6"/>
        <v>0.51446219191194054</v>
      </c>
      <c r="E105" s="65">
        <f t="shared" si="6"/>
        <v>0.53954802259887003</v>
      </c>
      <c r="F105" s="65">
        <f t="shared" si="6"/>
        <v>0.55464480874316935</v>
      </c>
      <c r="G105" s="65">
        <f t="shared" si="6"/>
        <v>0.56055267429431099</v>
      </c>
      <c r="I105" s="361"/>
      <c r="J105" s="361"/>
    </row>
    <row r="106" spans="1:10" s="233" customFormat="1">
      <c r="A106" s="27" t="str">
        <f>A105</f>
        <v>Segment B</v>
      </c>
      <c r="B106" s="65">
        <f>B104/Input!E$70</f>
        <v>0.124</v>
      </c>
      <c r="C106" s="65">
        <f>C104/Input!F$70</f>
        <v>0.13111111111111112</v>
      </c>
      <c r="D106" s="65">
        <f>D104/Input!G$70</f>
        <v>0.10969068877551018</v>
      </c>
      <c r="E106" s="65">
        <f>E104/Input!H$70</f>
        <v>0.1294915254237288</v>
      </c>
      <c r="F106" s="65">
        <f>F104/Input!I$70</f>
        <v>0.13311475409836065</v>
      </c>
      <c r="G106" s="65">
        <f>G104/Input!J$70</f>
        <v>0.12616618400534643</v>
      </c>
      <c r="I106" s="361"/>
      <c r="J106" s="361"/>
    </row>
    <row r="107" spans="1:10" s="233" customFormat="1">
      <c r="A107" s="27" t="str">
        <f>A49</f>
        <v>Segment C</v>
      </c>
      <c r="B107" s="97">
        <v>3.2</v>
      </c>
      <c r="C107" s="97">
        <v>3.4</v>
      </c>
      <c r="D107" s="97">
        <v>4.4473214285714304</v>
      </c>
      <c r="E107" s="97">
        <v>3.7</v>
      </c>
      <c r="F107" s="97">
        <v>3.9</v>
      </c>
      <c r="G107" s="97">
        <v>4.5880597014925399</v>
      </c>
      <c r="I107" s="361">
        <f>(D107/B107)^(1/2)-1</f>
        <v>0.17889267807912512</v>
      </c>
      <c r="J107" s="361">
        <f>(G107/E107)^(1/2)-1</f>
        <v>0.11356011761311047</v>
      </c>
    </row>
    <row r="108" spans="1:10" s="233" customFormat="1">
      <c r="A108" s="27" t="str">
        <f>A107</f>
        <v>Segment C</v>
      </c>
      <c r="B108" s="65">
        <f t="shared" ref="B108:G108" si="7">B107/B49</f>
        <v>0.64</v>
      </c>
      <c r="C108" s="65">
        <f t="shared" si="7"/>
        <v>0.62962962962962954</v>
      </c>
      <c r="D108" s="65">
        <f t="shared" si="7"/>
        <v>0.62638329979879304</v>
      </c>
      <c r="E108" s="65">
        <f t="shared" si="7"/>
        <v>0.62711864406779672</v>
      </c>
      <c r="F108" s="65">
        <f t="shared" si="7"/>
        <v>0.63934426229508212</v>
      </c>
      <c r="G108" s="65">
        <f t="shared" si="7"/>
        <v>0.65543710021321999</v>
      </c>
      <c r="I108" s="361"/>
      <c r="J108" s="361"/>
    </row>
    <row r="109" spans="1:10" s="233" customFormat="1">
      <c r="A109" s="27" t="str">
        <f>A108</f>
        <v>Segment C</v>
      </c>
      <c r="B109" s="65">
        <f>B107/Input!E$70</f>
        <v>6.4000000000000001E-2</v>
      </c>
      <c r="C109" s="65">
        <f>C107/Input!F$70</f>
        <v>6.2962962962962957E-2</v>
      </c>
      <c r="D109" s="65">
        <f>D107/Input!G$70</f>
        <v>7.9416454081632684E-2</v>
      </c>
      <c r="E109" s="65">
        <f>E107/Input!H$70</f>
        <v>6.2711864406779658E-2</v>
      </c>
      <c r="F109" s="65">
        <f>F107/Input!I$70</f>
        <v>6.3934426229508193E-2</v>
      </c>
      <c r="G109" s="65">
        <f>G107/Input!J$70</f>
        <v>6.8478503007351338E-2</v>
      </c>
      <c r="I109" s="361"/>
      <c r="J109" s="361"/>
    </row>
    <row r="110" spans="1:10" s="233" customFormat="1">
      <c r="A110" s="27" t="str">
        <f>A51</f>
        <v>Segment D</v>
      </c>
      <c r="B110" s="97">
        <v>1.6</v>
      </c>
      <c r="C110" s="97">
        <v>1.72</v>
      </c>
      <c r="D110" s="97">
        <v>2.4082142857142901</v>
      </c>
      <c r="E110" s="97">
        <v>2.06</v>
      </c>
      <c r="F110" s="97">
        <v>2.1800000000000002</v>
      </c>
      <c r="G110" s="97">
        <v>2.1319402985074598</v>
      </c>
      <c r="I110" s="361">
        <f>(D110/B110)^(1/2)-1</f>
        <v>0.22683899863487844</v>
      </c>
      <c r="J110" s="361">
        <f>(G110/E110)^(1/2)-1</f>
        <v>1.7311395298224896E-2</v>
      </c>
    </row>
    <row r="111" spans="1:10" s="233" customFormat="1">
      <c r="A111" s="27" t="str">
        <f>A110</f>
        <v>Segment D</v>
      </c>
      <c r="B111" s="65">
        <f t="shared" ref="B111:G111" si="8">B110/B51</f>
        <v>0.53333333333333333</v>
      </c>
      <c r="C111" s="65">
        <f t="shared" si="8"/>
        <v>0.53086419753086411</v>
      </c>
      <c r="D111" s="65">
        <f t="shared" si="8"/>
        <v>0.55234272608125912</v>
      </c>
      <c r="E111" s="65">
        <f t="shared" si="8"/>
        <v>0.58192090395480223</v>
      </c>
      <c r="F111" s="65">
        <f t="shared" si="8"/>
        <v>0.59562841530054655</v>
      </c>
      <c r="G111" s="65">
        <f t="shared" si="8"/>
        <v>0.57310223078157518</v>
      </c>
      <c r="I111" s="361"/>
      <c r="J111" s="361"/>
    </row>
    <row r="112" spans="1:10" s="233" customFormat="1">
      <c r="A112" s="27" t="str">
        <f>A111</f>
        <v>Segment D</v>
      </c>
      <c r="B112" s="65">
        <f>B110/Input!E$70</f>
        <v>3.2000000000000001E-2</v>
      </c>
      <c r="C112" s="65">
        <f>C110/Input!F$70</f>
        <v>3.1851851851851853E-2</v>
      </c>
      <c r="D112" s="65">
        <f>D110/Input!G$70</f>
        <v>4.300382653061232E-2</v>
      </c>
      <c r="E112" s="65">
        <f>E110/Input!H$70</f>
        <v>3.4915254237288133E-2</v>
      </c>
      <c r="F112" s="65">
        <f>F110/Input!I$70</f>
        <v>3.5737704918032791E-2</v>
      </c>
      <c r="G112" s="65">
        <f>G110/Input!J$70</f>
        <v>3.182000445533522E-2</v>
      </c>
      <c r="I112" s="361"/>
      <c r="J112" s="361"/>
    </row>
    <row r="113" spans="1:10" s="233" customFormat="1">
      <c r="A113" s="9" t="s">
        <v>74</v>
      </c>
      <c r="B113" s="313">
        <f t="shared" ref="B113:G113" si="9">SUM(B101,B104,B107,B110)</f>
        <v>30</v>
      </c>
      <c r="C113" s="313">
        <f t="shared" si="9"/>
        <v>32</v>
      </c>
      <c r="D113" s="313">
        <f t="shared" si="9"/>
        <v>33.499999999999993</v>
      </c>
      <c r="E113" s="313">
        <f t="shared" si="9"/>
        <v>36.000000000000007</v>
      </c>
      <c r="F113" s="313">
        <f t="shared" si="9"/>
        <v>38</v>
      </c>
      <c r="G113" s="313">
        <f t="shared" si="9"/>
        <v>42.000000000000014</v>
      </c>
      <c r="I113" s="362">
        <f>(D113/B113)^(1/2)-1</f>
        <v>5.6724498943157231E-2</v>
      </c>
      <c r="J113" s="362">
        <f>(G113/E113)^(1/2)-1</f>
        <v>8.012344973464347E-2</v>
      </c>
    </row>
    <row r="114" spans="1:10" s="233" customFormat="1">
      <c r="A114" s="9"/>
      <c r="B114" s="318">
        <f t="shared" ref="B114:G114" si="10">B113/B53</f>
        <v>0.6</v>
      </c>
      <c r="C114" s="318">
        <f t="shared" si="10"/>
        <v>0.59259259259259256</v>
      </c>
      <c r="D114" s="318">
        <f t="shared" si="10"/>
        <v>0.59821428571428559</v>
      </c>
      <c r="E114" s="318">
        <f t="shared" si="10"/>
        <v>0.61016949152542388</v>
      </c>
      <c r="F114" s="318">
        <f t="shared" si="10"/>
        <v>0.62295081967213117</v>
      </c>
      <c r="G114" s="318">
        <f t="shared" si="10"/>
        <v>0.6268656716417913</v>
      </c>
      <c r="I114" s="315"/>
      <c r="J114" s="315"/>
    </row>
    <row r="115" spans="1:10" s="233" customFormat="1">
      <c r="A115" s="310" t="s">
        <v>118</v>
      </c>
      <c r="B115" s="311">
        <f>B113-Input!E71</f>
        <v>5</v>
      </c>
      <c r="C115" s="311">
        <f>C113-Input!F71</f>
        <v>5</v>
      </c>
      <c r="D115" s="311">
        <f>D113-Input!G71</f>
        <v>5.4999999999999929</v>
      </c>
      <c r="E115" s="311">
        <f>E113-Input!H71</f>
        <v>6.0000000000000071</v>
      </c>
      <c r="F115" s="311">
        <f>F113-Input!I71</f>
        <v>6.5</v>
      </c>
      <c r="G115" s="311">
        <f>G113-Input!J71</f>
        <v>6.5000000000000142</v>
      </c>
    </row>
    <row r="116" spans="1:10" s="233" customFormat="1"/>
    <row r="117" spans="1:10" s="233" customFormat="1">
      <c r="A117" s="248" t="str">
        <f>CONCATENATE("Gross profit (",A100,")")</f>
        <v>Gross profit (€m)</v>
      </c>
    </row>
    <row r="118" spans="1:10" s="233" customFormat="1">
      <c r="A118" s="233" t="s">
        <v>49</v>
      </c>
    </row>
    <row r="119" spans="1:10" s="233" customFormat="1">
      <c r="A119" s="233" t="s">
        <v>519</v>
      </c>
    </row>
    <row r="120" spans="1:10" s="233" customFormat="1"/>
    <row r="121" spans="1:10" s="233" customFormat="1"/>
    <row r="122" spans="1:10" s="233" customFormat="1"/>
    <row r="123" spans="1:10" s="233" customFormat="1"/>
    <row r="124" spans="1:10" s="233" customFormat="1"/>
    <row r="125" spans="1:10" s="233" customFormat="1"/>
    <row r="126" spans="1:10" s="233" customFormat="1"/>
    <row r="127" spans="1:10" s="233" customFormat="1"/>
    <row r="128" spans="1:10" s="233" customFormat="1"/>
    <row r="129" spans="1:1" s="233" customFormat="1"/>
    <row r="130" spans="1:1" s="233" customFormat="1"/>
    <row r="131" spans="1:1" s="233" customFormat="1"/>
    <row r="132" spans="1:1" s="233" customFormat="1"/>
    <row r="133" spans="1:1" s="233" customFormat="1"/>
    <row r="134" spans="1:1" s="233" customFormat="1"/>
    <row r="135" spans="1:1" s="233" customFormat="1"/>
    <row r="136" spans="1:1" s="233" customFormat="1"/>
    <row r="137" spans="1:1" s="233" customFormat="1"/>
    <row r="138" spans="1:1" s="233" customFormat="1"/>
    <row r="139" spans="1:1" s="233" customFormat="1"/>
    <row r="140" spans="1:1" s="233" customFormat="1"/>
    <row r="141" spans="1:1" s="233" customFormat="1"/>
    <row r="142" spans="1:1" s="357" customFormat="1" ht="20.25" customHeight="1">
      <c r="A142" s="358" t="s">
        <v>108</v>
      </c>
    </row>
    <row r="145" spans="1:15" s="233" customFormat="1">
      <c r="A145" s="150" t="s">
        <v>472</v>
      </c>
      <c r="B145" s="150"/>
      <c r="C145" s="150"/>
      <c r="D145" s="150"/>
      <c r="E145" s="150"/>
      <c r="F145" s="150"/>
      <c r="G145" s="150"/>
      <c r="H145" s="150"/>
    </row>
    <row r="146" spans="1:15" s="233" customFormat="1">
      <c r="A146" s="150"/>
      <c r="B146" s="150"/>
      <c r="C146" s="322">
        <f>Input!E68</f>
        <v>2010</v>
      </c>
      <c r="D146" s="322">
        <f>Input!F68</f>
        <v>2011</v>
      </c>
      <c r="E146" s="322">
        <f>Input!G68</f>
        <v>2012</v>
      </c>
      <c r="F146" s="322">
        <f>Input!H68</f>
        <v>2013</v>
      </c>
      <c r="G146" s="322">
        <f>Input!I68</f>
        <v>2014</v>
      </c>
      <c r="H146" s="322">
        <f>Input!J68</f>
        <v>2015</v>
      </c>
    </row>
    <row r="147" spans="1:15" s="233" customFormat="1">
      <c r="A147" s="150" t="str">
        <f>Input!E4</f>
        <v>€m</v>
      </c>
      <c r="B147" s="150"/>
      <c r="C147" s="322" t="str">
        <f>Input!E69</f>
        <v>Actual</v>
      </c>
      <c r="D147" s="323" t="str">
        <f>Input!F69</f>
        <v>Actual</v>
      </c>
      <c r="E147" s="322" t="str">
        <f>Input!G69</f>
        <v>Actual</v>
      </c>
      <c r="F147" s="322" t="str">
        <f>Input!H69</f>
        <v>Plan</v>
      </c>
      <c r="G147" s="323" t="str">
        <f>Input!I69</f>
        <v>Plan</v>
      </c>
      <c r="H147" s="322" t="str">
        <f>Input!J69</f>
        <v>Plan</v>
      </c>
    </row>
    <row r="148" spans="1:15" s="233" customFormat="1">
      <c r="A148" s="150" t="str">
        <f>A45</f>
        <v>Segment A</v>
      </c>
      <c r="B148" s="150" t="s">
        <v>47</v>
      </c>
      <c r="C148" s="324">
        <f>B45</f>
        <v>30</v>
      </c>
      <c r="D148" s="324">
        <f t="shared" ref="D148:H148" si="11">C45</f>
        <v>32.400000000000006</v>
      </c>
      <c r="E148" s="324">
        <f t="shared" si="11"/>
        <v>32.6</v>
      </c>
      <c r="F148" s="324">
        <f t="shared" si="11"/>
        <v>35.400000000000006</v>
      </c>
      <c r="G148" s="324">
        <f t="shared" si="11"/>
        <v>36.6</v>
      </c>
      <c r="H148" s="324">
        <f t="shared" si="11"/>
        <v>41.2</v>
      </c>
    </row>
    <row r="149" spans="1:15" s="233" customFormat="1">
      <c r="A149" s="150"/>
      <c r="B149" s="150" t="s">
        <v>48</v>
      </c>
      <c r="C149" s="324">
        <f>B101</f>
        <v>19</v>
      </c>
      <c r="D149" s="324">
        <f t="shared" ref="D149:H149" si="12">C101</f>
        <v>19.8</v>
      </c>
      <c r="E149" s="324">
        <f t="shared" si="12"/>
        <v>20.501785714285699</v>
      </c>
      <c r="F149" s="324">
        <f t="shared" si="12"/>
        <v>22.6</v>
      </c>
      <c r="G149" s="324">
        <f t="shared" si="12"/>
        <v>23.8</v>
      </c>
      <c r="H149" s="324">
        <f t="shared" si="12"/>
        <v>26.826865671641801</v>
      </c>
    </row>
    <row r="150" spans="1:15" s="233" customFormat="1">
      <c r="A150" s="150"/>
      <c r="B150" s="150" t="s">
        <v>49</v>
      </c>
      <c r="C150" s="227">
        <f>C149/C148</f>
        <v>0.6333333333333333</v>
      </c>
      <c r="D150" s="227">
        <f t="shared" ref="D150:H150" si="13">D149/D148</f>
        <v>0.61111111111111105</v>
      </c>
      <c r="E150" s="227">
        <f t="shared" si="13"/>
        <v>0.62888913234005206</v>
      </c>
      <c r="F150" s="227">
        <f t="shared" si="13"/>
        <v>0.63841807909604509</v>
      </c>
      <c r="G150" s="227">
        <f t="shared" si="13"/>
        <v>0.65027322404371579</v>
      </c>
      <c r="H150" s="227">
        <f t="shared" si="13"/>
        <v>0.65113751630198546</v>
      </c>
    </row>
    <row r="151" spans="1:15" s="233" customFormat="1">
      <c r="A151" s="150" t="str">
        <f>A47</f>
        <v>Segment B</v>
      </c>
      <c r="B151" s="150" t="s">
        <v>47</v>
      </c>
      <c r="C151" s="324">
        <f>B47</f>
        <v>12</v>
      </c>
      <c r="D151" s="324">
        <f t="shared" ref="D151:H151" si="14">C47</f>
        <v>12.96</v>
      </c>
      <c r="E151" s="324">
        <f t="shared" si="14"/>
        <v>11.94</v>
      </c>
      <c r="F151" s="324">
        <f t="shared" si="14"/>
        <v>14.16</v>
      </c>
      <c r="G151" s="324">
        <f t="shared" si="14"/>
        <v>14.639999999999999</v>
      </c>
      <c r="H151" s="324">
        <f t="shared" si="14"/>
        <v>15.08</v>
      </c>
      <c r="J151" s="150"/>
      <c r="K151" s="150"/>
      <c r="L151" s="150"/>
      <c r="M151" s="150"/>
      <c r="N151" s="150"/>
      <c r="O151" s="150"/>
    </row>
    <row r="152" spans="1:15" s="233" customFormat="1">
      <c r="A152" s="150"/>
      <c r="B152" s="150" t="s">
        <v>48</v>
      </c>
      <c r="C152" s="324">
        <f>B104</f>
        <v>6.2</v>
      </c>
      <c r="D152" s="324">
        <f t="shared" ref="D152:H152" si="15">C104</f>
        <v>7.08</v>
      </c>
      <c r="E152" s="324">
        <f t="shared" si="15"/>
        <v>6.1426785714285703</v>
      </c>
      <c r="F152" s="324">
        <f t="shared" si="15"/>
        <v>7.64</v>
      </c>
      <c r="G152" s="324">
        <f t="shared" si="15"/>
        <v>8.1199999999999992</v>
      </c>
      <c r="H152" s="324">
        <f t="shared" si="15"/>
        <v>8.4531343283582103</v>
      </c>
      <c r="J152" s="229"/>
    </row>
    <row r="153" spans="1:15" s="233" customFormat="1">
      <c r="A153" s="150"/>
      <c r="B153" s="150" t="s">
        <v>49</v>
      </c>
      <c r="C153" s="227">
        <f>C152/C151</f>
        <v>0.51666666666666672</v>
      </c>
      <c r="D153" s="227">
        <f t="shared" ref="D153:H153" si="16">D152/D151</f>
        <v>0.54629629629629628</v>
      </c>
      <c r="E153" s="227">
        <f t="shared" si="16"/>
        <v>0.51446219191194054</v>
      </c>
      <c r="F153" s="227">
        <f t="shared" si="16"/>
        <v>0.53954802259887003</v>
      </c>
      <c r="G153" s="227">
        <f t="shared" si="16"/>
        <v>0.55464480874316935</v>
      </c>
      <c r="H153" s="227">
        <f t="shared" si="16"/>
        <v>0.56055267429431099</v>
      </c>
    </row>
    <row r="154" spans="1:15" s="233" customFormat="1">
      <c r="A154" s="150" t="str">
        <f>A49</f>
        <v>Segment C</v>
      </c>
      <c r="B154" s="150" t="s">
        <v>47</v>
      </c>
      <c r="C154" s="324">
        <f>B49</f>
        <v>5</v>
      </c>
      <c r="D154" s="324">
        <f t="shared" ref="D154:H154" si="17">C49</f>
        <v>5.4</v>
      </c>
      <c r="E154" s="324">
        <f t="shared" si="17"/>
        <v>7.1</v>
      </c>
      <c r="F154" s="324">
        <f t="shared" si="17"/>
        <v>5.8999999999999995</v>
      </c>
      <c r="G154" s="324">
        <f t="shared" si="17"/>
        <v>6.0999999999999988</v>
      </c>
      <c r="H154" s="324">
        <f t="shared" si="17"/>
        <v>7</v>
      </c>
    </row>
    <row r="155" spans="1:15" s="233" customFormat="1">
      <c r="A155" s="150"/>
      <c r="B155" s="150" t="s">
        <v>48</v>
      </c>
      <c r="C155" s="324">
        <f>B107</f>
        <v>3.2</v>
      </c>
      <c r="D155" s="324">
        <f t="shared" ref="D155:H155" si="18">C107</f>
        <v>3.4</v>
      </c>
      <c r="E155" s="324">
        <f t="shared" si="18"/>
        <v>4.4473214285714304</v>
      </c>
      <c r="F155" s="324">
        <f t="shared" si="18"/>
        <v>3.7</v>
      </c>
      <c r="G155" s="324">
        <f t="shared" si="18"/>
        <v>3.9</v>
      </c>
      <c r="H155" s="324">
        <f t="shared" si="18"/>
        <v>4.5880597014925399</v>
      </c>
    </row>
    <row r="156" spans="1:15" s="233" customFormat="1">
      <c r="A156" s="150"/>
      <c r="B156" s="150" t="s">
        <v>49</v>
      </c>
      <c r="C156" s="227">
        <f>C155/C154</f>
        <v>0.64</v>
      </c>
      <c r="D156" s="227">
        <f t="shared" ref="D156:H156" si="19">D155/D154</f>
        <v>0.62962962962962954</v>
      </c>
      <c r="E156" s="227">
        <f t="shared" si="19"/>
        <v>0.62638329979879304</v>
      </c>
      <c r="F156" s="227">
        <f t="shared" si="19"/>
        <v>0.62711864406779672</v>
      </c>
      <c r="G156" s="227">
        <f t="shared" si="19"/>
        <v>0.63934426229508212</v>
      </c>
      <c r="H156" s="227">
        <f t="shared" si="19"/>
        <v>0.65543710021321999</v>
      </c>
    </row>
    <row r="157" spans="1:15" s="233" customFormat="1">
      <c r="A157" s="150" t="str">
        <f>A51</f>
        <v>Segment D</v>
      </c>
      <c r="B157" s="150" t="s">
        <v>47</v>
      </c>
      <c r="C157" s="324">
        <f>B51</f>
        <v>3</v>
      </c>
      <c r="D157" s="324">
        <f t="shared" ref="D157:H157" si="20">C51</f>
        <v>3.24</v>
      </c>
      <c r="E157" s="324">
        <f t="shared" si="20"/>
        <v>4.3600000000000003</v>
      </c>
      <c r="F157" s="324">
        <f t="shared" si="20"/>
        <v>3.54</v>
      </c>
      <c r="G157" s="324">
        <f t="shared" si="20"/>
        <v>3.6599999999999997</v>
      </c>
      <c r="H157" s="324">
        <f t="shared" si="20"/>
        <v>3.72</v>
      </c>
    </row>
    <row r="158" spans="1:15" s="233" customFormat="1">
      <c r="A158" s="150"/>
      <c r="B158" s="150" t="s">
        <v>48</v>
      </c>
      <c r="C158" s="324">
        <f>B110</f>
        <v>1.6</v>
      </c>
      <c r="D158" s="324">
        <f t="shared" ref="D158:H158" si="21">C110</f>
        <v>1.72</v>
      </c>
      <c r="E158" s="324">
        <f t="shared" si="21"/>
        <v>2.4082142857142901</v>
      </c>
      <c r="F158" s="324">
        <f t="shared" si="21"/>
        <v>2.06</v>
      </c>
      <c r="G158" s="324">
        <f t="shared" si="21"/>
        <v>2.1800000000000002</v>
      </c>
      <c r="H158" s="324">
        <f t="shared" si="21"/>
        <v>2.1319402985074598</v>
      </c>
    </row>
    <row r="159" spans="1:15" s="233" customFormat="1">
      <c r="A159" s="150"/>
      <c r="B159" s="150" t="s">
        <v>49</v>
      </c>
      <c r="C159" s="227">
        <f>C158/C157</f>
        <v>0.53333333333333333</v>
      </c>
      <c r="D159" s="227">
        <f t="shared" ref="D159:H159" si="22">D158/D157</f>
        <v>0.53086419753086411</v>
      </c>
      <c r="E159" s="227">
        <f t="shared" si="22"/>
        <v>0.55234272608125912</v>
      </c>
      <c r="F159" s="227">
        <f t="shared" si="22"/>
        <v>0.58192090395480223</v>
      </c>
      <c r="G159" s="227">
        <f t="shared" si="22"/>
        <v>0.59562841530054655</v>
      </c>
      <c r="H159" s="227">
        <f t="shared" si="22"/>
        <v>0.57310223078157518</v>
      </c>
    </row>
    <row r="160" spans="1:15" s="233" customFormat="1">
      <c r="A160" s="150" t="s">
        <v>515</v>
      </c>
      <c r="B160" s="150" t="s">
        <v>47</v>
      </c>
      <c r="C160" s="151">
        <f>B53</f>
        <v>50</v>
      </c>
      <c r="D160" s="151">
        <f t="shared" ref="D160:H160" si="23">C53</f>
        <v>54.000000000000007</v>
      </c>
      <c r="E160" s="151">
        <f t="shared" si="23"/>
        <v>56</v>
      </c>
      <c r="F160" s="151">
        <f t="shared" si="23"/>
        <v>59</v>
      </c>
      <c r="G160" s="151">
        <f t="shared" si="23"/>
        <v>61</v>
      </c>
      <c r="H160" s="151">
        <f t="shared" si="23"/>
        <v>67</v>
      </c>
    </row>
    <row r="161" spans="1:8" s="233" customFormat="1">
      <c r="A161" s="150"/>
      <c r="B161" s="150" t="s">
        <v>48</v>
      </c>
      <c r="C161" s="151">
        <f>B113</f>
        <v>30</v>
      </c>
      <c r="D161" s="151">
        <f t="shared" ref="D161:H161" si="24">C113</f>
        <v>32</v>
      </c>
      <c r="E161" s="151">
        <f t="shared" si="24"/>
        <v>33.499999999999993</v>
      </c>
      <c r="F161" s="151">
        <f t="shared" si="24"/>
        <v>36.000000000000007</v>
      </c>
      <c r="G161" s="151">
        <f t="shared" si="24"/>
        <v>38</v>
      </c>
      <c r="H161" s="151">
        <f t="shared" si="24"/>
        <v>42.000000000000014</v>
      </c>
    </row>
    <row r="162" spans="1:8" s="233" customFormat="1">
      <c r="A162" s="150"/>
      <c r="B162" s="150" t="s">
        <v>49</v>
      </c>
      <c r="C162" s="227">
        <f>C161/C160</f>
        <v>0.6</v>
      </c>
      <c r="D162" s="227">
        <f t="shared" ref="D162:H162" si="25">D161/D160</f>
        <v>0.59259259259259256</v>
      </c>
      <c r="E162" s="227">
        <f t="shared" si="25"/>
        <v>0.59821428571428559</v>
      </c>
      <c r="F162" s="227">
        <f t="shared" si="25"/>
        <v>0.61016949152542388</v>
      </c>
      <c r="G162" s="227">
        <f t="shared" si="25"/>
        <v>0.62295081967213117</v>
      </c>
      <c r="H162" s="227">
        <f t="shared" si="25"/>
        <v>0.6268656716417913</v>
      </c>
    </row>
    <row r="163" spans="1:8" s="233" customFormat="1"/>
    <row r="164" spans="1:8" s="233" customFormat="1">
      <c r="A164" s="229"/>
      <c r="B164" s="310" t="s">
        <v>106</v>
      </c>
      <c r="C164" s="311">
        <f>C160-SUM(C157,C154,C151,C148)</f>
        <v>0</v>
      </c>
      <c r="D164" s="311">
        <f t="shared" ref="D164:H164" si="26">D160-SUM(D157,D154,D151,D148)</f>
        <v>0</v>
      </c>
      <c r="E164" s="311">
        <f t="shared" si="26"/>
        <v>0</v>
      </c>
      <c r="F164" s="311">
        <f t="shared" si="26"/>
        <v>0</v>
      </c>
      <c r="G164" s="311">
        <f t="shared" si="26"/>
        <v>0</v>
      </c>
      <c r="H164" s="311">
        <f t="shared" si="26"/>
        <v>0</v>
      </c>
    </row>
    <row r="165" spans="1:8" s="233" customFormat="1">
      <c r="B165" s="310" t="s">
        <v>106</v>
      </c>
      <c r="C165" s="311">
        <f>C161-SUM(C158,C155,C152,C149)</f>
        <v>0</v>
      </c>
      <c r="D165" s="311">
        <f t="shared" ref="D165:H165" si="27">D161-SUM(D158,D155,D152,D149)</f>
        <v>0</v>
      </c>
      <c r="E165" s="311">
        <f t="shared" si="27"/>
        <v>0</v>
      </c>
      <c r="F165" s="311">
        <f t="shared" si="27"/>
        <v>0</v>
      </c>
      <c r="G165" s="311">
        <f t="shared" si="27"/>
        <v>0</v>
      </c>
      <c r="H165" s="311">
        <f t="shared" si="27"/>
        <v>0</v>
      </c>
    </row>
    <row r="166" spans="1:8" s="233" customFormat="1" ht="14.25">
      <c r="D166" s="319"/>
      <c r="E166" s="319"/>
      <c r="F166" s="319"/>
      <c r="G166" s="319"/>
      <c r="H166" s="319"/>
    </row>
    <row r="167" spans="1:8" s="233" customFormat="1" ht="14.25">
      <c r="D167" s="319"/>
      <c r="E167" s="319"/>
      <c r="F167" s="319"/>
      <c r="G167" s="319"/>
      <c r="H167" s="319"/>
    </row>
    <row r="168" spans="1:8" s="233" customFormat="1"/>
    <row r="169" spans="1:8" s="233" customFormat="1"/>
    <row r="170" spans="1:8" s="233" customFormat="1" ht="19.5" customHeight="1">
      <c r="A170" s="363" t="str">
        <f>CONCATENATE("Gross profit by segments ",$E$146)</f>
        <v>Gross profit by segments 2012</v>
      </c>
      <c r="B170" s="364"/>
      <c r="C170" s="364"/>
      <c r="D170" s="364"/>
      <c r="E170" s="364"/>
      <c r="F170" s="364"/>
    </row>
    <row r="171" spans="1:8" s="233" customFormat="1" ht="22.5">
      <c r="A171" s="371"/>
      <c r="B171" s="372" t="str">
        <f>CONCATENATE($A$148, " ",$E$146)</f>
        <v>Segment A 2012</v>
      </c>
      <c r="C171" s="372" t="str">
        <f>CONCATENATE($A$151, " ",$E$146)</f>
        <v>Segment B 2012</v>
      </c>
      <c r="D171" s="372" t="str">
        <f>CONCATENATE($A$154, " ",$E$146)</f>
        <v>Segment C 2012</v>
      </c>
      <c r="E171" s="372" t="str">
        <f>CONCATENATE($A$157, " ",$E$146)</f>
        <v>Segment D 2012</v>
      </c>
      <c r="F171" s="373" t="str">
        <f>CONCATENATE($A$160, " ",$E$146)</f>
        <v>Group 2012</v>
      </c>
    </row>
    <row r="172" spans="1:8" s="233" customFormat="1">
      <c r="A172" s="365" t="str">
        <f>CONCATENATE("CAGR ",B148," ",C146,"-",E146)</f>
        <v>CAGR Sales 2010-2012</v>
      </c>
      <c r="B172" s="374">
        <f>((E148/C148)^(1/2))-1</f>
        <v>4.2433051407459343E-2</v>
      </c>
      <c r="C172" s="374">
        <f>((E151/C151)^(1/2))-1</f>
        <v>-2.5031328369998773E-3</v>
      </c>
      <c r="D172" s="374">
        <f>((E154/C154)^(1/2))-1</f>
        <v>0.19163752878129836</v>
      </c>
      <c r="E172" s="374">
        <f>((E157/C157)^(1/2))-1</f>
        <v>0.20554275466834171</v>
      </c>
      <c r="F172" s="375">
        <f>((E160/C160)^(1/2))-1</f>
        <v>5.8300524425836331E-2</v>
      </c>
    </row>
    <row r="173" spans="1:8" s="233" customFormat="1">
      <c r="A173" s="365" t="str">
        <f>B148</f>
        <v>Sales</v>
      </c>
      <c r="B173" s="320">
        <f>AVERAGE(C148:E148)</f>
        <v>31.666666666666668</v>
      </c>
      <c r="C173" s="320">
        <f>AVERAGE(C151:E151)</f>
        <v>12.299999999999999</v>
      </c>
      <c r="D173" s="320">
        <f>AVERAGE(C154:E154)</f>
        <v>5.833333333333333</v>
      </c>
      <c r="E173" s="320">
        <f>AVERAGE(C157:E157)</f>
        <v>3.5333333333333337</v>
      </c>
      <c r="F173" s="367">
        <f>AVERAGE(C160:E160)</f>
        <v>53.333333333333336</v>
      </c>
    </row>
    <row r="174" spans="1:8" s="233" customFormat="1" ht="12" thickBot="1">
      <c r="A174" s="368" t="s">
        <v>520</v>
      </c>
      <c r="B174" s="369">
        <f>AVERAGE(C150:E150)</f>
        <v>0.62444452559483221</v>
      </c>
      <c r="C174" s="369">
        <f>AVERAGE(C153:E153)</f>
        <v>0.52580838495830118</v>
      </c>
      <c r="D174" s="369">
        <f>AVERAGE(C156:E156)</f>
        <v>0.6320043098094742</v>
      </c>
      <c r="E174" s="369">
        <f>AVERAGE(C159:E159)</f>
        <v>0.53884675231515222</v>
      </c>
      <c r="F174" s="370">
        <f>AVERAGE(C162:E162)</f>
        <v>0.59693562610229278</v>
      </c>
    </row>
    <row r="175" spans="1:8" s="233" customFormat="1"/>
    <row r="176" spans="1:8" s="233" customFormat="1" ht="19.5" customHeight="1">
      <c r="A176" s="363" t="str">
        <f>CONCATENATE("Gross profit by segments ",$H$146)</f>
        <v>Gross profit by segments 2015</v>
      </c>
      <c r="B176" s="364"/>
      <c r="C176" s="364"/>
      <c r="D176" s="364"/>
      <c r="E176" s="364"/>
      <c r="F176" s="364"/>
    </row>
    <row r="177" spans="1:6" s="233" customFormat="1" ht="22.5">
      <c r="A177" s="371"/>
      <c r="B177" s="372" t="s">
        <v>525</v>
      </c>
      <c r="C177" s="372" t="s">
        <v>524</v>
      </c>
      <c r="D177" s="372" t="s">
        <v>523</v>
      </c>
      <c r="E177" s="372" t="s">
        <v>522</v>
      </c>
      <c r="F177" s="373" t="s">
        <v>521</v>
      </c>
    </row>
    <row r="178" spans="1:6" s="233" customFormat="1">
      <c r="A178" s="365" t="str">
        <f>CONCATENATE("CAGR ",B148," ",F146,"-",H146)</f>
        <v>CAGR Sales 2013-2015</v>
      </c>
      <c r="B178" s="321">
        <f>((H148/F148)^(1/2))-1</f>
        <v>7.8815001707709165E-2</v>
      </c>
      <c r="C178" s="321">
        <f>((H151/F151)^(1/2))-1</f>
        <v>3.1974685451358065E-2</v>
      </c>
      <c r="D178" s="321">
        <f>((H154/F154)^(1/2))-1</f>
        <v>8.9238577156585119E-2</v>
      </c>
      <c r="E178" s="321">
        <f>((H157/F157)^(1/2))-1</f>
        <v>2.5108510172029863E-2</v>
      </c>
      <c r="F178" s="366">
        <f>((H160/F160)^(1/2))-1</f>
        <v>6.5642163363942352E-2</v>
      </c>
    </row>
    <row r="179" spans="1:6" s="233" customFormat="1">
      <c r="A179" s="365" t="str">
        <f>B148</f>
        <v>Sales</v>
      </c>
      <c r="B179" s="320">
        <f>AVERAGE(F148:H148)</f>
        <v>37.733333333333334</v>
      </c>
      <c r="C179" s="320">
        <f>AVERAGE(F151:H151)</f>
        <v>14.626666666666665</v>
      </c>
      <c r="D179" s="320">
        <f>AVERAGE(F154:H154)</f>
        <v>6.333333333333333</v>
      </c>
      <c r="E179" s="320">
        <f>AVERAGE(F157:H157)</f>
        <v>3.64</v>
      </c>
      <c r="F179" s="367">
        <f>AVERAGE(F160:H160)</f>
        <v>62.333333333333336</v>
      </c>
    </row>
    <row r="180" spans="1:6" s="233" customFormat="1" ht="12" thickBot="1">
      <c r="A180" s="368" t="s">
        <v>520</v>
      </c>
      <c r="B180" s="369">
        <f>AVERAGE(F150:H150)</f>
        <v>0.64660960648058208</v>
      </c>
      <c r="C180" s="369">
        <f>AVERAGE(F153:H153)</f>
        <v>0.55158183521211679</v>
      </c>
      <c r="D180" s="369">
        <f>AVERAGE(F156:H156)</f>
        <v>0.64063333552536628</v>
      </c>
      <c r="E180" s="369">
        <f>AVERAGE(F159:H159)</f>
        <v>0.58355051667897462</v>
      </c>
      <c r="F180" s="370">
        <f>AVERAGE(F162:H162)</f>
        <v>0.61999532761311549</v>
      </c>
    </row>
    <row r="181" spans="1:6" s="233" customFormat="1"/>
    <row r="182" spans="1:6" s="233" customFormat="1">
      <c r="A182" s="233" t="s">
        <v>391</v>
      </c>
    </row>
    <row r="183" spans="1:6" s="233" customFormat="1">
      <c r="A183" s="233" t="str">
        <f>CONCATENATE(B162, " ",H146)</f>
        <v>Gross profit margin 2015</v>
      </c>
    </row>
    <row r="184" spans="1:6" s="233" customFormat="1"/>
    <row r="185" spans="1:6" s="233" customFormat="1"/>
    <row r="186" spans="1:6" s="233" customFormat="1"/>
    <row r="187" spans="1:6" s="233" customFormat="1">
      <c r="A187" s="229"/>
    </row>
    <row r="188" spans="1:6" s="233" customFormat="1" ht="19.5" customHeight="1">
      <c r="A188" s="363" t="str">
        <f>CONCATENATE("Gross profit by segments ",$E$146)</f>
        <v>Gross profit by segments 2012</v>
      </c>
      <c r="B188" s="364"/>
      <c r="C188" s="364"/>
      <c r="D188" s="364"/>
      <c r="E188" s="364"/>
      <c r="F188" s="364"/>
    </row>
    <row r="189" spans="1:6" s="233" customFormat="1" ht="22.5">
      <c r="A189" s="371" t="str">
        <f>$A$147</f>
        <v>€m</v>
      </c>
      <c r="B189" s="372" t="str">
        <f>B171</f>
        <v>Segment A 2012</v>
      </c>
      <c r="C189" s="372" t="str">
        <f t="shared" ref="C189:F189" si="28">C171</f>
        <v>Segment B 2012</v>
      </c>
      <c r="D189" s="372" t="str">
        <f t="shared" si="28"/>
        <v>Segment C 2012</v>
      </c>
      <c r="E189" s="372" t="str">
        <f t="shared" si="28"/>
        <v>Segment D 2012</v>
      </c>
      <c r="F189" s="373" t="str">
        <f t="shared" si="28"/>
        <v>Group 2012</v>
      </c>
    </row>
    <row r="190" spans="1:6" s="233" customFormat="1">
      <c r="A190" s="365" t="s">
        <v>47</v>
      </c>
      <c r="B190" s="320">
        <f>E148</f>
        <v>32.6</v>
      </c>
      <c r="C190" s="320">
        <f>E151</f>
        <v>11.94</v>
      </c>
      <c r="D190" s="320">
        <f>E154</f>
        <v>7.1</v>
      </c>
      <c r="E190" s="320">
        <f>E157</f>
        <v>4.3600000000000003</v>
      </c>
      <c r="F190" s="367">
        <f>SUM(B190:E190)</f>
        <v>56</v>
      </c>
    </row>
    <row r="191" spans="1:6" s="233" customFormat="1">
      <c r="A191" s="365" t="s">
        <v>48</v>
      </c>
      <c r="B191" s="320">
        <f>E149</f>
        <v>20.501785714285699</v>
      </c>
      <c r="C191" s="320">
        <f>E152</f>
        <v>6.1426785714285703</v>
      </c>
      <c r="D191" s="320">
        <f>E155</f>
        <v>4.4473214285714304</v>
      </c>
      <c r="E191" s="320">
        <f>E158</f>
        <v>2.4082142857142901</v>
      </c>
      <c r="F191" s="367">
        <f>SUM(B191:E191)</f>
        <v>33.499999999999993</v>
      </c>
    </row>
    <row r="192" spans="1:6" s="233" customFormat="1" ht="12" thickBot="1">
      <c r="A192" s="368" t="s">
        <v>520</v>
      </c>
      <c r="B192" s="369">
        <f>B191/B190</f>
        <v>0.62888913234005206</v>
      </c>
      <c r="C192" s="369">
        <f>C191/C190</f>
        <v>0.51446219191194054</v>
      </c>
      <c r="D192" s="369">
        <f>D191/D190</f>
        <v>0.62638329979879304</v>
      </c>
      <c r="E192" s="369">
        <f>E191/E190</f>
        <v>0.55234272608125912</v>
      </c>
      <c r="F192" s="370">
        <f>F191/F190</f>
        <v>0.59821428571428559</v>
      </c>
    </row>
    <row r="193" spans="1:6" s="233" customFormat="1">
      <c r="B193" s="325"/>
      <c r="C193" s="325"/>
      <c r="D193" s="325"/>
      <c r="E193" s="325"/>
      <c r="F193" s="325"/>
    </row>
    <row r="194" spans="1:6" s="233" customFormat="1">
      <c r="A194" s="229"/>
    </row>
    <row r="195" spans="1:6" s="233" customFormat="1" ht="19.5" customHeight="1">
      <c r="A195" s="363" t="str">
        <f>CONCATENATE("Gross profit by segments ",$H$146)</f>
        <v>Gross profit by segments 2015</v>
      </c>
      <c r="B195" s="364"/>
      <c r="C195" s="364"/>
      <c r="D195" s="364"/>
      <c r="E195" s="364"/>
      <c r="F195" s="364"/>
    </row>
    <row r="196" spans="1:6" s="233" customFormat="1" ht="22.5">
      <c r="A196" s="371" t="str">
        <f>$A$147</f>
        <v>€m</v>
      </c>
      <c r="B196" s="372" t="str">
        <f>B177</f>
        <v>Segment A 2015</v>
      </c>
      <c r="C196" s="372" t="str">
        <f t="shared" ref="C196:F196" si="29">C177</f>
        <v>Segment B 2015</v>
      </c>
      <c r="D196" s="372" t="str">
        <f t="shared" si="29"/>
        <v>Segment C 2015</v>
      </c>
      <c r="E196" s="372" t="str">
        <f t="shared" si="29"/>
        <v>Segment D 2015</v>
      </c>
      <c r="F196" s="373" t="str">
        <f t="shared" si="29"/>
        <v>Group 2015</v>
      </c>
    </row>
    <row r="197" spans="1:6" s="233" customFormat="1">
      <c r="A197" s="365" t="s">
        <v>47</v>
      </c>
      <c r="B197" s="320">
        <f>H148</f>
        <v>41.2</v>
      </c>
      <c r="C197" s="320">
        <f>H151</f>
        <v>15.08</v>
      </c>
      <c r="D197" s="320">
        <f>H154</f>
        <v>7</v>
      </c>
      <c r="E197" s="320">
        <f>H157</f>
        <v>3.72</v>
      </c>
      <c r="F197" s="367">
        <f>SUM(B197:E197)</f>
        <v>67</v>
      </c>
    </row>
    <row r="198" spans="1:6" s="233" customFormat="1">
      <c r="A198" s="365" t="s">
        <v>48</v>
      </c>
      <c r="B198" s="320">
        <f>H149</f>
        <v>26.826865671641801</v>
      </c>
      <c r="C198" s="320">
        <f>H152</f>
        <v>8.4531343283582103</v>
      </c>
      <c r="D198" s="320">
        <f>H155</f>
        <v>4.5880597014925399</v>
      </c>
      <c r="E198" s="320">
        <f>H158</f>
        <v>2.1319402985074598</v>
      </c>
      <c r="F198" s="367">
        <f>SUM(B198:E198)</f>
        <v>42.000000000000014</v>
      </c>
    </row>
    <row r="199" spans="1:6" s="233" customFormat="1" ht="12" thickBot="1">
      <c r="A199" s="381" t="s">
        <v>520</v>
      </c>
      <c r="B199" s="379">
        <f>B198/B197</f>
        <v>0.65113751630198546</v>
      </c>
      <c r="C199" s="379">
        <f>C198/C197</f>
        <v>0.56055267429431099</v>
      </c>
      <c r="D199" s="379">
        <f>D198/D197</f>
        <v>0.65543710021321999</v>
      </c>
      <c r="E199" s="379">
        <f>E198/E197</f>
        <v>0.57310223078157518</v>
      </c>
      <c r="F199" s="380">
        <f>F198/F197</f>
        <v>0.6268656716417913</v>
      </c>
    </row>
    <row r="200" spans="1:6" s="233" customFormat="1">
      <c r="B200" s="325"/>
      <c r="C200" s="325"/>
      <c r="D200" s="325"/>
      <c r="E200" s="325"/>
      <c r="F200" s="325"/>
    </row>
    <row r="201" spans="1:6" s="233" customFormat="1">
      <c r="A201" s="233" t="s">
        <v>391</v>
      </c>
    </row>
    <row r="202" spans="1:6">
      <c r="A202" s="233" t="str">
        <f>CONCATENATE(A190, " (",A189,")")</f>
        <v>Sales (€m)</v>
      </c>
    </row>
    <row r="203" spans="1:6">
      <c r="A203" s="27" t="s">
        <v>49</v>
      </c>
    </row>
    <row r="206" spans="1:6" s="233" customFormat="1"/>
    <row r="207" spans="1:6" s="233" customFormat="1">
      <c r="A207" s="12" t="s">
        <v>95</v>
      </c>
      <c r="B207" s="150"/>
      <c r="C207" s="150"/>
      <c r="D207" s="150"/>
      <c r="E207" s="150"/>
    </row>
    <row r="208" spans="1:6" s="233" customFormat="1" ht="19.5" customHeight="1">
      <c r="A208" s="377" t="str">
        <f>CONCATENATE("Share of sales ",E146)</f>
        <v>Share of sales 2012</v>
      </c>
      <c r="B208" s="377"/>
      <c r="C208" s="377"/>
      <c r="D208" s="377"/>
      <c r="E208" s="377"/>
    </row>
    <row r="209" spans="1:13" s="233" customFormat="1" ht="22.5">
      <c r="A209" s="376"/>
      <c r="B209" s="372" t="str">
        <f>B189</f>
        <v>Segment A 2012</v>
      </c>
      <c r="C209" s="372" t="str">
        <f t="shared" ref="C209:E209" si="30">C189</f>
        <v>Segment B 2012</v>
      </c>
      <c r="D209" s="372" t="str">
        <f t="shared" si="30"/>
        <v>Segment C 2012</v>
      </c>
      <c r="E209" s="373" t="str">
        <f t="shared" si="30"/>
        <v>Segment D 2012</v>
      </c>
      <c r="F209" s="244"/>
      <c r="G209" s="244"/>
    </row>
    <row r="210" spans="1:13" s="233" customFormat="1">
      <c r="A210" s="365" t="s">
        <v>526</v>
      </c>
      <c r="B210" s="94">
        <f>E148/E160</f>
        <v>0.58214285714285718</v>
      </c>
      <c r="C210" s="94">
        <f>E151/E160</f>
        <v>0.21321428571428572</v>
      </c>
      <c r="D210" s="94">
        <f>E154/E160</f>
        <v>0.12678571428571428</v>
      </c>
      <c r="E210" s="95">
        <f>E157/E160</f>
        <v>7.7857142857142861E-2</v>
      </c>
      <c r="F210" s="244"/>
      <c r="G210" s="244"/>
    </row>
    <row r="211" spans="1:13" s="233" customFormat="1">
      <c r="A211" s="365" t="s">
        <v>48</v>
      </c>
      <c r="B211" s="308">
        <f>B191</f>
        <v>20.501785714285699</v>
      </c>
      <c r="C211" s="308">
        <f t="shared" ref="C211:E211" si="31">C191</f>
        <v>6.1426785714285703</v>
      </c>
      <c r="D211" s="308">
        <f t="shared" si="31"/>
        <v>4.4473214285714304</v>
      </c>
      <c r="E211" s="330">
        <f t="shared" si="31"/>
        <v>2.4082142857142901</v>
      </c>
      <c r="F211" s="244"/>
      <c r="G211" s="244"/>
    </row>
    <row r="212" spans="1:13" s="233" customFormat="1" ht="12" thickBot="1">
      <c r="A212" s="382" t="s">
        <v>49</v>
      </c>
      <c r="B212" s="327">
        <f>B192</f>
        <v>0.62888913234005206</v>
      </c>
      <c r="C212" s="327">
        <f t="shared" ref="C212:E212" si="32">C192</f>
        <v>0.51446219191194054</v>
      </c>
      <c r="D212" s="327">
        <f t="shared" si="32"/>
        <v>0.62638329979879304</v>
      </c>
      <c r="E212" s="326">
        <f t="shared" si="32"/>
        <v>0.55234272608125912</v>
      </c>
      <c r="F212" s="244"/>
      <c r="G212" s="244"/>
    </row>
    <row r="213" spans="1:13" s="233" customFormat="1">
      <c r="A213" s="150"/>
      <c r="B213" s="245"/>
      <c r="C213" s="245"/>
      <c r="D213" s="245"/>
      <c r="E213" s="245"/>
      <c r="F213" s="244"/>
      <c r="G213" s="244"/>
    </row>
    <row r="214" spans="1:13" s="233" customFormat="1" ht="19.5" customHeight="1">
      <c r="A214" s="377" t="str">
        <f>CONCATENATE("Share of sales ",H146)</f>
        <v>Share of sales 2015</v>
      </c>
      <c r="B214" s="378"/>
      <c r="C214" s="378"/>
      <c r="D214" s="378"/>
      <c r="E214" s="378"/>
      <c r="F214" s="244"/>
      <c r="G214" s="244"/>
    </row>
    <row r="215" spans="1:13" s="233" customFormat="1" ht="22.5">
      <c r="A215" s="376"/>
      <c r="B215" s="372" t="str">
        <f>B196</f>
        <v>Segment A 2015</v>
      </c>
      <c r="C215" s="372" t="str">
        <f t="shared" ref="C215:E215" si="33">C196</f>
        <v>Segment B 2015</v>
      </c>
      <c r="D215" s="372" t="str">
        <f t="shared" si="33"/>
        <v>Segment C 2015</v>
      </c>
      <c r="E215" s="373" t="str">
        <f t="shared" si="33"/>
        <v>Segment D 2015</v>
      </c>
      <c r="F215" s="244"/>
      <c r="G215" s="244"/>
    </row>
    <row r="216" spans="1:13" s="233" customFormat="1">
      <c r="A216" s="365" t="s">
        <v>526</v>
      </c>
      <c r="B216" s="94">
        <f>H148/H160</f>
        <v>0.61492537313432838</v>
      </c>
      <c r="C216" s="94">
        <f>H151/H160</f>
        <v>0.22507462686567165</v>
      </c>
      <c r="D216" s="94">
        <f>H154/H160</f>
        <v>0.1044776119402985</v>
      </c>
      <c r="E216" s="95">
        <f>H157/H160</f>
        <v>5.5522388059701493E-2</v>
      </c>
      <c r="F216" s="244"/>
      <c r="G216" s="244"/>
    </row>
    <row r="217" spans="1:13" s="233" customFormat="1">
      <c r="A217" s="365" t="s">
        <v>48</v>
      </c>
      <c r="B217" s="308">
        <f>B198</f>
        <v>26.826865671641801</v>
      </c>
      <c r="C217" s="329">
        <f t="shared" ref="C217:E217" si="34">C198</f>
        <v>8.4531343283582103</v>
      </c>
      <c r="D217" s="329">
        <f t="shared" si="34"/>
        <v>4.5880597014925399</v>
      </c>
      <c r="E217" s="328">
        <f t="shared" si="34"/>
        <v>2.1319402985074598</v>
      </c>
      <c r="F217" s="244"/>
      <c r="G217" s="244"/>
    </row>
    <row r="218" spans="1:13" s="233" customFormat="1" ht="12" thickBot="1">
      <c r="A218" s="382" t="s">
        <v>49</v>
      </c>
      <c r="B218" s="327">
        <f>B199</f>
        <v>0.65113751630198546</v>
      </c>
      <c r="C218" s="327">
        <f t="shared" ref="C218:E218" si="35">C199</f>
        <v>0.56055267429431099</v>
      </c>
      <c r="D218" s="327">
        <f t="shared" si="35"/>
        <v>0.65543710021321999</v>
      </c>
      <c r="E218" s="326">
        <f t="shared" si="35"/>
        <v>0.57310223078157518</v>
      </c>
      <c r="F218" s="244"/>
      <c r="G218" s="244"/>
    </row>
    <row r="219" spans="1:13" s="233" customFormat="1"/>
    <row r="220" spans="1:13" s="233" customFormat="1">
      <c r="A220" s="233" t="s">
        <v>391</v>
      </c>
    </row>
    <row r="221" spans="1:13" s="233" customFormat="1">
      <c r="A221" s="233" t="s">
        <v>527</v>
      </c>
    </row>
    <row r="222" spans="1:13" s="233" customFormat="1">
      <c r="A222" s="27" t="s">
        <v>49</v>
      </c>
    </row>
    <row r="223" spans="1:13" s="233" customFormat="1" ht="14.25">
      <c r="B223" s="244"/>
      <c r="C223" s="331"/>
      <c r="D223" s="244"/>
      <c r="E223" s="331"/>
      <c r="F223" s="244"/>
      <c r="G223" s="331"/>
      <c r="H223" s="244"/>
      <c r="I223" s="331"/>
      <c r="J223" s="244"/>
      <c r="K223" s="331"/>
      <c r="L223" s="244"/>
      <c r="M223" s="331"/>
    </row>
    <row r="224" spans="1:13" s="233" customFormat="1" ht="14.25">
      <c r="B224" s="244"/>
      <c r="C224" s="333"/>
      <c r="D224" s="244"/>
      <c r="E224" s="333"/>
      <c r="F224" s="244"/>
      <c r="G224" s="331"/>
      <c r="H224" s="244"/>
      <c r="I224" s="331"/>
      <c r="J224" s="244"/>
      <c r="K224" s="331"/>
      <c r="L224" s="244"/>
      <c r="M224" s="331"/>
    </row>
    <row r="225" spans="1:13" s="233" customFormat="1" ht="14.25">
      <c r="B225" s="244"/>
      <c r="C225" s="332"/>
      <c r="D225" s="244"/>
      <c r="E225" s="331"/>
      <c r="F225" s="244"/>
      <c r="G225" s="331"/>
      <c r="H225" s="244"/>
      <c r="I225" s="331"/>
      <c r="J225" s="244"/>
      <c r="K225" s="331"/>
      <c r="L225" s="244"/>
      <c r="M225" s="331"/>
    </row>
    <row r="226" spans="1:13" s="357" customFormat="1" ht="20.25" customHeight="1">
      <c r="A226" s="358" t="s">
        <v>128</v>
      </c>
    </row>
    <row r="227" spans="1:13" s="233" customFormat="1"/>
    <row r="228" spans="1:13" s="233" customFormat="1"/>
    <row r="229" spans="1:13" s="233" customFormat="1"/>
    <row r="230" spans="1:13" s="233" customFormat="1">
      <c r="A230" s="12" t="s">
        <v>95</v>
      </c>
      <c r="B230" s="150"/>
      <c r="C230" s="150"/>
      <c r="D230" s="150"/>
      <c r="E230" s="150"/>
    </row>
    <row r="231" spans="1:13" s="233" customFormat="1">
      <c r="A231" s="150" t="str">
        <f>CONCATENATE("Breakdown of sales ",Input!G68)</f>
        <v>Breakdown of sales 2012</v>
      </c>
      <c r="B231" s="150"/>
      <c r="C231" s="150"/>
      <c r="D231" s="150"/>
      <c r="E231" s="150"/>
    </row>
    <row r="232" spans="1:13" s="233" customFormat="1">
      <c r="A232" s="188" t="s">
        <v>532</v>
      </c>
      <c r="B232" s="188" t="s">
        <v>531</v>
      </c>
      <c r="C232" s="188" t="s">
        <v>530</v>
      </c>
      <c r="D232" s="188" t="s">
        <v>529</v>
      </c>
      <c r="E232" s="188" t="s">
        <v>528</v>
      </c>
    </row>
    <row r="233" spans="1:13" s="233" customFormat="1">
      <c r="A233" s="188">
        <v>50</v>
      </c>
      <c r="B233" s="188">
        <v>40</v>
      </c>
      <c r="C233" s="188">
        <v>30</v>
      </c>
      <c r="D233" s="188">
        <v>20</v>
      </c>
      <c r="E233" s="188">
        <v>10</v>
      </c>
    </row>
    <row r="234" spans="1:13" s="233" customFormat="1">
      <c r="A234" s="188">
        <v>30</v>
      </c>
      <c r="B234" s="188">
        <v>30</v>
      </c>
      <c r="C234" s="188">
        <v>60</v>
      </c>
      <c r="D234" s="188">
        <v>70</v>
      </c>
      <c r="E234" s="188">
        <v>90</v>
      </c>
    </row>
    <row r="235" spans="1:13" s="233" customFormat="1">
      <c r="A235" s="188">
        <v>15</v>
      </c>
      <c r="B235" s="188">
        <v>20</v>
      </c>
      <c r="C235" s="188">
        <v>10</v>
      </c>
      <c r="D235" s="188">
        <v>10</v>
      </c>
      <c r="E235" s="188"/>
    </row>
    <row r="236" spans="1:13" s="233" customFormat="1">
      <c r="A236" s="188">
        <v>5</v>
      </c>
      <c r="B236" s="188">
        <v>10</v>
      </c>
      <c r="C236" s="188"/>
      <c r="D236" s="188"/>
      <c r="E236" s="188"/>
    </row>
    <row r="237" spans="1:13" s="233" customFormat="1">
      <c r="A237" s="150"/>
      <c r="B237" s="150"/>
      <c r="C237" s="150"/>
      <c r="D237" s="150"/>
      <c r="E237" s="150"/>
    </row>
    <row r="238" spans="1:13" s="233" customFormat="1">
      <c r="A238" s="150"/>
      <c r="B238" s="150"/>
      <c r="C238" s="150"/>
      <c r="D238" s="150"/>
      <c r="E238" s="150"/>
    </row>
    <row r="239" spans="1:13" s="233" customFormat="1">
      <c r="A239" s="150"/>
      <c r="B239" s="150"/>
      <c r="C239" s="150"/>
      <c r="D239" s="150"/>
      <c r="E239" s="150"/>
    </row>
    <row r="240" spans="1:13" s="233" customFormat="1">
      <c r="A240" s="150" t="str">
        <f>CONCATENATE("Breakdown of sales ",Input!J68)</f>
        <v>Breakdown of sales 2015</v>
      </c>
      <c r="B240" s="150"/>
      <c r="C240" s="150"/>
      <c r="D240" s="150"/>
      <c r="E240" s="150"/>
    </row>
    <row r="241" spans="1:5" s="233" customFormat="1">
      <c r="A241" s="188" t="s">
        <v>532</v>
      </c>
      <c r="B241" s="188" t="s">
        <v>531</v>
      </c>
      <c r="C241" s="188" t="s">
        <v>530</v>
      </c>
      <c r="D241" s="188" t="s">
        <v>529</v>
      </c>
      <c r="E241" s="188" t="s">
        <v>528</v>
      </c>
    </row>
    <row r="242" spans="1:5" s="233" customFormat="1">
      <c r="A242" s="188">
        <v>70</v>
      </c>
      <c r="B242" s="188">
        <v>20</v>
      </c>
      <c r="C242" s="188">
        <v>15</v>
      </c>
      <c r="D242" s="188">
        <v>60</v>
      </c>
      <c r="E242" s="188">
        <v>15</v>
      </c>
    </row>
    <row r="243" spans="1:5" s="233" customFormat="1">
      <c r="A243" s="188">
        <v>10</v>
      </c>
      <c r="B243" s="188">
        <v>60</v>
      </c>
      <c r="C243" s="188">
        <v>80</v>
      </c>
      <c r="D243" s="188">
        <v>30</v>
      </c>
      <c r="E243" s="188">
        <v>85</v>
      </c>
    </row>
    <row r="244" spans="1:5" s="233" customFormat="1">
      <c r="A244" s="188">
        <v>15</v>
      </c>
      <c r="B244" s="188">
        <v>15</v>
      </c>
      <c r="C244" s="188">
        <v>5</v>
      </c>
      <c r="D244" s="188">
        <v>10</v>
      </c>
      <c r="E244" s="188"/>
    </row>
    <row r="245" spans="1:5" s="233" customFormat="1">
      <c r="A245" s="188">
        <v>5</v>
      </c>
      <c r="B245" s="188">
        <v>5</v>
      </c>
      <c r="C245" s="188"/>
      <c r="D245" s="188"/>
      <c r="E245" s="188"/>
    </row>
    <row r="246" spans="1:5" s="233" customFormat="1"/>
    <row r="247" spans="1:5" s="233" customFormat="1"/>
    <row r="248" spans="1:5" s="233" customFormat="1"/>
    <row r="249" spans="1:5" s="233" customFormat="1"/>
    <row r="250" spans="1:5" s="233" customFormat="1"/>
    <row r="251" spans="1:5" s="233" customFormat="1"/>
    <row r="262" spans="1:5" s="357" customFormat="1" ht="20.25" customHeight="1">
      <c r="A262" s="358" t="s">
        <v>129</v>
      </c>
    </row>
    <row r="264" spans="1:5" s="233" customFormat="1"/>
    <row r="265" spans="1:5" s="233" customFormat="1">
      <c r="A265" s="233" t="str">
        <f>Input!E4</f>
        <v>€m</v>
      </c>
      <c r="B265" s="229" t="s">
        <v>93</v>
      </c>
      <c r="C265" s="229"/>
    </row>
    <row r="266" spans="1:5" s="233" customFormat="1">
      <c r="A266" s="229" t="str">
        <f>CONCATENATE("Sales ",Input!G68)</f>
        <v>Sales 2012</v>
      </c>
      <c r="B266" s="335">
        <f>Input!H70</f>
        <v>59</v>
      </c>
      <c r="C266" s="335">
        <f>B266</f>
        <v>59</v>
      </c>
      <c r="D266" s="335"/>
      <c r="E266" s="334"/>
    </row>
    <row r="267" spans="1:5" s="233" customFormat="1" ht="22.5">
      <c r="A267" s="317" t="s">
        <v>539</v>
      </c>
      <c r="B267" s="337">
        <v>3</v>
      </c>
      <c r="C267" s="335" t="str">
        <f>IF(B267&lt;&gt;"","",SUM($B267:$B$268))</f>
        <v/>
      </c>
      <c r="D267" s="335">
        <f>IF(PRODUCT(SUM($B266:$B$267),SUM($B266:$B$266))&gt;=0,IF(PRODUCT(SUM($B266:$B$266),$B267)&gt;=0,SUM($B266:$B$266),SUM($B266:$B$266)+$B267),0)</f>
        <v>59</v>
      </c>
      <c r="E267" s="334">
        <f>IF(PRODUCT(SUM($B267:$B$268),SUM($B266:$B$268))&gt;=0,(IF(PRODUCT(SUM($B266:$B$268),$B267)&gt;=0,$B267,-$B267)),(SUM($B266:$B$268)))</f>
        <v>3</v>
      </c>
    </row>
    <row r="268" spans="1:5" s="233" customFormat="1">
      <c r="A268" s="248" t="s">
        <v>538</v>
      </c>
      <c r="B268" s="337">
        <v>3</v>
      </c>
      <c r="C268" s="335" t="str">
        <f>IF(B268&lt;&gt;"","",SUM($B$268:$B268))</f>
        <v/>
      </c>
      <c r="D268" s="335">
        <f>IF(PRODUCT(SUM($B267:$B$267),SUM($B$266:$B267))&gt;=0,IF(PRODUCT(SUM($B$266:$B267),$B268)&gt;=0,SUM($B$266:$B267),SUM($B$266:$B267)+$B268),0)</f>
        <v>62</v>
      </c>
      <c r="E268" s="334">
        <f>IF(PRODUCT(SUM($B$268:$B268),SUM($B267:$B$268))&gt;=0,(IF(PRODUCT(SUM($B267:$B$268),$B268)&gt;=0,$B268,-$B268)),(SUM($B267:$B$268)))</f>
        <v>3</v>
      </c>
    </row>
    <row r="269" spans="1:5" s="233" customFormat="1">
      <c r="A269" s="248" t="s">
        <v>537</v>
      </c>
      <c r="B269" s="337">
        <v>2</v>
      </c>
      <c r="C269" s="335" t="str">
        <f>IF(B269&lt;&gt;"","",SUM($B$268:$B269))</f>
        <v/>
      </c>
      <c r="D269" s="335">
        <f>IF(PRODUCT(SUM($B$267:$B268),SUM($B$266:$B268))&gt;=0,IF(PRODUCT(SUM($B$266:$B268),$B269)&gt;=0,SUM($B$266:$B268),SUM($B$266:$B268)+$B269),0)</f>
        <v>65</v>
      </c>
      <c r="E269" s="334">
        <f>IF(PRODUCT(SUM($B$268:$B269),SUM($B$268:$B268))&gt;=0,(IF(PRODUCT(SUM($B$268:$B268),$B269)&gt;=0,$B269,-$B269)),(SUM($B$268:$B268)))</f>
        <v>2</v>
      </c>
    </row>
    <row r="270" spans="1:5" s="233" customFormat="1">
      <c r="A270" s="229" t="str">
        <f>CONCATENATE("Sales ",Input!J68)</f>
        <v>Sales 2015</v>
      </c>
      <c r="B270" s="336">
        <f>Input!J70</f>
        <v>67</v>
      </c>
      <c r="C270" s="335">
        <f>B270</f>
        <v>67</v>
      </c>
      <c r="D270" s="335"/>
      <c r="E270" s="334"/>
    </row>
    <row r="271" spans="1:5" s="233" customFormat="1">
      <c r="A271" s="310" t="s">
        <v>118</v>
      </c>
      <c r="B271" s="311">
        <f>B270-SUM(B266:B269)</f>
        <v>0</v>
      </c>
    </row>
    <row r="272" spans="1:5" s="233" customFormat="1"/>
    <row r="273" spans="1:5" s="233" customFormat="1">
      <c r="A273" s="233" t="s">
        <v>391</v>
      </c>
    </row>
    <row r="274" spans="1:5" s="233" customFormat="1">
      <c r="A274" s="233" t="str">
        <f>CONCATENATE("Sales (",A265,")")</f>
        <v>Sales (€m)</v>
      </c>
    </row>
    <row r="275" spans="1:5" s="233" customFormat="1"/>
    <row r="276" spans="1:5" s="233" customFormat="1"/>
    <row r="277" spans="1:5" s="233" customFormat="1"/>
    <row r="278" spans="1:5" s="233" customFormat="1"/>
    <row r="279" spans="1:5" s="233" customFormat="1"/>
    <row r="280" spans="1:5" s="233" customFormat="1"/>
    <row r="281" spans="1:5" s="233" customFormat="1"/>
    <row r="282" spans="1:5" s="357" customFormat="1" ht="20.25" customHeight="1">
      <c r="A282" s="358" t="s">
        <v>188</v>
      </c>
    </row>
    <row r="283" spans="1:5" s="233" customFormat="1"/>
    <row r="284" spans="1:5" s="233" customFormat="1">
      <c r="A284" s="233" t="str">
        <f>Input!E4</f>
        <v>€m</v>
      </c>
      <c r="B284" s="229" t="s">
        <v>93</v>
      </c>
      <c r="C284" s="229"/>
    </row>
    <row r="285" spans="1:5" s="233" customFormat="1">
      <c r="A285" s="229" t="str">
        <f>CONCATENATE("Gross profit ",Input!G68)</f>
        <v>Gross profit 2012</v>
      </c>
      <c r="B285" s="335">
        <v>33.5</v>
      </c>
      <c r="C285" s="335">
        <f>B285</f>
        <v>33.5</v>
      </c>
      <c r="D285" s="335"/>
      <c r="E285" s="334"/>
    </row>
    <row r="286" spans="1:5" s="233" customFormat="1" ht="22.5">
      <c r="A286" s="317" t="s">
        <v>545</v>
      </c>
      <c r="B286" s="337">
        <v>2</v>
      </c>
      <c r="C286" s="335" t="str">
        <f>IF(B286&lt;&gt;"","",SUM($B286:$B$287))</f>
        <v/>
      </c>
      <c r="D286" s="335">
        <f>IF(PRODUCT(SUM($B285:$B$286),SUM($B285:$B$285))&gt;=0,IF(PRODUCT(SUM($B285:$B$285),$B286)&gt;=0,SUM($B285:$B$285),SUM($B285:$B$285)+$B286),0)</f>
        <v>33.5</v>
      </c>
      <c r="E286" s="334">
        <f>IF(PRODUCT(SUM($B286:$B$287),SUM($B285:$B$287))&gt;=0,(IF(PRODUCT(SUM($B285:$B$287),$B286)&gt;=0,$B286,-$B286)),(SUM($B285:$B$287)))</f>
        <v>2</v>
      </c>
    </row>
    <row r="287" spans="1:5" s="233" customFormat="1">
      <c r="A287" s="248" t="s">
        <v>538</v>
      </c>
      <c r="B287" s="337">
        <v>6.5</v>
      </c>
      <c r="C287" s="335" t="str">
        <f>IF(B287&lt;&gt;"","",SUM($B$287:$B287))</f>
        <v/>
      </c>
      <c r="D287" s="335">
        <f>IF(PRODUCT(SUM($B286:$B$286),SUM($B$285:$B286))&gt;=0,IF(PRODUCT(SUM($B$285:$B286),$B287)&gt;=0,SUM($B$285:$B286),SUM($B$285:$B286)+$B287),0)</f>
        <v>35.5</v>
      </c>
      <c r="E287" s="334">
        <f>IF(PRODUCT(SUM($B$287:$B287),SUM($B286:$B$287))&gt;=0,(IF(PRODUCT(SUM($B286:$B$287),$B287)&gt;=0,$B287,-$B287)),(SUM($B286:$B$287)))</f>
        <v>6.5</v>
      </c>
    </row>
    <row r="288" spans="1:5" s="233" customFormat="1">
      <c r="A288" s="248" t="s">
        <v>537</v>
      </c>
      <c r="B288" s="337">
        <v>1</v>
      </c>
      <c r="C288" s="335" t="str">
        <f>IF(B288&lt;&gt;"","",SUM($B$287:$B288))</f>
        <v/>
      </c>
      <c r="D288" s="335">
        <f>IF(PRODUCT(SUM($B$286:$B287),SUM($B$285:$B287))&gt;=0,IF(PRODUCT(SUM($B$285:$B287),$B288)&gt;=0,SUM($B$285:$B287),SUM($B$285:$B287)+$B288),0)</f>
        <v>42</v>
      </c>
      <c r="E288" s="334">
        <f>IF(PRODUCT(SUM($B$287:$B288),SUM($B$287:$B287))&gt;=0,(IF(PRODUCT(SUM($B$287:$B287),$B288)&gt;=0,$B288,-$B288)),(SUM($B$287:$B287)))</f>
        <v>1</v>
      </c>
    </row>
    <row r="289" spans="1:8" s="233" customFormat="1">
      <c r="A289" s="248" t="s">
        <v>544</v>
      </c>
      <c r="B289" s="337">
        <v>-1</v>
      </c>
      <c r="C289" s="335"/>
      <c r="D289" s="335">
        <f>IF(PRODUCT(SUM($B$286:$B288),SUM($B$285:$B288))&gt;=0,IF(PRODUCT(SUM($B$285:$B288),$B289)&gt;=0,SUM($B$285:$B288),SUM($B$285:$B288)+$B289),0)</f>
        <v>42</v>
      </c>
      <c r="E289" s="334">
        <f>IF(PRODUCT(SUM($B$287:$B289),SUM($B$287:$B288))&gt;=0,(IF(PRODUCT(SUM($B$287:$B288),$B289)&gt;=0,$B289,-$B289)),(SUM($B$287:$B288)))</f>
        <v>1</v>
      </c>
    </row>
    <row r="290" spans="1:8" s="233" customFormat="1">
      <c r="A290" s="229" t="str">
        <f>CONCATENATE("Gross profit ",Input!J68)</f>
        <v>Gross profit 2015</v>
      </c>
      <c r="B290" s="336">
        <v>42</v>
      </c>
      <c r="C290" s="335">
        <f>B290</f>
        <v>42</v>
      </c>
      <c r="D290" s="335"/>
      <c r="E290" s="334"/>
    </row>
    <row r="291" spans="1:8" s="233" customFormat="1">
      <c r="A291" s="310" t="s">
        <v>118</v>
      </c>
      <c r="B291" s="311">
        <f>B290-SUM(B285:B289)</f>
        <v>0</v>
      </c>
    </row>
    <row r="292" spans="1:8" s="233" customFormat="1"/>
    <row r="293" spans="1:8" s="233" customFormat="1">
      <c r="A293" s="233" t="s">
        <v>391</v>
      </c>
    </row>
    <row r="294" spans="1:8" s="233" customFormat="1">
      <c r="A294" s="233" t="str">
        <f>CONCATENATE("Gross profit (",A284,")")</f>
        <v>Gross profit (€m)</v>
      </c>
    </row>
    <row r="295" spans="1:8" s="233" customFormat="1">
      <c r="G295" s="229"/>
      <c r="H295" s="229"/>
    </row>
    <row r="296" spans="1:8" s="233" customFormat="1"/>
    <row r="297" spans="1:8" s="357" customFormat="1" ht="20.25" customHeight="1">
      <c r="A297" s="358" t="s">
        <v>192</v>
      </c>
    </row>
    <row r="298" spans="1:8" s="233" customFormat="1"/>
    <row r="299" spans="1:8" s="233" customFormat="1">
      <c r="A299" s="229" t="s">
        <v>95</v>
      </c>
      <c r="B299" s="248"/>
      <c r="C299" s="244"/>
      <c r="D299" s="244"/>
      <c r="E299" s="244"/>
    </row>
    <row r="300" spans="1:8" s="233" customFormat="1" ht="22.5">
      <c r="A300" s="150" t="str">
        <f>Input!E4</f>
        <v>€m</v>
      </c>
      <c r="B300" s="102" t="str">
        <f>CONCATENATE("Order backlog ",Input!G68)</f>
        <v>Order backlog 2012</v>
      </c>
      <c r="C300" s="322">
        <f>Input!H68</f>
        <v>2013</v>
      </c>
      <c r="D300" s="322">
        <f>Input!I68</f>
        <v>2014</v>
      </c>
      <c r="E300" s="322">
        <f>Input!J68</f>
        <v>2015</v>
      </c>
    </row>
    <row r="301" spans="1:8" s="233" customFormat="1">
      <c r="A301" s="150" t="s">
        <v>547</v>
      </c>
      <c r="B301" s="150"/>
      <c r="C301" s="188">
        <v>45</v>
      </c>
      <c r="D301" s="188">
        <v>25</v>
      </c>
      <c r="E301" s="188">
        <v>10</v>
      </c>
    </row>
    <row r="302" spans="1:8" s="233" customFormat="1">
      <c r="A302" s="150" t="s">
        <v>546</v>
      </c>
      <c r="B302" s="244"/>
      <c r="C302" s="150">
        <f>C303-C301</f>
        <v>14</v>
      </c>
      <c r="D302" s="150">
        <f>D303-D301</f>
        <v>36</v>
      </c>
      <c r="E302" s="150">
        <f>E303-E301</f>
        <v>57</v>
      </c>
    </row>
    <row r="303" spans="1:8" s="233" customFormat="1">
      <c r="A303" s="150" t="s">
        <v>74</v>
      </c>
      <c r="B303" s="150">
        <f>SUM(C301:E301)</f>
        <v>80</v>
      </c>
      <c r="C303" s="150">
        <f>Input!H70</f>
        <v>59</v>
      </c>
      <c r="D303" s="150">
        <f>Input!I70</f>
        <v>61</v>
      </c>
      <c r="E303" s="150">
        <f>Input!J70</f>
        <v>67</v>
      </c>
    </row>
    <row r="304" spans="1:8" s="233" customFormat="1"/>
    <row r="305" spans="1:7" s="233" customFormat="1">
      <c r="A305" s="233" t="s">
        <v>391</v>
      </c>
    </row>
    <row r="306" spans="1:7" s="233" customFormat="1">
      <c r="A306" s="233" t="str">
        <f>CONCATENATE("Sales (",A300,")")</f>
        <v>Sales (€m)</v>
      </c>
    </row>
    <row r="307" spans="1:7" s="233" customFormat="1"/>
    <row r="308" spans="1:7" s="233" customFormat="1"/>
    <row r="309" spans="1:7" s="233" customFormat="1"/>
    <row r="310" spans="1:7" s="233" customFormat="1"/>
    <row r="311" spans="1:7" s="233" customFormat="1"/>
    <row r="312" spans="1:7" s="233" customFormat="1"/>
    <row r="314" spans="1:7" s="357" customFormat="1" ht="20.25" customHeight="1">
      <c r="A314" s="358" t="s">
        <v>286</v>
      </c>
    </row>
    <row r="316" spans="1:7" s="233" customFormat="1"/>
    <row r="317" spans="1:7" s="233" customFormat="1">
      <c r="A317" s="12" t="s">
        <v>95</v>
      </c>
      <c r="B317" s="150"/>
      <c r="C317" s="150"/>
      <c r="D317" s="150"/>
      <c r="E317" s="150"/>
      <c r="F317" s="150"/>
      <c r="G317" s="150"/>
    </row>
    <row r="318" spans="1:7" s="233" customFormat="1">
      <c r="A318" s="12"/>
      <c r="B318" s="322">
        <f>Input!E68</f>
        <v>2010</v>
      </c>
      <c r="C318" s="322">
        <f>Input!F68</f>
        <v>2011</v>
      </c>
      <c r="D318" s="322">
        <f>Input!G68</f>
        <v>2012</v>
      </c>
      <c r="E318" s="322">
        <f>Input!H68</f>
        <v>2013</v>
      </c>
      <c r="F318" s="322">
        <f>Input!I68</f>
        <v>2014</v>
      </c>
      <c r="G318" s="322">
        <f>Input!J68</f>
        <v>2015</v>
      </c>
    </row>
    <row r="319" spans="1:7" s="233" customFormat="1">
      <c r="A319" s="188" t="s">
        <v>372</v>
      </c>
      <c r="B319" s="322" t="str">
        <f>Input!E69</f>
        <v>Actual</v>
      </c>
      <c r="C319" s="323" t="str">
        <f>Input!F69</f>
        <v>Actual</v>
      </c>
      <c r="D319" s="322" t="str">
        <f>Input!G69</f>
        <v>Actual</v>
      </c>
      <c r="E319" s="322" t="str">
        <f>Input!H69</f>
        <v>Plan</v>
      </c>
      <c r="F319" s="323" t="str">
        <f>Input!I69</f>
        <v>Plan</v>
      </c>
      <c r="G319" s="322" t="str">
        <f>Input!J69</f>
        <v>Plan</v>
      </c>
    </row>
    <row r="320" spans="1:7" s="233" customFormat="1">
      <c r="A320" s="150" t="s">
        <v>548</v>
      </c>
      <c r="B320" s="188">
        <v>10</v>
      </c>
      <c r="C320" s="188">
        <v>11.5</v>
      </c>
      <c r="D320" s="188">
        <v>12.5</v>
      </c>
      <c r="E320" s="188">
        <v>14</v>
      </c>
      <c r="F320" s="188">
        <v>15.5</v>
      </c>
      <c r="G320" s="188">
        <v>17</v>
      </c>
    </row>
    <row r="321" spans="1:7" s="233" customFormat="1">
      <c r="A321" s="150" t="s">
        <v>356</v>
      </c>
      <c r="B321" s="188">
        <v>20</v>
      </c>
      <c r="C321" s="188">
        <f>B321</f>
        <v>20</v>
      </c>
      <c r="D321" s="188">
        <f>C321</f>
        <v>20</v>
      </c>
      <c r="E321" s="188">
        <f>D321</f>
        <v>20</v>
      </c>
      <c r="F321" s="188">
        <f>E321</f>
        <v>20</v>
      </c>
      <c r="G321" s="188">
        <f>F321</f>
        <v>20</v>
      </c>
    </row>
    <row r="322" spans="1:7" s="233" customFormat="1">
      <c r="A322" s="150" t="s">
        <v>357</v>
      </c>
      <c r="B322" s="245">
        <f t="shared" ref="B322:G322" si="36">B320/B321</f>
        <v>0.5</v>
      </c>
      <c r="C322" s="245">
        <f t="shared" si="36"/>
        <v>0.57499999999999996</v>
      </c>
      <c r="D322" s="245">
        <f t="shared" si="36"/>
        <v>0.625</v>
      </c>
      <c r="E322" s="245">
        <f t="shared" si="36"/>
        <v>0.7</v>
      </c>
      <c r="F322" s="245">
        <f t="shared" si="36"/>
        <v>0.77500000000000002</v>
      </c>
      <c r="G322" s="245">
        <f t="shared" si="36"/>
        <v>0.85</v>
      </c>
    </row>
    <row r="323" spans="1:7" s="233" customFormat="1"/>
    <row r="324" spans="1:7" s="233" customFormat="1"/>
    <row r="325" spans="1:7" s="233" customFormat="1"/>
    <row r="326" spans="1:7" s="233" customFormat="1"/>
    <row r="327" spans="1:7" s="233" customFormat="1"/>
    <row r="328" spans="1:7" s="233" customFormat="1"/>
    <row r="329" spans="1:7" s="233" customFormat="1"/>
    <row r="330" spans="1:7" s="233" customFormat="1"/>
    <row r="331" spans="1:7" s="233" customFormat="1"/>
    <row r="335" spans="1:7" s="357" customFormat="1" ht="20.25" customHeight="1">
      <c r="A335" s="358" t="s">
        <v>287</v>
      </c>
    </row>
    <row r="338" spans="1:7" s="233" customFormat="1"/>
    <row r="339" spans="1:7" s="233" customFormat="1">
      <c r="A339" s="150"/>
      <c r="B339" s="150">
        <f>Input!E68</f>
        <v>2010</v>
      </c>
      <c r="C339" s="150">
        <f>Input!F68</f>
        <v>2011</v>
      </c>
      <c r="D339" s="150">
        <f>Input!G68</f>
        <v>2012</v>
      </c>
      <c r="E339" s="150">
        <f>Input!H68</f>
        <v>2013</v>
      </c>
      <c r="F339" s="150">
        <f>Input!I68</f>
        <v>2014</v>
      </c>
      <c r="G339" s="150">
        <f>Input!J68</f>
        <v>2015</v>
      </c>
    </row>
    <row r="340" spans="1:7" s="233" customFormat="1">
      <c r="A340" s="150"/>
      <c r="B340" s="322" t="str">
        <f>Input!E69</f>
        <v>Actual</v>
      </c>
      <c r="C340" s="323" t="str">
        <f>Input!F69</f>
        <v>Actual</v>
      </c>
      <c r="D340" s="322" t="str">
        <f>Input!G69</f>
        <v>Actual</v>
      </c>
      <c r="E340" s="322" t="str">
        <f>Input!H69</f>
        <v>Plan</v>
      </c>
      <c r="F340" s="323" t="str">
        <f>Input!I69</f>
        <v>Plan</v>
      </c>
      <c r="G340" s="322" t="str">
        <f>Input!J69</f>
        <v>Plan</v>
      </c>
    </row>
    <row r="341" spans="1:7" s="233" customFormat="1">
      <c r="A341" s="188" t="s">
        <v>559</v>
      </c>
      <c r="B341" s="191">
        <f>[1]Input!B5*1000</f>
        <v>20000</v>
      </c>
      <c r="C341" s="191">
        <f>[1]Input!C5*1000</f>
        <v>22000</v>
      </c>
      <c r="D341" s="191">
        <f>[1]Input!D5*1000</f>
        <v>22500</v>
      </c>
      <c r="E341" s="191">
        <f>[1]Input!E5*1000</f>
        <v>23000</v>
      </c>
      <c r="F341" s="191">
        <f>[1]Input!F5*1000</f>
        <v>23000</v>
      </c>
      <c r="G341" s="191">
        <f>[1]Input!G5*1000</f>
        <v>25000</v>
      </c>
    </row>
    <row r="342" spans="1:7" s="233" customFormat="1">
      <c r="A342" s="150" t="s">
        <v>558</v>
      </c>
      <c r="B342" s="151">
        <v>10000</v>
      </c>
      <c r="C342" s="151">
        <v>12000</v>
      </c>
      <c r="D342" s="151">
        <v>13000</v>
      </c>
      <c r="E342" s="151">
        <v>14000</v>
      </c>
      <c r="F342" s="151">
        <v>14500</v>
      </c>
      <c r="G342" s="151">
        <v>16000</v>
      </c>
    </row>
    <row r="343" spans="1:7" s="233" customFormat="1">
      <c r="A343" s="188" t="s">
        <v>557</v>
      </c>
      <c r="B343" s="191">
        <f t="shared" ref="B343:G343" si="37">(B341/B342)*1000</f>
        <v>2000</v>
      </c>
      <c r="C343" s="191">
        <f t="shared" si="37"/>
        <v>1833.3333333333333</v>
      </c>
      <c r="D343" s="191">
        <f t="shared" si="37"/>
        <v>1730.7692307692309</v>
      </c>
      <c r="E343" s="191">
        <f t="shared" si="37"/>
        <v>1642.8571428571429</v>
      </c>
      <c r="F343" s="191">
        <f t="shared" si="37"/>
        <v>1586.2068965517242</v>
      </c>
      <c r="G343" s="191">
        <f t="shared" si="37"/>
        <v>1562.5</v>
      </c>
    </row>
    <row r="344" spans="1:7" s="233" customFormat="1"/>
    <row r="345" spans="1:7" s="233" customFormat="1">
      <c r="A345" s="233" t="s">
        <v>391</v>
      </c>
    </row>
    <row r="346" spans="1:7" s="233" customFormat="1">
      <c r="A346" s="233" t="str">
        <f>CONCATENATE(A342, "
&amp; ",A341)</f>
        <v>Production volume (Piece)
&amp; Production costs (€'000)</v>
      </c>
    </row>
    <row r="347" spans="1:7" s="233" customFormat="1"/>
    <row r="348" spans="1:7" s="233" customFormat="1"/>
    <row r="349" spans="1:7" s="233" customFormat="1"/>
    <row r="350" spans="1:7" s="233" customFormat="1"/>
    <row r="351" spans="1:7" s="233" customFormat="1"/>
    <row r="352" spans="1:7" s="233" customFormat="1"/>
    <row r="353" spans="1:5" s="233" customFormat="1"/>
    <row r="354" spans="1:5" s="233" customFormat="1"/>
    <row r="355" spans="1:5" s="233" customFormat="1"/>
    <row r="356" spans="1:5" s="233" customFormat="1"/>
    <row r="357" spans="1:5" s="233" customFormat="1"/>
    <row r="358" spans="1:5" s="233" customFormat="1"/>
    <row r="359" spans="1:5" s="233" customFormat="1"/>
    <row r="360" spans="1:5" s="233" customFormat="1"/>
    <row r="361" spans="1:5" s="233" customFormat="1"/>
    <row r="362" spans="1:5" s="357" customFormat="1" ht="20.25" customHeight="1">
      <c r="A362" s="358" t="s">
        <v>340</v>
      </c>
    </row>
    <row r="364" spans="1:5">
      <c r="A364" s="12" t="s">
        <v>95</v>
      </c>
      <c r="B364" s="150"/>
      <c r="C364" s="150"/>
      <c r="D364" s="150"/>
      <c r="E364" s="150"/>
    </row>
    <row r="365" spans="1:5">
      <c r="A365" s="27" t="s">
        <v>579</v>
      </c>
    </row>
    <row r="366" spans="1:5">
      <c r="B366" s="54">
        <f>Input!G68</f>
        <v>2012</v>
      </c>
      <c r="C366" s="54">
        <f>Input!H68</f>
        <v>2013</v>
      </c>
      <c r="D366" s="54">
        <f>Input!I68</f>
        <v>2014</v>
      </c>
      <c r="E366" s="54">
        <f>Input!J68</f>
        <v>2015</v>
      </c>
    </row>
    <row r="367" spans="1:5">
      <c r="A367" s="27" t="str">
        <f>Input!E4</f>
        <v>€m</v>
      </c>
      <c r="B367" s="54" t="str">
        <f>Input!G69</f>
        <v>Actual</v>
      </c>
      <c r="C367" s="54" t="str">
        <f>Input!H69</f>
        <v>Plan</v>
      </c>
      <c r="D367" s="54" t="str">
        <f>Input!I69</f>
        <v>Plan</v>
      </c>
      <c r="E367" s="54" t="str">
        <f>Input!J69</f>
        <v>Plan</v>
      </c>
    </row>
    <row r="368" spans="1:5">
      <c r="A368" s="27" t="s">
        <v>546</v>
      </c>
      <c r="C368" s="92">
        <v>15</v>
      </c>
      <c r="D368" s="92">
        <v>30</v>
      </c>
      <c r="E368" s="92">
        <v>60</v>
      </c>
    </row>
    <row r="369" spans="1:5">
      <c r="A369" s="27" t="s">
        <v>578</v>
      </c>
      <c r="B369" s="92">
        <v>16</v>
      </c>
      <c r="C369" s="92">
        <v>14</v>
      </c>
      <c r="D369" s="92">
        <v>12</v>
      </c>
      <c r="E369" s="92">
        <v>9.5</v>
      </c>
    </row>
    <row r="370" spans="1:5">
      <c r="A370" s="27" t="s">
        <v>577</v>
      </c>
      <c r="B370" s="92">
        <v>62</v>
      </c>
      <c r="C370" s="92">
        <v>55</v>
      </c>
      <c r="D370" s="92">
        <v>48</v>
      </c>
      <c r="E370" s="92">
        <v>25.5</v>
      </c>
    </row>
    <row r="371" spans="1:5">
      <c r="A371" s="27" t="s">
        <v>576</v>
      </c>
      <c r="B371" s="92">
        <f>SUM(B369:B370)</f>
        <v>78</v>
      </c>
      <c r="C371" s="92">
        <v>84</v>
      </c>
      <c r="D371" s="92">
        <v>90</v>
      </c>
      <c r="E371" s="92">
        <v>95</v>
      </c>
    </row>
    <row r="372" spans="1:5">
      <c r="A372" s="150"/>
      <c r="B372" s="150"/>
      <c r="C372" s="150"/>
      <c r="D372" s="150"/>
      <c r="E372" s="150"/>
    </row>
    <row r="373" spans="1:5">
      <c r="A373" s="27" t="s">
        <v>391</v>
      </c>
    </row>
    <row r="374" spans="1:5">
      <c r="A374" s="27" t="str">
        <f>CONCATENATE("Sales (",A367,")")</f>
        <v>Sales (€m)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/>
  <dimension ref="A1:G66"/>
  <sheetViews>
    <sheetView zoomScale="115" zoomScaleNormal="115" workbookViewId="0">
      <selection activeCell="J64" sqref="J64"/>
    </sheetView>
  </sheetViews>
  <sheetFormatPr defaultColWidth="11.5" defaultRowHeight="11.25"/>
  <cols>
    <col min="1" max="1" width="19.83203125" style="27" customWidth="1"/>
    <col min="2" max="7" width="6.6640625" style="27" customWidth="1"/>
    <col min="8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482</v>
      </c>
    </row>
    <row r="2" spans="1:7" ht="20.25" customHeight="1">
      <c r="A2" s="48" t="s">
        <v>561</v>
      </c>
    </row>
    <row r="3" spans="1:7" ht="20.25" customHeight="1">
      <c r="A3" s="48"/>
    </row>
    <row r="4" spans="1:7" ht="20.25" customHeight="1">
      <c r="A4" s="48"/>
    </row>
    <row r="5" spans="1:7" ht="20.25" customHeight="1">
      <c r="A5" s="48"/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4" spans="1:7">
      <c r="A14" s="9" t="s">
        <v>122</v>
      </c>
    </row>
    <row r="16" spans="1:7">
      <c r="B16" s="54">
        <f>Input!E68</f>
        <v>2010</v>
      </c>
      <c r="C16" s="54">
        <f>Input!F68</f>
        <v>2011</v>
      </c>
      <c r="D16" s="54">
        <f>Input!G68</f>
        <v>2012</v>
      </c>
      <c r="E16" s="54">
        <f>Input!H68</f>
        <v>2013</v>
      </c>
      <c r="F16" s="54">
        <f>Input!I68</f>
        <v>2014</v>
      </c>
      <c r="G16" s="54">
        <f>Input!J68</f>
        <v>2015</v>
      </c>
    </row>
    <row r="17" spans="1:7">
      <c r="A17" s="27" t="str">
        <f>Input!E4</f>
        <v>€m</v>
      </c>
      <c r="B17" s="54" t="str">
        <f>Input!E69</f>
        <v>Actual</v>
      </c>
      <c r="C17" s="54" t="str">
        <f>Input!F69</f>
        <v>Actual</v>
      </c>
      <c r="D17" s="54" t="str">
        <f>Input!G69</f>
        <v>Actual</v>
      </c>
      <c r="E17" s="54" t="str">
        <f>Input!H69</f>
        <v>Plan</v>
      </c>
      <c r="F17" s="54" t="str">
        <f>Input!I69</f>
        <v>Plan</v>
      </c>
      <c r="G17" s="54" t="str">
        <f>Input!J69</f>
        <v>Plan</v>
      </c>
    </row>
    <row r="18" spans="1:7">
      <c r="A18" s="27" t="s">
        <v>535</v>
      </c>
      <c r="B18" s="27">
        <f>B22-B21-B20-B19</f>
        <v>41</v>
      </c>
      <c r="C18" s="27">
        <f>B22</f>
        <v>50</v>
      </c>
      <c r="D18" s="27">
        <f t="shared" ref="D18:G18" si="0">C22</f>
        <v>54</v>
      </c>
      <c r="E18" s="27">
        <f t="shared" si="0"/>
        <v>56</v>
      </c>
      <c r="F18" s="27">
        <f t="shared" si="0"/>
        <v>59</v>
      </c>
      <c r="G18" s="27">
        <f t="shared" si="0"/>
        <v>61</v>
      </c>
    </row>
    <row r="19" spans="1:7">
      <c r="A19" s="92" t="s">
        <v>540</v>
      </c>
      <c r="B19" s="92"/>
      <c r="C19" s="92"/>
      <c r="D19" s="92"/>
      <c r="E19" s="92">
        <v>1</v>
      </c>
      <c r="F19" s="92">
        <v>1</v>
      </c>
      <c r="G19" s="92">
        <v>4</v>
      </c>
    </row>
    <row r="20" spans="1:7">
      <c r="A20" s="92" t="s">
        <v>541</v>
      </c>
      <c r="B20" s="92"/>
      <c r="C20" s="92">
        <v>1</v>
      </c>
      <c r="D20" s="92">
        <v>1</v>
      </c>
      <c r="E20" s="92">
        <v>1</v>
      </c>
      <c r="F20" s="92">
        <v>1</v>
      </c>
      <c r="G20" s="92">
        <v>2</v>
      </c>
    </row>
    <row r="21" spans="1:7">
      <c r="A21" s="92" t="s">
        <v>537</v>
      </c>
      <c r="B21" s="92">
        <v>9</v>
      </c>
      <c r="C21" s="92">
        <v>3</v>
      </c>
      <c r="D21" s="92">
        <v>1</v>
      </c>
      <c r="E21" s="92">
        <v>1</v>
      </c>
      <c r="F21" s="92">
        <v>0</v>
      </c>
      <c r="G21" s="92">
        <v>0</v>
      </c>
    </row>
    <row r="22" spans="1:7">
      <c r="A22" s="27" t="s">
        <v>534</v>
      </c>
      <c r="B22" s="27">
        <f>Input!E70</f>
        <v>50</v>
      </c>
      <c r="C22" s="27">
        <f>Input!F70</f>
        <v>54</v>
      </c>
      <c r="D22" s="27">
        <f>Input!G70</f>
        <v>56</v>
      </c>
      <c r="E22" s="27">
        <f>Input!H70</f>
        <v>59</v>
      </c>
      <c r="F22" s="27">
        <f>Input!I70</f>
        <v>61</v>
      </c>
      <c r="G22" s="27">
        <f>Input!J70</f>
        <v>67</v>
      </c>
    </row>
    <row r="23" spans="1:7">
      <c r="A23" s="85" t="s">
        <v>106</v>
      </c>
      <c r="B23" s="85">
        <f>B22-SUM(B18:B21)</f>
        <v>0</v>
      </c>
      <c r="C23" s="85">
        <f t="shared" ref="C23:G23" si="1">C22-SUM(C18:C21)</f>
        <v>0</v>
      </c>
      <c r="D23" s="85">
        <f t="shared" si="1"/>
        <v>0</v>
      </c>
      <c r="E23" s="85">
        <f t="shared" si="1"/>
        <v>0</v>
      </c>
      <c r="F23" s="85">
        <f t="shared" si="1"/>
        <v>0</v>
      </c>
      <c r="G23" s="85">
        <f t="shared" si="1"/>
        <v>0</v>
      </c>
    </row>
    <row r="26" spans="1:7" ht="19.5" customHeight="1">
      <c r="A26" s="377" t="s">
        <v>536</v>
      </c>
      <c r="B26" s="377"/>
      <c r="C26" s="377"/>
      <c r="D26" s="377"/>
      <c r="E26" s="377"/>
      <c r="F26" s="377"/>
      <c r="G26" s="377"/>
    </row>
    <row r="27" spans="1:7">
      <c r="A27" s="384"/>
      <c r="B27" s="23">
        <f>B16</f>
        <v>2010</v>
      </c>
      <c r="C27" s="23">
        <f t="shared" ref="C27:G27" si="2">C16</f>
        <v>2011</v>
      </c>
      <c r="D27" s="23">
        <f t="shared" si="2"/>
        <v>2012</v>
      </c>
      <c r="E27" s="406">
        <f t="shared" si="2"/>
        <v>2013</v>
      </c>
      <c r="F27" s="407">
        <f t="shared" si="2"/>
        <v>2014</v>
      </c>
      <c r="G27" s="408">
        <f t="shared" si="2"/>
        <v>2015</v>
      </c>
    </row>
    <row r="28" spans="1:7">
      <c r="A28" s="397" t="str">
        <f>A17</f>
        <v>€m</v>
      </c>
      <c r="B28" s="786" t="str">
        <f>C17</f>
        <v>Actual</v>
      </c>
      <c r="C28" s="786"/>
      <c r="D28" s="786"/>
      <c r="E28" s="787" t="str">
        <f>F17</f>
        <v>Plan</v>
      </c>
      <c r="F28" s="788"/>
      <c r="G28" s="789"/>
    </row>
    <row r="29" spans="1:7" ht="22.5">
      <c r="A29" s="385" t="str">
        <f>A18</f>
        <v>Sales at the beginning of the year</v>
      </c>
      <c r="B29" s="308">
        <v>246</v>
      </c>
      <c r="C29" s="308">
        <f>B33</f>
        <v>255</v>
      </c>
      <c r="D29" s="308">
        <f>C33</f>
        <v>267.5</v>
      </c>
      <c r="E29" s="401">
        <f>D33</f>
        <v>278</v>
      </c>
      <c r="F29" s="308">
        <f>E33</f>
        <v>293</v>
      </c>
      <c r="G29" s="393">
        <f>F33</f>
        <v>313</v>
      </c>
    </row>
    <row r="30" spans="1:7">
      <c r="A30" s="386" t="str">
        <f t="shared" ref="A30:A33" si="3">A19</f>
        <v>Launch of product B</v>
      </c>
      <c r="B30" s="308"/>
      <c r="C30" s="308"/>
      <c r="D30" s="308"/>
      <c r="E30" s="401">
        <v>9</v>
      </c>
      <c r="F30" s="308">
        <v>11</v>
      </c>
      <c r="G30" s="393">
        <v>12</v>
      </c>
    </row>
    <row r="31" spans="1:7" ht="22.5">
      <c r="A31" s="386" t="str">
        <f t="shared" si="3"/>
        <v>Price increase in segment</v>
      </c>
      <c r="B31" s="308"/>
      <c r="C31" s="308">
        <v>2</v>
      </c>
      <c r="D31" s="308">
        <v>2</v>
      </c>
      <c r="E31" s="401">
        <v>3</v>
      </c>
      <c r="F31" s="308">
        <v>3</v>
      </c>
      <c r="G31" s="393">
        <v>5</v>
      </c>
    </row>
    <row r="32" spans="1:7" ht="14.25" customHeight="1">
      <c r="A32" s="409" t="str">
        <f t="shared" si="3"/>
        <v>Expansion in region Y</v>
      </c>
      <c r="B32" s="410">
        <v>9</v>
      </c>
      <c r="C32" s="410">
        <v>10.5</v>
      </c>
      <c r="D32" s="410">
        <v>8.5</v>
      </c>
      <c r="E32" s="411">
        <v>3</v>
      </c>
      <c r="F32" s="410">
        <v>6</v>
      </c>
      <c r="G32" s="412">
        <v>14</v>
      </c>
    </row>
    <row r="33" spans="1:7" ht="23.25" thickBot="1">
      <c r="A33" s="413" t="str">
        <f t="shared" si="3"/>
        <v>Sales at the end of the year</v>
      </c>
      <c r="B33" s="414">
        <f>[2]Input!B22</f>
        <v>255</v>
      </c>
      <c r="C33" s="414">
        <f>[2]Input!C22</f>
        <v>267.5</v>
      </c>
      <c r="D33" s="414">
        <f>[2]Input!D22</f>
        <v>278</v>
      </c>
      <c r="E33" s="415">
        <f>[2]Input!E22</f>
        <v>293</v>
      </c>
      <c r="F33" s="414">
        <f>[2]Input!F22</f>
        <v>313</v>
      </c>
      <c r="G33" s="416">
        <f>[2]Input!G22</f>
        <v>344</v>
      </c>
    </row>
    <row r="36" spans="1:7" s="357" customFormat="1" ht="20.25" customHeight="1">
      <c r="A36" s="358" t="s">
        <v>114</v>
      </c>
    </row>
    <row r="38" spans="1:7">
      <c r="A38" s="9" t="s">
        <v>122</v>
      </c>
    </row>
    <row r="40" spans="1:7">
      <c r="B40" s="54">
        <f>Input!E68</f>
        <v>2010</v>
      </c>
      <c r="C40" s="54">
        <f>Input!F68</f>
        <v>2011</v>
      </c>
      <c r="D40" s="54">
        <f>Input!G68</f>
        <v>2012</v>
      </c>
      <c r="E40" s="54">
        <f>Input!H68</f>
        <v>2013</v>
      </c>
      <c r="F40" s="54">
        <f>Input!I68</f>
        <v>2014</v>
      </c>
      <c r="G40" s="54">
        <f>Input!J68</f>
        <v>2015</v>
      </c>
    </row>
    <row r="41" spans="1:7">
      <c r="A41" s="27" t="str">
        <f>Input!E4</f>
        <v>€m</v>
      </c>
      <c r="B41" s="54" t="str">
        <f>Input!E69</f>
        <v>Actual</v>
      </c>
      <c r="C41" s="54" t="str">
        <f>Input!F69</f>
        <v>Actual</v>
      </c>
      <c r="D41" s="54" t="str">
        <f>Input!G69</f>
        <v>Actual</v>
      </c>
      <c r="E41" s="54" t="str">
        <f>Input!H69</f>
        <v>Plan</v>
      </c>
      <c r="F41" s="54" t="str">
        <f>Input!I69</f>
        <v>Plan</v>
      </c>
      <c r="G41" s="54" t="str">
        <f>Input!J69</f>
        <v>Plan</v>
      </c>
    </row>
    <row r="42" spans="1:7">
      <c r="A42" s="27" t="s">
        <v>32</v>
      </c>
      <c r="B42" s="27">
        <f>'10_Sales &amp; GP'!C149</f>
        <v>19</v>
      </c>
      <c r="C42" s="27">
        <f>'10_Sales &amp; GP'!D149</f>
        <v>19.8</v>
      </c>
      <c r="D42" s="27">
        <f>'10_Sales &amp; GP'!E149</f>
        <v>20.501785714285699</v>
      </c>
      <c r="E42" s="27">
        <f>'10_Sales &amp; GP'!F149</f>
        <v>22.6</v>
      </c>
      <c r="F42" s="27">
        <f>'10_Sales &amp; GP'!G149</f>
        <v>23.8</v>
      </c>
      <c r="G42" s="27">
        <f>'10_Sales &amp; GP'!H149</f>
        <v>26.826865671641801</v>
      </c>
    </row>
    <row r="43" spans="1:7">
      <c r="A43" s="27" t="s">
        <v>49</v>
      </c>
      <c r="B43" s="65">
        <f>'10_Sales &amp; GP'!C150</f>
        <v>0.6333333333333333</v>
      </c>
      <c r="C43" s="65">
        <f>'10_Sales &amp; GP'!D150</f>
        <v>0.61111111111111105</v>
      </c>
      <c r="D43" s="65">
        <f>'10_Sales &amp; GP'!E150</f>
        <v>0.62888913234005206</v>
      </c>
      <c r="E43" s="65">
        <f>'10_Sales &amp; GP'!F150</f>
        <v>0.63841807909604509</v>
      </c>
      <c r="F43" s="65">
        <f>'10_Sales &amp; GP'!G150</f>
        <v>0.65027322404371579</v>
      </c>
      <c r="G43" s="65">
        <f>'10_Sales &amp; GP'!H150</f>
        <v>0.65113751630198546</v>
      </c>
    </row>
    <row r="44" spans="1:7">
      <c r="A44" s="27" t="s">
        <v>33</v>
      </c>
      <c r="B44" s="27">
        <f>'10_Sales &amp; GP'!C152</f>
        <v>6.2</v>
      </c>
      <c r="C44" s="27">
        <f>'10_Sales &amp; GP'!D152</f>
        <v>7.08</v>
      </c>
      <c r="D44" s="27">
        <f>'10_Sales &amp; GP'!E152</f>
        <v>6.1426785714285703</v>
      </c>
      <c r="E44" s="27">
        <f>'10_Sales &amp; GP'!F152</f>
        <v>7.64</v>
      </c>
      <c r="F44" s="27">
        <f>'10_Sales &amp; GP'!G152</f>
        <v>8.1199999999999992</v>
      </c>
      <c r="G44" s="27">
        <f>'10_Sales &amp; GP'!H152</f>
        <v>8.4531343283582103</v>
      </c>
    </row>
    <row r="45" spans="1:7">
      <c r="A45" s="27" t="s">
        <v>49</v>
      </c>
      <c r="B45" s="65">
        <f>'10_Sales &amp; GP'!C153</f>
        <v>0.51666666666666672</v>
      </c>
      <c r="C45" s="65">
        <f>'10_Sales &amp; GP'!D153</f>
        <v>0.54629629629629628</v>
      </c>
      <c r="D45" s="65">
        <f>'10_Sales &amp; GP'!E153</f>
        <v>0.51446219191194054</v>
      </c>
      <c r="E45" s="65">
        <f>'10_Sales &amp; GP'!F153</f>
        <v>0.53954802259887003</v>
      </c>
      <c r="F45" s="65">
        <f>'10_Sales &amp; GP'!G153</f>
        <v>0.55464480874316935</v>
      </c>
      <c r="G45" s="65">
        <f>'10_Sales &amp; GP'!H153</f>
        <v>0.56055267429431099</v>
      </c>
    </row>
    <row r="46" spans="1:7">
      <c r="A46" s="27" t="s">
        <v>34</v>
      </c>
      <c r="B46" s="27">
        <f>'10_Sales &amp; GP'!C155</f>
        <v>3.2</v>
      </c>
      <c r="C46" s="27">
        <f>'10_Sales &amp; GP'!D155</f>
        <v>3.4</v>
      </c>
      <c r="D46" s="27">
        <f>'10_Sales &amp; GP'!E155</f>
        <v>4.4473214285714304</v>
      </c>
      <c r="E46" s="27">
        <f>'10_Sales &amp; GP'!F155</f>
        <v>3.7</v>
      </c>
      <c r="F46" s="27">
        <f>'10_Sales &amp; GP'!G155</f>
        <v>3.9</v>
      </c>
      <c r="G46" s="27">
        <f>'10_Sales &amp; GP'!H155</f>
        <v>4.5880597014925399</v>
      </c>
    </row>
    <row r="47" spans="1:7">
      <c r="A47" s="27" t="s">
        <v>49</v>
      </c>
      <c r="B47" s="65">
        <f>'10_Sales &amp; GP'!C156</f>
        <v>0.64</v>
      </c>
      <c r="C47" s="65">
        <f>'10_Sales &amp; GP'!D156</f>
        <v>0.62962962962962954</v>
      </c>
      <c r="D47" s="65">
        <f>'10_Sales &amp; GP'!E156</f>
        <v>0.62638329979879304</v>
      </c>
      <c r="E47" s="65">
        <f>'10_Sales &amp; GP'!F156</f>
        <v>0.62711864406779672</v>
      </c>
      <c r="F47" s="65">
        <f>'10_Sales &amp; GP'!G156</f>
        <v>0.63934426229508212</v>
      </c>
      <c r="G47" s="65">
        <f>'10_Sales &amp; GP'!H156</f>
        <v>0.65543710021321999</v>
      </c>
    </row>
    <row r="48" spans="1:7">
      <c r="A48" s="27" t="s">
        <v>35</v>
      </c>
      <c r="B48" s="27">
        <f>'10_Sales &amp; GP'!C158</f>
        <v>1.6</v>
      </c>
      <c r="C48" s="27">
        <f>'10_Sales &amp; GP'!D158</f>
        <v>1.72</v>
      </c>
      <c r="D48" s="27">
        <f>'10_Sales &amp; GP'!E158</f>
        <v>2.4082142857142901</v>
      </c>
      <c r="E48" s="27">
        <f>'10_Sales &amp; GP'!F158</f>
        <v>2.06</v>
      </c>
      <c r="F48" s="27">
        <f>'10_Sales &amp; GP'!G158</f>
        <v>2.1800000000000002</v>
      </c>
      <c r="G48" s="27">
        <f>'10_Sales &amp; GP'!H158</f>
        <v>2.1319402985074598</v>
      </c>
    </row>
    <row r="49" spans="1:7">
      <c r="A49" s="27" t="s">
        <v>49</v>
      </c>
      <c r="B49" s="65">
        <f>'10_Sales &amp; GP'!C159</f>
        <v>0.53333333333333333</v>
      </c>
      <c r="C49" s="65">
        <f>'10_Sales &amp; GP'!D159</f>
        <v>0.53086419753086411</v>
      </c>
      <c r="D49" s="65">
        <f>'10_Sales &amp; GP'!E159</f>
        <v>0.55234272608125912</v>
      </c>
      <c r="E49" s="65">
        <f>'10_Sales &amp; GP'!F159</f>
        <v>0.58192090395480223</v>
      </c>
      <c r="F49" s="65">
        <f>'10_Sales &amp; GP'!G159</f>
        <v>0.59562841530054655</v>
      </c>
      <c r="G49" s="65">
        <f>'10_Sales &amp; GP'!H159</f>
        <v>0.57310223078157518</v>
      </c>
    </row>
    <row r="50" spans="1:7">
      <c r="A50" s="27" t="s">
        <v>515</v>
      </c>
      <c r="B50" s="27">
        <f>'10_Sales &amp; GP'!C161</f>
        <v>30</v>
      </c>
      <c r="C50" s="27">
        <f>'10_Sales &amp; GP'!D161</f>
        <v>32</v>
      </c>
      <c r="D50" s="27">
        <f>'10_Sales &amp; GP'!E161</f>
        <v>33.499999999999993</v>
      </c>
      <c r="E50" s="27">
        <f>'10_Sales &amp; GP'!F161</f>
        <v>36.000000000000007</v>
      </c>
      <c r="F50" s="27">
        <f>'10_Sales &amp; GP'!G161</f>
        <v>38</v>
      </c>
      <c r="G50" s="27">
        <f>'10_Sales &amp; GP'!H161</f>
        <v>42.000000000000014</v>
      </c>
    </row>
    <row r="51" spans="1:7">
      <c r="A51" s="27" t="s">
        <v>49</v>
      </c>
      <c r="B51" s="65">
        <f>'10_Sales &amp; GP'!C162</f>
        <v>0.6</v>
      </c>
      <c r="C51" s="65">
        <f>'10_Sales &amp; GP'!D162</f>
        <v>0.59259259259259256</v>
      </c>
      <c r="D51" s="65">
        <f>'10_Sales &amp; GP'!E162</f>
        <v>0.59821428571428559</v>
      </c>
      <c r="E51" s="65">
        <f>'10_Sales &amp; GP'!F162</f>
        <v>0.61016949152542388</v>
      </c>
      <c r="F51" s="65">
        <f>'10_Sales &amp; GP'!G162</f>
        <v>0.62295081967213117</v>
      </c>
      <c r="G51" s="65">
        <f>'10_Sales &amp; GP'!H162</f>
        <v>0.6268656716417913</v>
      </c>
    </row>
    <row r="54" spans="1:7" ht="19.5" customHeight="1">
      <c r="A54" s="383" t="s">
        <v>543</v>
      </c>
      <c r="B54" s="383"/>
      <c r="C54" s="383"/>
      <c r="D54" s="383"/>
      <c r="E54" s="383"/>
      <c r="F54" s="383"/>
      <c r="G54" s="383"/>
    </row>
    <row r="55" spans="1:7">
      <c r="A55" s="387"/>
      <c r="B55" s="23">
        <f>B40</f>
        <v>2010</v>
      </c>
      <c r="C55" s="23">
        <f t="shared" ref="C55:G55" si="4">C40</f>
        <v>2011</v>
      </c>
      <c r="D55" s="23">
        <f t="shared" si="4"/>
        <v>2012</v>
      </c>
      <c r="E55" s="406">
        <f t="shared" si="4"/>
        <v>2013</v>
      </c>
      <c r="F55" s="407">
        <f t="shared" si="4"/>
        <v>2014</v>
      </c>
      <c r="G55" s="408">
        <f t="shared" si="4"/>
        <v>2015</v>
      </c>
    </row>
    <row r="56" spans="1:7">
      <c r="A56" s="397" t="str">
        <f>A41</f>
        <v>€m</v>
      </c>
      <c r="B56" s="786" t="str">
        <f>C41</f>
        <v>Actual</v>
      </c>
      <c r="C56" s="786"/>
      <c r="D56" s="786"/>
      <c r="E56" s="787" t="str">
        <f>F41</f>
        <v>Plan</v>
      </c>
      <c r="F56" s="788" t="s">
        <v>2</v>
      </c>
      <c r="G56" s="789"/>
    </row>
    <row r="57" spans="1:7" ht="12.75" customHeight="1">
      <c r="A57" s="389" t="str">
        <f>A42</f>
        <v>Segment A</v>
      </c>
      <c r="B57" s="308">
        <f t="shared" ref="B57:G57" si="5">B42</f>
        <v>19</v>
      </c>
      <c r="C57" s="308">
        <f t="shared" si="5"/>
        <v>19.8</v>
      </c>
      <c r="D57" s="308">
        <f t="shared" si="5"/>
        <v>20.501785714285699</v>
      </c>
      <c r="E57" s="401">
        <f t="shared" si="5"/>
        <v>22.6</v>
      </c>
      <c r="F57" s="308">
        <f t="shared" si="5"/>
        <v>23.8</v>
      </c>
      <c r="G57" s="393">
        <f t="shared" si="5"/>
        <v>26.826865671641801</v>
      </c>
    </row>
    <row r="58" spans="1:7" ht="12.75" customHeight="1">
      <c r="A58" s="388" t="str">
        <f t="shared" ref="A58:A66" si="6">A43</f>
        <v>Gross profit margin</v>
      </c>
      <c r="B58" s="307">
        <f t="shared" ref="B58:G58" si="7">B43</f>
        <v>0.6333333333333333</v>
      </c>
      <c r="C58" s="307">
        <f t="shared" si="7"/>
        <v>0.61111111111111105</v>
      </c>
      <c r="D58" s="307">
        <f t="shared" si="7"/>
        <v>0.62888913234005206</v>
      </c>
      <c r="E58" s="402">
        <f t="shared" si="7"/>
        <v>0.63841807909604509</v>
      </c>
      <c r="F58" s="307">
        <f t="shared" si="7"/>
        <v>0.65027322404371579</v>
      </c>
      <c r="G58" s="394">
        <f t="shared" si="7"/>
        <v>0.65113751630198546</v>
      </c>
    </row>
    <row r="59" spans="1:7" ht="12.75" customHeight="1">
      <c r="A59" s="389" t="str">
        <f t="shared" si="6"/>
        <v>Segment B</v>
      </c>
      <c r="B59" s="21">
        <f t="shared" ref="B59:G59" si="8">B44</f>
        <v>6.2</v>
      </c>
      <c r="C59" s="21">
        <f t="shared" si="8"/>
        <v>7.08</v>
      </c>
      <c r="D59" s="308">
        <f t="shared" si="8"/>
        <v>6.1426785714285703</v>
      </c>
      <c r="E59" s="401">
        <f t="shared" si="8"/>
        <v>7.64</v>
      </c>
      <c r="F59" s="308">
        <f t="shared" si="8"/>
        <v>8.1199999999999992</v>
      </c>
      <c r="G59" s="393">
        <f t="shared" si="8"/>
        <v>8.4531343283582103</v>
      </c>
    </row>
    <row r="60" spans="1:7" ht="12.75" customHeight="1">
      <c r="A60" s="388" t="str">
        <f t="shared" si="6"/>
        <v>Gross profit margin</v>
      </c>
      <c r="B60" s="307">
        <f t="shared" ref="B60:G60" si="9">B45</f>
        <v>0.51666666666666672</v>
      </c>
      <c r="C60" s="307">
        <f t="shared" si="9"/>
        <v>0.54629629629629628</v>
      </c>
      <c r="D60" s="307">
        <f t="shared" si="9"/>
        <v>0.51446219191194054</v>
      </c>
      <c r="E60" s="402">
        <f t="shared" si="9"/>
        <v>0.53954802259887003</v>
      </c>
      <c r="F60" s="307">
        <f t="shared" si="9"/>
        <v>0.55464480874316935</v>
      </c>
      <c r="G60" s="394">
        <f t="shared" si="9"/>
        <v>0.56055267429431099</v>
      </c>
    </row>
    <row r="61" spans="1:7" ht="12.75" customHeight="1">
      <c r="A61" s="389" t="str">
        <f t="shared" si="6"/>
        <v>Segment C</v>
      </c>
      <c r="B61" s="308">
        <f t="shared" ref="B61:G61" si="10">B46</f>
        <v>3.2</v>
      </c>
      <c r="C61" s="308">
        <f t="shared" si="10"/>
        <v>3.4</v>
      </c>
      <c r="D61" s="308">
        <f t="shared" si="10"/>
        <v>4.4473214285714304</v>
      </c>
      <c r="E61" s="401">
        <f t="shared" si="10"/>
        <v>3.7</v>
      </c>
      <c r="F61" s="308">
        <f t="shared" si="10"/>
        <v>3.9</v>
      </c>
      <c r="G61" s="393">
        <f t="shared" si="10"/>
        <v>4.5880597014925399</v>
      </c>
    </row>
    <row r="62" spans="1:7" ht="12.75" customHeight="1">
      <c r="A62" s="388" t="str">
        <f t="shared" si="6"/>
        <v>Gross profit margin</v>
      </c>
      <c r="B62" s="307">
        <f t="shared" ref="B62:G62" si="11">B47</f>
        <v>0.64</v>
      </c>
      <c r="C62" s="307">
        <f t="shared" si="11"/>
        <v>0.62962962962962954</v>
      </c>
      <c r="D62" s="307">
        <f t="shared" si="11"/>
        <v>0.62638329979879304</v>
      </c>
      <c r="E62" s="402">
        <f t="shared" si="11"/>
        <v>0.62711864406779672</v>
      </c>
      <c r="F62" s="307">
        <f t="shared" si="11"/>
        <v>0.63934426229508212</v>
      </c>
      <c r="G62" s="394">
        <f t="shared" si="11"/>
        <v>0.65543710021321999</v>
      </c>
    </row>
    <row r="63" spans="1:7" ht="12.75" customHeight="1">
      <c r="A63" s="389" t="str">
        <f t="shared" si="6"/>
        <v>Segment D</v>
      </c>
      <c r="B63" s="308">
        <f t="shared" ref="B63:G63" si="12">B48</f>
        <v>1.6</v>
      </c>
      <c r="C63" s="308">
        <f t="shared" si="12"/>
        <v>1.72</v>
      </c>
      <c r="D63" s="308">
        <f t="shared" si="12"/>
        <v>2.4082142857142901</v>
      </c>
      <c r="E63" s="401">
        <f t="shared" si="12"/>
        <v>2.06</v>
      </c>
      <c r="F63" s="308">
        <f t="shared" si="12"/>
        <v>2.1800000000000002</v>
      </c>
      <c r="G63" s="393">
        <f t="shared" si="12"/>
        <v>2.1319402985074598</v>
      </c>
    </row>
    <row r="64" spans="1:7" ht="12.75" customHeight="1">
      <c r="A64" s="398" t="str">
        <f t="shared" si="6"/>
        <v>Gross profit margin</v>
      </c>
      <c r="B64" s="399">
        <f t="shared" ref="B64:G64" si="13">B49</f>
        <v>0.53333333333333333</v>
      </c>
      <c r="C64" s="399">
        <f t="shared" si="13"/>
        <v>0.53086419753086411</v>
      </c>
      <c r="D64" s="399">
        <f t="shared" si="13"/>
        <v>0.55234272608125912</v>
      </c>
      <c r="E64" s="403">
        <f t="shared" si="13"/>
        <v>0.58192090395480223</v>
      </c>
      <c r="F64" s="399">
        <f t="shared" si="13"/>
        <v>0.59562841530054655</v>
      </c>
      <c r="G64" s="400">
        <f t="shared" si="13"/>
        <v>0.57310223078157518</v>
      </c>
    </row>
    <row r="65" spans="1:7" ht="12.75" customHeight="1">
      <c r="A65" s="390" t="str">
        <f t="shared" si="6"/>
        <v>Group</v>
      </c>
      <c r="B65" s="316">
        <f t="shared" ref="B65:G65" si="14">B50</f>
        <v>30</v>
      </c>
      <c r="C65" s="316">
        <f t="shared" si="14"/>
        <v>32</v>
      </c>
      <c r="D65" s="316">
        <f t="shared" si="14"/>
        <v>33.499999999999993</v>
      </c>
      <c r="E65" s="404">
        <f t="shared" si="14"/>
        <v>36.000000000000007</v>
      </c>
      <c r="F65" s="316">
        <f t="shared" si="14"/>
        <v>38</v>
      </c>
      <c r="G65" s="395">
        <f t="shared" si="14"/>
        <v>42.000000000000014</v>
      </c>
    </row>
    <row r="66" spans="1:7" ht="12.75" customHeight="1" thickBot="1">
      <c r="A66" s="391" t="str">
        <f t="shared" si="6"/>
        <v>Gross profit margin</v>
      </c>
      <c r="B66" s="392">
        <f t="shared" ref="B66:G66" si="15">B51</f>
        <v>0.6</v>
      </c>
      <c r="C66" s="392">
        <f t="shared" si="15"/>
        <v>0.59259259259259256</v>
      </c>
      <c r="D66" s="392">
        <f t="shared" si="15"/>
        <v>0.59821428571428559</v>
      </c>
      <c r="E66" s="405">
        <f t="shared" si="15"/>
        <v>0.61016949152542388</v>
      </c>
      <c r="F66" s="392">
        <f t="shared" si="15"/>
        <v>0.62295081967213117</v>
      </c>
      <c r="G66" s="396">
        <f t="shared" si="15"/>
        <v>0.6268656716417913</v>
      </c>
    </row>
  </sheetData>
  <mergeCells count="4">
    <mergeCell ref="B28:D28"/>
    <mergeCell ref="E28:G28"/>
    <mergeCell ref="E56:G56"/>
    <mergeCell ref="B56:D56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J239"/>
  <sheetViews>
    <sheetView topLeftCell="C145" zoomScale="220" zoomScaleNormal="220" workbookViewId="0">
      <selection activeCell="K157" sqref="K157"/>
    </sheetView>
  </sheetViews>
  <sheetFormatPr defaultColWidth="11.5" defaultRowHeight="11.25"/>
  <cols>
    <col min="1" max="1" width="17.83203125" customWidth="1"/>
    <col min="2" max="14" width="7" customWidth="1"/>
    <col min="15" max="15" width="6.33203125" customWidth="1"/>
    <col min="17" max="17" width="29" customWidth="1"/>
    <col min="18" max="23" width="7.6640625" customWidth="1"/>
  </cols>
  <sheetData>
    <row r="1" spans="1:7" ht="20.25" customHeight="1">
      <c r="A1" s="46" t="s">
        <v>109</v>
      </c>
    </row>
    <row r="2" spans="1:7" ht="20.25" customHeight="1">
      <c r="A2" s="48" t="s">
        <v>196</v>
      </c>
    </row>
    <row r="3" spans="1:7" s="27" customFormat="1" ht="20.25" customHeight="1">
      <c r="A3" s="48" t="s">
        <v>202</v>
      </c>
    </row>
    <row r="4" spans="1:7" s="27" customFormat="1" ht="20.25" customHeight="1">
      <c r="A4" s="48"/>
    </row>
    <row r="5" spans="1:7" s="27" customFormat="1" ht="20.25" customHeight="1">
      <c r="A5" s="48"/>
    </row>
    <row r="6" spans="1:7" s="27" customFormat="1" ht="20.25" customHeight="1">
      <c r="A6" s="48"/>
    </row>
    <row r="7" spans="1:7" s="27" customFormat="1" ht="20.25" customHeight="1">
      <c r="A7" s="48"/>
    </row>
    <row r="8" spans="1:7" s="27" customFormat="1" ht="20.25" customHeight="1">
      <c r="A8" s="48"/>
    </row>
    <row r="9" spans="1:7" s="27" customFormat="1" ht="20.25" customHeight="1">
      <c r="A9" s="48"/>
    </row>
    <row r="10" spans="1:7" s="27" customFormat="1" ht="20.25" customHeight="1">
      <c r="A10" s="48"/>
    </row>
    <row r="11" spans="1:7" s="27" customFormat="1" ht="20.25" customHeight="1">
      <c r="A11" s="48"/>
    </row>
    <row r="12" spans="1:7" s="27" customFormat="1" ht="20.25" customHeight="1">
      <c r="A12" s="48"/>
    </row>
    <row r="13" spans="1:7" s="357" customFormat="1" ht="20.25" customHeight="1">
      <c r="A13" s="358" t="s">
        <v>158</v>
      </c>
    </row>
    <row r="14" spans="1:7" s="27" customFormat="1" ht="13.5" customHeight="1"/>
    <row r="15" spans="1:7" ht="13.5" customHeight="1">
      <c r="A15" s="53" t="s">
        <v>93</v>
      </c>
      <c r="B15" s="27"/>
      <c r="C15" s="27"/>
      <c r="D15" s="27"/>
      <c r="E15" s="27"/>
      <c r="F15" s="27"/>
      <c r="G15" s="27"/>
    </row>
    <row r="16" spans="1:7" ht="13.5" customHeight="1">
      <c r="A16" s="27" t="str">
        <f>Input!E3</f>
        <v>XXX AG</v>
      </c>
      <c r="B16" s="27"/>
      <c r="C16" s="27"/>
      <c r="D16" s="27"/>
      <c r="E16" s="27"/>
      <c r="F16" s="27"/>
      <c r="G16" s="27"/>
    </row>
    <row r="17" spans="1:10" ht="13.5" customHeight="1">
      <c r="A17" s="27"/>
      <c r="B17" s="54">
        <f>Input!E12</f>
        <v>2010</v>
      </c>
      <c r="C17" s="54">
        <f>Input!F12</f>
        <v>2011</v>
      </c>
      <c r="D17" s="54">
        <f>Input!G12</f>
        <v>2012</v>
      </c>
      <c r="E17" s="54">
        <f>Input!H12</f>
        <v>2013</v>
      </c>
      <c r="F17" s="54">
        <f>Input!I12</f>
        <v>2014</v>
      </c>
      <c r="G17" s="54">
        <f>Input!J12</f>
        <v>2015</v>
      </c>
    </row>
    <row r="18" spans="1:10" ht="13.5" customHeight="1">
      <c r="A18" s="27" t="str">
        <f>Input!E4</f>
        <v>€m</v>
      </c>
      <c r="B18" s="54" t="str">
        <f>Input!E13</f>
        <v>Actual</v>
      </c>
      <c r="C18" s="54" t="str">
        <f>Input!F13</f>
        <v>Actual</v>
      </c>
      <c r="D18" s="54" t="str">
        <f>Input!G13</f>
        <v>Actual</v>
      </c>
      <c r="E18" s="54" t="str">
        <f>Input!H13</f>
        <v>Plan</v>
      </c>
      <c r="F18" s="54" t="str">
        <f>Input!I13</f>
        <v>Plan</v>
      </c>
      <c r="G18" s="54" t="str">
        <f>Input!J13</f>
        <v>Plan</v>
      </c>
    </row>
    <row r="19" spans="1:10" ht="13.5" customHeight="1">
      <c r="A19" s="27" t="str">
        <f>Input!D70</f>
        <v>Sales</v>
      </c>
      <c r="B19" s="33">
        <f>Input!E70</f>
        <v>50</v>
      </c>
      <c r="C19" s="33">
        <f>Input!F70</f>
        <v>54</v>
      </c>
      <c r="D19" s="33">
        <f>Input!G70</f>
        <v>56</v>
      </c>
      <c r="E19" s="33">
        <f>Input!H70</f>
        <v>59</v>
      </c>
      <c r="F19" s="33">
        <f>Input!I70</f>
        <v>61</v>
      </c>
      <c r="G19" s="33">
        <f>Input!J70</f>
        <v>67</v>
      </c>
    </row>
    <row r="20" spans="1:10" ht="13.5" customHeight="1">
      <c r="A20" s="27" t="str">
        <f>Input!D71</f>
        <v>Gross profit</v>
      </c>
      <c r="B20" s="33">
        <f>Input!E71</f>
        <v>25</v>
      </c>
      <c r="C20" s="33">
        <f>Input!F71</f>
        <v>27</v>
      </c>
      <c r="D20" s="33">
        <f>Input!G71</f>
        <v>28</v>
      </c>
      <c r="E20" s="33">
        <f>Input!H71</f>
        <v>30</v>
      </c>
      <c r="F20" s="33">
        <f>Input!I71</f>
        <v>31.5</v>
      </c>
      <c r="G20" s="33">
        <f>Input!J71</f>
        <v>35.5</v>
      </c>
    </row>
    <row r="21" spans="1:10" ht="13.5" customHeight="1">
      <c r="A21" s="27" t="str">
        <f>Input!D73</f>
        <v>EBITDA</v>
      </c>
      <c r="B21" s="33">
        <f>Input!E73</f>
        <v>12</v>
      </c>
      <c r="C21" s="33">
        <f>Input!F73</f>
        <v>13</v>
      </c>
      <c r="D21" s="33">
        <f>Input!G73</f>
        <v>13.5</v>
      </c>
      <c r="E21" s="33">
        <f>Input!H73</f>
        <v>15</v>
      </c>
      <c r="F21" s="33">
        <f>Input!I73</f>
        <v>16</v>
      </c>
      <c r="G21" s="33">
        <f>Input!J73</f>
        <v>18</v>
      </c>
    </row>
    <row r="22" spans="1:10" ht="13.5" customHeight="1">
      <c r="A22" s="27" t="str">
        <f>Input!D77</f>
        <v>EBIT</v>
      </c>
      <c r="B22" s="33">
        <f>Input!E77</f>
        <v>7</v>
      </c>
      <c r="C22" s="33">
        <f>Input!F77</f>
        <v>8</v>
      </c>
      <c r="D22" s="33">
        <f>Input!G77</f>
        <v>8.5</v>
      </c>
      <c r="E22" s="33">
        <f>Input!H77</f>
        <v>10</v>
      </c>
      <c r="F22" s="33">
        <f>Input!I77</f>
        <v>11</v>
      </c>
      <c r="G22" s="33">
        <f>Input!J77</f>
        <v>13</v>
      </c>
    </row>
    <row r="23" spans="1:10" ht="13.5" customHeight="1">
      <c r="A23" s="27"/>
      <c r="B23" s="27"/>
      <c r="C23" s="27"/>
      <c r="D23" s="27"/>
      <c r="E23" s="27"/>
      <c r="F23" s="27"/>
      <c r="G23" s="27"/>
    </row>
    <row r="24" spans="1:10" ht="19.5" customHeight="1">
      <c r="A24" s="377" t="str">
        <f>A16</f>
        <v>XXX AG</v>
      </c>
      <c r="B24" s="377"/>
      <c r="C24" s="377"/>
      <c r="D24" s="377"/>
      <c r="E24" s="377"/>
      <c r="F24" s="377"/>
      <c r="G24" s="377"/>
    </row>
    <row r="25" spans="1:10" ht="12" customHeight="1">
      <c r="A25" s="417"/>
      <c r="B25" s="3">
        <f>B17</f>
        <v>2010</v>
      </c>
      <c r="C25" s="3">
        <f t="shared" ref="C25:G25" si="0">C17</f>
        <v>2011</v>
      </c>
      <c r="D25" s="3">
        <f t="shared" si="0"/>
        <v>2012</v>
      </c>
      <c r="E25" s="406">
        <f t="shared" si="0"/>
        <v>2013</v>
      </c>
      <c r="F25" s="435">
        <f t="shared" si="0"/>
        <v>2014</v>
      </c>
      <c r="G25" s="436">
        <f t="shared" si="0"/>
        <v>2015</v>
      </c>
      <c r="I25" s="27"/>
      <c r="J25" s="27"/>
    </row>
    <row r="26" spans="1:10" ht="12" customHeight="1">
      <c r="A26" s="397" t="s">
        <v>97</v>
      </c>
      <c r="B26" s="424"/>
      <c r="C26" s="424" t="str">
        <f>C18</f>
        <v>Actual</v>
      </c>
      <c r="D26" s="424"/>
      <c r="E26" s="437"/>
      <c r="F26" s="438" t="str">
        <f>F18</f>
        <v>Plan</v>
      </c>
      <c r="G26" s="439"/>
      <c r="I26" s="68" t="str">
        <f>CONCATENATE("CAGR 
",RIGHT(B25,2),"-",RIGHT(D25,2))</f>
        <v>CAGR 
10-12</v>
      </c>
      <c r="J26" s="68" t="str">
        <f>CONCATENATE("CAGR 
",RIGHT(E25,2),"-",RIGHT(G25,2))</f>
        <v>CAGR 
13-15</v>
      </c>
    </row>
    <row r="27" spans="1:10" ht="12" customHeight="1">
      <c r="A27" s="421" t="str">
        <f>A19</f>
        <v>Sales</v>
      </c>
      <c r="B27" s="56">
        <f>B19</f>
        <v>50</v>
      </c>
      <c r="C27" s="56">
        <f>C19</f>
        <v>54</v>
      </c>
      <c r="D27" s="56">
        <f>D19</f>
        <v>56</v>
      </c>
      <c r="E27" s="431">
        <f>E19</f>
        <v>59</v>
      </c>
      <c r="F27" s="56">
        <f>F19</f>
        <v>61</v>
      </c>
      <c r="G27" s="57">
        <f>G19</f>
        <v>67</v>
      </c>
      <c r="I27" s="67">
        <f>(D27/B27)^(1/2)-1</f>
        <v>5.8300524425836331E-2</v>
      </c>
      <c r="J27" s="67">
        <f>(G27/E27)^(1/2)-1</f>
        <v>6.5642163363942352E-2</v>
      </c>
    </row>
    <row r="28" spans="1:10" ht="12" customHeight="1">
      <c r="A28" s="422" t="s">
        <v>417</v>
      </c>
      <c r="B28" s="58"/>
      <c r="C28" s="61">
        <f>C27/B27-1</f>
        <v>8.0000000000000071E-2</v>
      </c>
      <c r="D28" s="61">
        <f t="shared" ref="D28:G28" si="1">D27/C27-1</f>
        <v>3.7037037037036979E-2</v>
      </c>
      <c r="E28" s="432">
        <f t="shared" si="1"/>
        <v>5.3571428571428603E-2</v>
      </c>
      <c r="F28" s="61">
        <f t="shared" si="1"/>
        <v>3.3898305084745672E-2</v>
      </c>
      <c r="G28" s="62">
        <f t="shared" si="1"/>
        <v>9.8360655737705027E-2</v>
      </c>
      <c r="I28" s="66"/>
      <c r="J28" s="66"/>
    </row>
    <row r="29" spans="1:10" ht="12" customHeight="1">
      <c r="A29" s="418" t="str">
        <f t="shared" ref="A29:G29" si="2">A20</f>
        <v>Gross profit</v>
      </c>
      <c r="B29" s="59">
        <f t="shared" si="2"/>
        <v>25</v>
      </c>
      <c r="C29" s="59">
        <f t="shared" si="2"/>
        <v>27</v>
      </c>
      <c r="D29" s="59">
        <f t="shared" si="2"/>
        <v>28</v>
      </c>
      <c r="E29" s="433">
        <f t="shared" si="2"/>
        <v>30</v>
      </c>
      <c r="F29" s="59">
        <f t="shared" si="2"/>
        <v>31.5</v>
      </c>
      <c r="G29" s="60">
        <f t="shared" si="2"/>
        <v>35.5</v>
      </c>
      <c r="I29" s="67">
        <f>(D29/B29)^(1/2)-1</f>
        <v>5.8300524425836331E-2</v>
      </c>
      <c r="J29" s="67">
        <f>(G29/E29)^(1/2)-1</f>
        <v>8.781125813871471E-2</v>
      </c>
    </row>
    <row r="30" spans="1:10" ht="12" customHeight="1">
      <c r="A30" s="422" t="str">
        <f>CONCATENATE(A29," margin")</f>
        <v>Gross profit margin</v>
      </c>
      <c r="B30" s="61">
        <f>B29/B27</f>
        <v>0.5</v>
      </c>
      <c r="C30" s="61">
        <f t="shared" ref="C30:G30" si="3">C29/C27</f>
        <v>0.5</v>
      </c>
      <c r="D30" s="61">
        <f t="shared" si="3"/>
        <v>0.5</v>
      </c>
      <c r="E30" s="432">
        <f t="shared" si="3"/>
        <v>0.50847457627118642</v>
      </c>
      <c r="F30" s="61">
        <f t="shared" si="3"/>
        <v>0.51639344262295084</v>
      </c>
      <c r="G30" s="62">
        <f t="shared" si="3"/>
        <v>0.52985074626865669</v>
      </c>
      <c r="I30" s="66"/>
      <c r="J30" s="66"/>
    </row>
    <row r="31" spans="1:10" ht="12" customHeight="1">
      <c r="A31" s="418" t="str">
        <f t="shared" ref="A31:G31" si="4">A21</f>
        <v>EBITDA</v>
      </c>
      <c r="B31" s="59">
        <f t="shared" si="4"/>
        <v>12</v>
      </c>
      <c r="C31" s="59">
        <f t="shared" si="4"/>
        <v>13</v>
      </c>
      <c r="D31" s="59">
        <f t="shared" si="4"/>
        <v>13.5</v>
      </c>
      <c r="E31" s="433">
        <f t="shared" si="4"/>
        <v>15</v>
      </c>
      <c r="F31" s="59">
        <f t="shared" si="4"/>
        <v>16</v>
      </c>
      <c r="G31" s="60">
        <f t="shared" si="4"/>
        <v>18</v>
      </c>
      <c r="I31" s="67">
        <f>(D31/B31)^(1/2)-1</f>
        <v>6.0660171779821193E-2</v>
      </c>
      <c r="J31" s="67">
        <f>(G31/E31)^(1/2)-1</f>
        <v>9.5445115010332149E-2</v>
      </c>
    </row>
    <row r="32" spans="1:10" ht="12" customHeight="1">
      <c r="A32" s="422" t="str">
        <f>CONCATENATE(A31," margin")</f>
        <v>EBITDA margin</v>
      </c>
      <c r="B32" s="61">
        <f>B31/B27</f>
        <v>0.24</v>
      </c>
      <c r="C32" s="61">
        <f t="shared" ref="C32:G32" si="5">C31/C27</f>
        <v>0.24074074074074073</v>
      </c>
      <c r="D32" s="61">
        <f t="shared" si="5"/>
        <v>0.24107142857142858</v>
      </c>
      <c r="E32" s="432">
        <f t="shared" si="5"/>
        <v>0.25423728813559321</v>
      </c>
      <c r="F32" s="61">
        <f t="shared" si="5"/>
        <v>0.26229508196721313</v>
      </c>
      <c r="G32" s="62">
        <f t="shared" si="5"/>
        <v>0.26865671641791045</v>
      </c>
      <c r="I32" s="66"/>
      <c r="J32" s="66"/>
    </row>
    <row r="33" spans="1:10" ht="12" customHeight="1">
      <c r="A33" s="418" t="str">
        <f t="shared" ref="A33:G33" si="6">A22</f>
        <v>EBIT</v>
      </c>
      <c r="B33" s="59">
        <f t="shared" si="6"/>
        <v>7</v>
      </c>
      <c r="C33" s="59">
        <f t="shared" si="6"/>
        <v>8</v>
      </c>
      <c r="D33" s="59">
        <f t="shared" si="6"/>
        <v>8.5</v>
      </c>
      <c r="E33" s="433">
        <f t="shared" si="6"/>
        <v>10</v>
      </c>
      <c r="F33" s="59">
        <f t="shared" si="6"/>
        <v>11</v>
      </c>
      <c r="G33" s="60">
        <f t="shared" si="6"/>
        <v>13</v>
      </c>
      <c r="I33" s="67">
        <f>(D33/B33)^(1/2)-1</f>
        <v>0.10194633003867937</v>
      </c>
      <c r="J33" s="67">
        <f>(G33/E33)^(1/2)-1</f>
        <v>0.14017542509913805</v>
      </c>
    </row>
    <row r="34" spans="1:10" ht="12" customHeight="1" thickBot="1">
      <c r="A34" s="423" t="str">
        <f>CONCATENATE(A33," margin")</f>
        <v>EBIT margin</v>
      </c>
      <c r="B34" s="63">
        <f>B33/B27</f>
        <v>0.14000000000000001</v>
      </c>
      <c r="C34" s="63">
        <f t="shared" ref="C34:G34" si="7">C33/C27</f>
        <v>0.14814814814814814</v>
      </c>
      <c r="D34" s="63">
        <f t="shared" si="7"/>
        <v>0.15178571428571427</v>
      </c>
      <c r="E34" s="434">
        <f t="shared" si="7"/>
        <v>0.16949152542372881</v>
      </c>
      <c r="F34" s="63">
        <f t="shared" si="7"/>
        <v>0.18032786885245902</v>
      </c>
      <c r="G34" s="64">
        <f t="shared" si="7"/>
        <v>0.19402985074626866</v>
      </c>
      <c r="I34" s="66"/>
      <c r="J34" s="66"/>
    </row>
    <row r="35" spans="1:10" ht="12" customHeight="1"/>
    <row r="36" spans="1:10" ht="12" customHeight="1"/>
    <row r="37" spans="1:10" ht="12" customHeight="1"/>
    <row r="38" spans="1:10" ht="12" customHeight="1"/>
    <row r="39" spans="1:10" ht="12" customHeight="1"/>
    <row r="40" spans="1:10" s="357" customFormat="1" ht="20.25" customHeight="1">
      <c r="A40" s="358" t="s">
        <v>114</v>
      </c>
    </row>
    <row r="41" spans="1:10" ht="12" customHeight="1"/>
    <row r="42" spans="1:10" s="76" customFormat="1" ht="12" customHeight="1">
      <c r="A42" s="74" t="s">
        <v>93</v>
      </c>
      <c r="B42" s="75"/>
      <c r="C42" s="75"/>
      <c r="D42" s="75"/>
      <c r="E42" s="75"/>
      <c r="F42" s="75"/>
      <c r="G42" s="75"/>
    </row>
    <row r="43" spans="1:10" s="76" customFormat="1">
      <c r="A43" s="75"/>
      <c r="B43" s="77">
        <f>Input!E12</f>
        <v>2010</v>
      </c>
      <c r="C43" s="77">
        <f>Input!F12</f>
        <v>2011</v>
      </c>
      <c r="D43" s="77">
        <f>Input!G12</f>
        <v>2012</v>
      </c>
      <c r="E43" s="77">
        <f>Input!H12</f>
        <v>2013</v>
      </c>
      <c r="F43" s="77">
        <f>Input!I12</f>
        <v>2014</v>
      </c>
      <c r="G43" s="77">
        <f>Input!J12</f>
        <v>2015</v>
      </c>
    </row>
    <row r="44" spans="1:10" s="76" customFormat="1">
      <c r="A44" s="75" t="str">
        <f>Input!D13</f>
        <v>€m</v>
      </c>
      <c r="B44" s="80" t="str">
        <f>Input!E13</f>
        <v>Actual</v>
      </c>
      <c r="C44" s="80" t="str">
        <f>Input!F13</f>
        <v>Actual</v>
      </c>
      <c r="D44" s="80" t="str">
        <f>Input!G13</f>
        <v>Actual</v>
      </c>
      <c r="E44" s="80" t="str">
        <f>Input!H13</f>
        <v>Plan</v>
      </c>
      <c r="F44" s="80" t="str">
        <f>Input!I13</f>
        <v>Plan</v>
      </c>
      <c r="G44" s="80" t="str">
        <f>Input!J13</f>
        <v>Plan</v>
      </c>
    </row>
    <row r="45" spans="1:10" s="76" customFormat="1" ht="13.5" customHeight="1">
      <c r="A45" s="76" t="str">
        <f>Input!D70</f>
        <v>Sales</v>
      </c>
      <c r="B45" s="78">
        <f>Input!E70</f>
        <v>50</v>
      </c>
      <c r="C45" s="78">
        <f>Input!F70</f>
        <v>54</v>
      </c>
      <c r="D45" s="78">
        <f>Input!G70</f>
        <v>56</v>
      </c>
      <c r="E45" s="78">
        <f>Input!H70</f>
        <v>59</v>
      </c>
      <c r="F45" s="78">
        <f>Input!I70</f>
        <v>61</v>
      </c>
      <c r="G45" s="78">
        <f>Input!J70</f>
        <v>67</v>
      </c>
    </row>
    <row r="46" spans="1:10" s="76" customFormat="1" ht="13.5" customHeight="1">
      <c r="A46" s="76" t="s">
        <v>593</v>
      </c>
      <c r="B46" s="78">
        <f>Input!E16</f>
        <v>25</v>
      </c>
      <c r="C46" s="78">
        <f>Input!F16</f>
        <v>27</v>
      </c>
      <c r="D46" s="78">
        <f>Input!G16</f>
        <v>28</v>
      </c>
      <c r="E46" s="78">
        <f>Input!H16</f>
        <v>29</v>
      </c>
      <c r="F46" s="78">
        <f>Input!I16</f>
        <v>29.5</v>
      </c>
      <c r="G46" s="78">
        <f>Input!J16</f>
        <v>31.5</v>
      </c>
    </row>
    <row r="47" spans="1:10" s="76" customFormat="1" ht="13.5" customHeight="1">
      <c r="A47" s="76" t="str">
        <f>Input!D17</f>
        <v>COGS ratio</v>
      </c>
      <c r="B47" s="79">
        <f>Input!E17</f>
        <v>0.5</v>
      </c>
      <c r="C47" s="79">
        <f>Input!F17</f>
        <v>0.5</v>
      </c>
      <c r="D47" s="79">
        <f>Input!G17</f>
        <v>0.5</v>
      </c>
      <c r="E47" s="79">
        <f>Input!H17</f>
        <v>0.49152542372881358</v>
      </c>
      <c r="F47" s="79">
        <f>Input!I17</f>
        <v>0.48360655737704916</v>
      </c>
      <c r="G47" s="79">
        <f>Input!J17</f>
        <v>0.47014925373134331</v>
      </c>
    </row>
    <row r="48" spans="1:10" s="76" customFormat="1" ht="13.5" customHeight="1">
      <c r="A48" s="76" t="str">
        <f>Input!D71</f>
        <v>Gross profit</v>
      </c>
      <c r="B48" s="78">
        <f>Input!E71</f>
        <v>25</v>
      </c>
      <c r="C48" s="78">
        <f>Input!F71</f>
        <v>27</v>
      </c>
      <c r="D48" s="78">
        <f>Input!G71</f>
        <v>28</v>
      </c>
      <c r="E48" s="78">
        <f>Input!H71</f>
        <v>30</v>
      </c>
      <c r="F48" s="78">
        <f>Input!I71</f>
        <v>31.5</v>
      </c>
      <c r="G48" s="78">
        <f>Input!J71</f>
        <v>35.5</v>
      </c>
    </row>
    <row r="49" spans="1:7" s="76" customFormat="1" ht="13.5" customHeight="1">
      <c r="A49" s="76" t="str">
        <f>Input!D72</f>
        <v>Gross profit margin</v>
      </c>
      <c r="B49" s="79">
        <f>Input!E72</f>
        <v>0.5</v>
      </c>
      <c r="C49" s="79">
        <f>Input!F72</f>
        <v>0.5</v>
      </c>
      <c r="D49" s="79">
        <f>Input!G72</f>
        <v>0.5</v>
      </c>
      <c r="E49" s="79">
        <f>Input!H72</f>
        <v>0.50847457627118642</v>
      </c>
      <c r="F49" s="79">
        <f>Input!I72</f>
        <v>0.51639344262295084</v>
      </c>
      <c r="G49" s="79">
        <f>Input!J72</f>
        <v>0.52985074626865669</v>
      </c>
    </row>
    <row r="50" spans="1:7" s="76" customFormat="1" ht="13.5" customHeight="1">
      <c r="A50" s="76" t="s">
        <v>123</v>
      </c>
      <c r="B50" s="78">
        <f>Input!E20</f>
        <v>0</v>
      </c>
      <c r="C50" s="78">
        <f>Input!F20</f>
        <v>0</v>
      </c>
      <c r="D50" s="78">
        <f>Input!G20</f>
        <v>0</v>
      </c>
      <c r="E50" s="78">
        <f>Input!H20</f>
        <v>0</v>
      </c>
      <c r="F50" s="78">
        <f>Input!I20</f>
        <v>0</v>
      </c>
      <c r="G50" s="78">
        <f>Input!J20</f>
        <v>0</v>
      </c>
    </row>
    <row r="51" spans="1:7" s="76" customFormat="1" ht="13.5" customHeight="1">
      <c r="A51" s="76" t="str">
        <f>Input!D21</f>
        <v>R&amp;D ratio</v>
      </c>
      <c r="B51" s="79">
        <f>Input!E21</f>
        <v>0</v>
      </c>
      <c r="C51" s="79">
        <f>Input!F21</f>
        <v>0</v>
      </c>
      <c r="D51" s="79">
        <f>Input!G21</f>
        <v>0</v>
      </c>
      <c r="E51" s="79">
        <f>Input!H21</f>
        <v>0</v>
      </c>
      <c r="F51" s="79">
        <f>Input!I21</f>
        <v>0</v>
      </c>
      <c r="G51" s="79">
        <f>Input!J21</f>
        <v>0</v>
      </c>
    </row>
    <row r="52" spans="1:7" s="76" customFormat="1" ht="13.5" customHeight="1">
      <c r="A52" s="76" t="str">
        <f>Input!D22</f>
        <v>Selling expenses</v>
      </c>
      <c r="B52" s="78">
        <f>Input!E22</f>
        <v>7</v>
      </c>
      <c r="C52" s="78">
        <f>Input!F22</f>
        <v>8</v>
      </c>
      <c r="D52" s="78">
        <f>Input!G22</f>
        <v>8.5</v>
      </c>
      <c r="E52" s="78">
        <f>Input!H22</f>
        <v>9</v>
      </c>
      <c r="F52" s="78">
        <f>Input!I22</f>
        <v>9.5</v>
      </c>
      <c r="G52" s="78">
        <f>Input!J22</f>
        <v>10.5</v>
      </c>
    </row>
    <row r="53" spans="1:7" s="76" customFormat="1" ht="13.5" customHeight="1">
      <c r="A53" s="76" t="str">
        <f>Input!D23</f>
        <v>Selling expenses ratio</v>
      </c>
      <c r="B53" s="79">
        <f>Input!E23</f>
        <v>0.14000000000000001</v>
      </c>
      <c r="C53" s="79">
        <f>Input!F23</f>
        <v>0.14814814814814814</v>
      </c>
      <c r="D53" s="79">
        <f>Input!G23</f>
        <v>0.15178571428571427</v>
      </c>
      <c r="E53" s="79">
        <f>Input!H23</f>
        <v>0.15254237288135594</v>
      </c>
      <c r="F53" s="79">
        <f>Input!I23</f>
        <v>0.15573770491803279</v>
      </c>
      <c r="G53" s="79">
        <f>Input!J23</f>
        <v>0.15671641791044777</v>
      </c>
    </row>
    <row r="54" spans="1:7" s="76" customFormat="1" ht="13.5" customHeight="1">
      <c r="A54" s="76" t="s">
        <v>592</v>
      </c>
      <c r="B54" s="78">
        <f>Input!E24</f>
        <v>3</v>
      </c>
      <c r="C54" s="78">
        <f>Input!F24</f>
        <v>3</v>
      </c>
      <c r="D54" s="78">
        <f>Input!G24</f>
        <v>3</v>
      </c>
      <c r="E54" s="78">
        <f>Input!H24</f>
        <v>3</v>
      </c>
      <c r="F54" s="78">
        <f>Input!I24</f>
        <v>3</v>
      </c>
      <c r="G54" s="78">
        <f>Input!J24</f>
        <v>4</v>
      </c>
    </row>
    <row r="55" spans="1:7" s="76" customFormat="1" ht="13.5" customHeight="1">
      <c r="A55" s="76" t="str">
        <f>Input!D25</f>
        <v>G&amp;A ratio</v>
      </c>
      <c r="B55" s="79">
        <f>Input!E25</f>
        <v>0.06</v>
      </c>
      <c r="C55" s="79">
        <f>Input!F25</f>
        <v>5.5555555555555552E-2</v>
      </c>
      <c r="D55" s="79">
        <f>Input!G25</f>
        <v>5.3571428571428568E-2</v>
      </c>
      <c r="E55" s="79">
        <f>Input!H25</f>
        <v>5.0847457627118647E-2</v>
      </c>
      <c r="F55" s="79">
        <f>Input!I25</f>
        <v>4.9180327868852458E-2</v>
      </c>
      <c r="G55" s="79">
        <f>Input!J25</f>
        <v>5.9701492537313432E-2</v>
      </c>
    </row>
    <row r="56" spans="1:7" s="76" customFormat="1" ht="13.5" customHeight="1">
      <c r="A56" s="76" t="str">
        <f>Input!D26</f>
        <v>Other operating result</v>
      </c>
      <c r="B56" s="443">
        <f>Input!E26</f>
        <v>-8</v>
      </c>
      <c r="C56" s="443">
        <f>Input!F26</f>
        <v>-8</v>
      </c>
      <c r="D56" s="443">
        <f>Input!G26</f>
        <v>-8</v>
      </c>
      <c r="E56" s="443">
        <f>Input!H26</f>
        <v>-8</v>
      </c>
      <c r="F56" s="443">
        <f>Input!I26</f>
        <v>-8</v>
      </c>
      <c r="G56" s="443">
        <f>Input!J26</f>
        <v>-8</v>
      </c>
    </row>
    <row r="57" spans="1:7" s="76" customFormat="1" ht="13.5" customHeight="1">
      <c r="A57" s="76" t="str">
        <f>Input!D27</f>
        <v>Other operating result ratio</v>
      </c>
      <c r="B57" s="430">
        <f>Input!E27</f>
        <v>-0.16</v>
      </c>
      <c r="C57" s="430">
        <f>Input!F27</f>
        <v>-0.14814814814814814</v>
      </c>
      <c r="D57" s="430">
        <f>Input!G27</f>
        <v>-0.14285714285714285</v>
      </c>
      <c r="E57" s="430">
        <f>Input!H27</f>
        <v>-0.13559322033898305</v>
      </c>
      <c r="F57" s="430">
        <f>Input!I27</f>
        <v>-0.13114754098360656</v>
      </c>
      <c r="G57" s="430">
        <f>Input!J27</f>
        <v>-0.11940298507462686</v>
      </c>
    </row>
    <row r="58" spans="1:7" s="76" customFormat="1" ht="13.5" customHeight="1">
      <c r="A58" s="76" t="str">
        <f>Input!D28</f>
        <v>Total costs</v>
      </c>
      <c r="B58" s="78">
        <f>Input!E28</f>
        <v>43</v>
      </c>
      <c r="C58" s="78">
        <f>Input!F28</f>
        <v>46</v>
      </c>
      <c r="D58" s="78">
        <f>Input!G28</f>
        <v>47.5</v>
      </c>
      <c r="E58" s="78">
        <f>Input!H28</f>
        <v>49</v>
      </c>
      <c r="F58" s="78">
        <f>Input!I28</f>
        <v>50</v>
      </c>
      <c r="G58" s="78">
        <f>Input!J28</f>
        <v>54</v>
      </c>
    </row>
    <row r="59" spans="1:7" s="76" customFormat="1" ht="13.5" customHeight="1">
      <c r="A59" s="76" t="str">
        <f>Input!D73</f>
        <v>EBITDA</v>
      </c>
      <c r="B59" s="78">
        <f>Input!E73</f>
        <v>12</v>
      </c>
      <c r="C59" s="78">
        <f>Input!F73</f>
        <v>13</v>
      </c>
      <c r="D59" s="78">
        <f>Input!G73</f>
        <v>13.5</v>
      </c>
      <c r="E59" s="78">
        <f>Input!H73</f>
        <v>15</v>
      </c>
      <c r="F59" s="78">
        <f>Input!I73</f>
        <v>16</v>
      </c>
      <c r="G59" s="78">
        <f>Input!J73</f>
        <v>18</v>
      </c>
    </row>
    <row r="60" spans="1:7" s="76" customFormat="1" ht="13.5" customHeight="1">
      <c r="A60" s="76" t="str">
        <f>Input!D74</f>
        <v>EBITDA margin</v>
      </c>
      <c r="B60" s="79">
        <f>Input!E74</f>
        <v>0.24</v>
      </c>
      <c r="C60" s="79">
        <f>Input!F74</f>
        <v>0.24074074074074073</v>
      </c>
      <c r="D60" s="79">
        <f>Input!G74</f>
        <v>0.24107142857142858</v>
      </c>
      <c r="E60" s="79">
        <f>Input!H74</f>
        <v>0.25423728813559321</v>
      </c>
      <c r="F60" s="79">
        <f>Input!I74</f>
        <v>0.26229508196721313</v>
      </c>
      <c r="G60" s="79">
        <f>Input!J74</f>
        <v>0.26865671641791045</v>
      </c>
    </row>
    <row r="61" spans="1:7" s="76" customFormat="1" ht="13.5" customHeight="1">
      <c r="A61" s="76" t="s">
        <v>78</v>
      </c>
      <c r="B61" s="78">
        <f>Input!E75</f>
        <v>5</v>
      </c>
      <c r="C61" s="78">
        <f>Input!F75</f>
        <v>5</v>
      </c>
      <c r="D61" s="78">
        <f>Input!G75</f>
        <v>5</v>
      </c>
      <c r="E61" s="78">
        <f>Input!H75</f>
        <v>5</v>
      </c>
      <c r="F61" s="78">
        <f>Input!I75</f>
        <v>5</v>
      </c>
      <c r="G61" s="78">
        <f>Input!J75</f>
        <v>5</v>
      </c>
    </row>
    <row r="62" spans="1:7" s="76" customFormat="1" ht="13.5" customHeight="1">
      <c r="A62" s="76" t="s">
        <v>59</v>
      </c>
      <c r="B62" s="79">
        <f>Input!E76</f>
        <v>0.1</v>
      </c>
      <c r="C62" s="79">
        <f>Input!F76</f>
        <v>9.2592592592592587E-2</v>
      </c>
      <c r="D62" s="79">
        <f>Input!G76</f>
        <v>8.9285714285714288E-2</v>
      </c>
      <c r="E62" s="79">
        <f>Input!H76</f>
        <v>8.4745762711864403E-2</v>
      </c>
      <c r="F62" s="79">
        <f>Input!I76</f>
        <v>8.1967213114754092E-2</v>
      </c>
      <c r="G62" s="79">
        <f>Input!J76</f>
        <v>7.4626865671641784E-2</v>
      </c>
    </row>
    <row r="63" spans="1:7" s="76" customFormat="1" ht="13.5" customHeight="1">
      <c r="A63" s="76" t="str">
        <f>Input!D77</f>
        <v>EBIT</v>
      </c>
      <c r="B63" s="78">
        <f>Input!E77</f>
        <v>7</v>
      </c>
      <c r="C63" s="78">
        <f>Input!F77</f>
        <v>8</v>
      </c>
      <c r="D63" s="78">
        <f>Input!G77</f>
        <v>8.5</v>
      </c>
      <c r="E63" s="78">
        <f>Input!H77</f>
        <v>10</v>
      </c>
      <c r="F63" s="78">
        <f>Input!I77</f>
        <v>11</v>
      </c>
      <c r="G63" s="78">
        <f>Input!J77</f>
        <v>13</v>
      </c>
    </row>
    <row r="64" spans="1:7" s="76" customFormat="1" ht="13.5" customHeight="1">
      <c r="A64" s="76" t="str">
        <f>Input!D78</f>
        <v>EBIT margin</v>
      </c>
      <c r="B64" s="79">
        <f>Input!E78</f>
        <v>0.14000000000000001</v>
      </c>
      <c r="C64" s="79">
        <f>Input!F78</f>
        <v>0.14814814814814814</v>
      </c>
      <c r="D64" s="79">
        <f>Input!G78</f>
        <v>0.15178571428571427</v>
      </c>
      <c r="E64" s="79">
        <f>Input!H78</f>
        <v>0.16949152542372881</v>
      </c>
      <c r="F64" s="79">
        <f>Input!I78</f>
        <v>0.18032786885245902</v>
      </c>
      <c r="G64" s="79">
        <f>Input!J78</f>
        <v>0.19402985074626866</v>
      </c>
    </row>
    <row r="65" spans="1:7" s="76" customFormat="1"/>
    <row r="66" spans="1:7" s="76" customFormat="1"/>
    <row r="67" spans="1:7" s="76" customFormat="1"/>
    <row r="68" spans="1:7" s="76" customFormat="1"/>
    <row r="77" spans="1:7" s="357" customFormat="1" ht="20.25" customHeight="1">
      <c r="A77" s="358" t="s">
        <v>105</v>
      </c>
    </row>
    <row r="78" spans="1:7" s="27" customFormat="1" ht="12" customHeight="1"/>
    <row r="79" spans="1:7" s="76" customFormat="1" ht="12" customHeight="1">
      <c r="A79" s="74" t="s">
        <v>93</v>
      </c>
      <c r="B79" s="75"/>
      <c r="C79" s="75"/>
      <c r="D79" s="75"/>
      <c r="E79" s="75"/>
      <c r="F79" s="75"/>
      <c r="G79" s="75"/>
    </row>
    <row r="80" spans="1:7">
      <c r="B80" s="20"/>
    </row>
    <row r="81" spans="1:5" s="27" customFormat="1">
      <c r="A81" s="27" t="str">
        <f>Input!D13</f>
        <v>€m</v>
      </c>
      <c r="B81" s="20"/>
    </row>
    <row r="82" spans="1:5">
      <c r="A82" s="5" t="str">
        <f>CONCATENATE(Input!D77," ",Input!G12)</f>
        <v>EBIT 2012</v>
      </c>
      <c r="B82" s="81">
        <f>Input!G77</f>
        <v>8.5</v>
      </c>
      <c r="C82" s="82">
        <f>B82</f>
        <v>8.5</v>
      </c>
      <c r="D82" s="82"/>
      <c r="E82" s="82"/>
    </row>
    <row r="83" spans="1:5">
      <c r="A83" s="88" t="s">
        <v>56</v>
      </c>
      <c r="B83" s="83">
        <v>7</v>
      </c>
      <c r="C83" s="82" t="str">
        <f>IF(B83&lt;&gt;"","",SUM($B83:$B$86))</f>
        <v/>
      </c>
      <c r="D83" s="82">
        <f>IF(PRODUCT(SUM($B82:$B$83),SUM($B82:$B$82))&gt;=0,IF(PRODUCT(SUM($B82:$B$82),$B83)&gt;=0,SUM($B82:$B$82),SUM($B82:$B$82)+$B83),0)</f>
        <v>8.5</v>
      </c>
      <c r="E83" s="82">
        <f>IF(PRODUCT(SUM($B83:$B$85),SUM($B82:$B$85))&gt;=0,(IF(PRODUCT(SUM($B82:$B$85),$B83)&gt;=0,$B83,-$B83)),(SUM($B82:$B$85)))</f>
        <v>7</v>
      </c>
    </row>
    <row r="84" spans="1:5" ht="22.5">
      <c r="A84" s="89" t="s">
        <v>96</v>
      </c>
      <c r="B84" s="83">
        <v>4</v>
      </c>
      <c r="C84" s="82"/>
      <c r="D84" s="82">
        <f>IF(PRODUCT(SUM($B83:$B$83),SUM($B$82:$B83))&gt;=0,IF(PRODUCT(SUM($B$82:$B83),$B84)&gt;=0,SUM($B$82:$B83),SUM($B$82:$B83)+$B84),0)</f>
        <v>15.5</v>
      </c>
      <c r="E84" s="82">
        <f>IF(PRODUCT(SUM($B$84:$B84),SUM($B83:$B$84))&gt;=0,(IF(PRODUCT(SUM($B83:$B$84),$B84)&gt;=0,$B84,-$B84)),(SUM($B83:$B$84)))</f>
        <v>4</v>
      </c>
    </row>
    <row r="85" spans="1:5">
      <c r="A85" s="89" t="s">
        <v>91</v>
      </c>
      <c r="B85" s="83">
        <v>-2.5</v>
      </c>
      <c r="C85" s="82" t="str">
        <f>IF(B85&lt;&gt;"","",SUM($B85:$B$86))</f>
        <v/>
      </c>
      <c r="D85" s="82">
        <f>IF(PRODUCT(SUM($B$83:$B84),SUM($B$82:$B84))&gt;=0,IF(PRODUCT(SUM($B$82:$B84),$B85)&gt;=0,SUM($B$82:$B84),SUM($B$82:$B84)+$B85),0)</f>
        <v>17</v>
      </c>
      <c r="E85" s="82">
        <f>IF(PRODUCT(SUM($B$84:$B85),SUM($B$84:$B84))&gt;=0,(IF(PRODUCT(SUM($B$84:$B84),$B85)&gt;=0,$B85,-$B85)),(SUM($B$84:$B84)))</f>
        <v>2.5</v>
      </c>
    </row>
    <row r="86" spans="1:5">
      <c r="A86" s="88" t="s">
        <v>57</v>
      </c>
      <c r="B86" s="83">
        <v>-3</v>
      </c>
      <c r="C86" s="82" t="str">
        <f>IF(B86&lt;&gt;"","",SUM($B$86:$B86))</f>
        <v/>
      </c>
      <c r="D86" s="82">
        <f>IF(PRODUCT(SUM($B$83:$B85),SUM($B$82:$B85))&gt;=0,IF(PRODUCT(SUM($B$82:$B85),$B86)&gt;=0,SUM($B$82:$B85),SUM($B$82:$B85)+$B86),0)</f>
        <v>14</v>
      </c>
      <c r="E86" s="82">
        <f>IF(PRODUCT(SUM($B$85:$B86),SUM($B$85:$B85))&gt;=0,(IF(PRODUCT(SUM($B$84:$B85),$B86)&gt;=0,$B86,-$B86)),(SUM($B$85:$B85)))</f>
        <v>3</v>
      </c>
    </row>
    <row r="87" spans="1:5">
      <c r="A87" s="88" t="s">
        <v>58</v>
      </c>
      <c r="B87" s="83">
        <v>-1</v>
      </c>
      <c r="C87" s="82" t="str">
        <f>IF(B87&lt;&gt;"","",SUM($B$86:$B87))</f>
        <v/>
      </c>
      <c r="D87" s="82">
        <f>IF(PRODUCT(SUM($B$83:$B86),SUM($B$82:$B86))&gt;=0,IF(PRODUCT(SUM($B$82:$B86),$B87)&gt;=0,SUM($B$82:$B86),SUM($B$82:$B86)+$B87),0)</f>
        <v>13</v>
      </c>
      <c r="E87" s="82">
        <f>D86-D87</f>
        <v>1</v>
      </c>
    </row>
    <row r="88" spans="1:5">
      <c r="A88" s="5" t="str">
        <f>CONCATENATE(Input!D77," ",Input!J12)</f>
        <v>EBIT 2015</v>
      </c>
      <c r="B88" s="81">
        <f>Input!J77</f>
        <v>13</v>
      </c>
      <c r="C88" s="82">
        <f>B88</f>
        <v>13</v>
      </c>
      <c r="D88" s="82"/>
      <c r="E88" s="82"/>
    </row>
    <row r="89" spans="1:5">
      <c r="A89" s="85" t="s">
        <v>106</v>
      </c>
      <c r="B89" s="86">
        <f>B88-(SUM(B82:B87))</f>
        <v>0</v>
      </c>
    </row>
    <row r="95" spans="1:5" s="357" customFormat="1" ht="20.25" customHeight="1">
      <c r="A95" s="358" t="s">
        <v>107</v>
      </c>
    </row>
    <row r="98" spans="1:7">
      <c r="A98" s="74" t="s">
        <v>93</v>
      </c>
    </row>
    <row r="99" spans="1:7">
      <c r="A99" s="54"/>
      <c r="B99" s="54">
        <f>Input!E12</f>
        <v>2010</v>
      </c>
      <c r="C99" s="54">
        <f>Input!F12</f>
        <v>2011</v>
      </c>
      <c r="D99" s="54">
        <f>Input!G12</f>
        <v>2012</v>
      </c>
      <c r="E99" s="54">
        <f>Input!H12</f>
        <v>2013</v>
      </c>
      <c r="F99" s="54">
        <f>Input!I12</f>
        <v>2014</v>
      </c>
      <c r="G99" s="54">
        <f>Input!J12</f>
        <v>2015</v>
      </c>
    </row>
    <row r="100" spans="1:7">
      <c r="A100" s="90" t="str">
        <f>Input!E4</f>
        <v>€m</v>
      </c>
      <c r="B100" s="54" t="str">
        <f>Input!E13</f>
        <v>Actual</v>
      </c>
      <c r="C100" s="54" t="str">
        <f>Input!F13</f>
        <v>Actual</v>
      </c>
      <c r="D100" s="54" t="str">
        <f>Input!G13</f>
        <v>Actual</v>
      </c>
      <c r="E100" s="54" t="str">
        <f>Input!H13</f>
        <v>Plan</v>
      </c>
      <c r="F100" s="54" t="str">
        <f>Input!I13</f>
        <v>Plan</v>
      </c>
      <c r="G100" s="54" t="str">
        <f>Input!J13</f>
        <v>Plan</v>
      </c>
    </row>
    <row r="101" spans="1:7">
      <c r="A101" t="str">
        <f>Input!D17</f>
        <v>COGS ratio</v>
      </c>
      <c r="B101" s="429">
        <f>Input!E17</f>
        <v>0.5</v>
      </c>
      <c r="C101" s="429">
        <f>Input!F17</f>
        <v>0.5</v>
      </c>
      <c r="D101" s="429">
        <f>Input!G17</f>
        <v>0.5</v>
      </c>
      <c r="E101" s="429">
        <f>Input!H17</f>
        <v>0.49152542372881358</v>
      </c>
      <c r="F101" s="429">
        <f>Input!I17</f>
        <v>0.48360655737704916</v>
      </c>
      <c r="G101" s="429">
        <f>Input!J17</f>
        <v>0.47014925373134331</v>
      </c>
    </row>
    <row r="102" spans="1:7" s="27" customFormat="1">
      <c r="A102" s="27" t="str">
        <f>Input!D72</f>
        <v>Gross profit margin</v>
      </c>
      <c r="B102" s="429">
        <f>Input!E72</f>
        <v>0.5</v>
      </c>
      <c r="C102" s="429">
        <f>Input!F72</f>
        <v>0.5</v>
      </c>
      <c r="D102" s="429">
        <f>Input!G72</f>
        <v>0.5</v>
      </c>
      <c r="E102" s="429">
        <f>Input!H72</f>
        <v>0.50847457627118642</v>
      </c>
      <c r="F102" s="429">
        <f>Input!I72</f>
        <v>0.51639344262295084</v>
      </c>
      <c r="G102" s="429">
        <f>Input!J72</f>
        <v>0.52985074626865669</v>
      </c>
    </row>
    <row r="103" spans="1:7">
      <c r="A103" t="str">
        <f>Input!D21</f>
        <v>R&amp;D ratio</v>
      </c>
      <c r="B103" s="429">
        <f>Input!E21</f>
        <v>0</v>
      </c>
      <c r="C103" s="429">
        <f>Input!F21</f>
        <v>0</v>
      </c>
      <c r="D103" s="429">
        <f>Input!G21</f>
        <v>0</v>
      </c>
      <c r="E103" s="429">
        <f>Input!H21</f>
        <v>0</v>
      </c>
      <c r="F103" s="429">
        <f>Input!I21</f>
        <v>0</v>
      </c>
      <c r="G103" s="429">
        <f>Input!J21</f>
        <v>0</v>
      </c>
    </row>
    <row r="104" spans="1:7">
      <c r="A104" t="str">
        <f>Input!D23</f>
        <v>Selling expenses ratio</v>
      </c>
      <c r="B104" s="429">
        <f>Input!E23</f>
        <v>0.14000000000000001</v>
      </c>
      <c r="C104" s="429">
        <f>Input!F23</f>
        <v>0.14814814814814814</v>
      </c>
      <c r="D104" s="429">
        <f>Input!G23</f>
        <v>0.15178571428571427</v>
      </c>
      <c r="E104" s="429">
        <f>Input!H23</f>
        <v>0.15254237288135594</v>
      </c>
      <c r="F104" s="429">
        <f>Input!I23</f>
        <v>0.15573770491803279</v>
      </c>
      <c r="G104" s="429">
        <f>Input!J23</f>
        <v>0.15671641791044777</v>
      </c>
    </row>
    <row r="105" spans="1:7">
      <c r="A105" t="str">
        <f>Input!D25</f>
        <v>G&amp;A ratio</v>
      </c>
      <c r="B105" s="429">
        <f>Input!E25</f>
        <v>0.06</v>
      </c>
      <c r="C105" s="429">
        <f>Input!F25</f>
        <v>5.5555555555555552E-2</v>
      </c>
      <c r="D105" s="429">
        <f>Input!G25</f>
        <v>5.3571428571428568E-2</v>
      </c>
      <c r="E105" s="429">
        <f>Input!H25</f>
        <v>5.0847457627118647E-2</v>
      </c>
      <c r="F105" s="429">
        <f>Input!I25</f>
        <v>4.9180327868852458E-2</v>
      </c>
      <c r="G105" s="429">
        <f>Input!J25</f>
        <v>5.9701492537313432E-2</v>
      </c>
    </row>
    <row r="106" spans="1:7">
      <c r="A106" t="str">
        <f>Input!D27</f>
        <v>Other operating result ratio</v>
      </c>
      <c r="B106" s="429">
        <f>Input!E27</f>
        <v>-0.16</v>
      </c>
      <c r="C106" s="429">
        <f>Input!F27</f>
        <v>-0.14814814814814814</v>
      </c>
      <c r="D106" s="429">
        <f>Input!G27</f>
        <v>-0.14285714285714285</v>
      </c>
      <c r="E106" s="429">
        <f>Input!H27</f>
        <v>-0.13559322033898305</v>
      </c>
      <c r="F106" s="429">
        <f>Input!I27</f>
        <v>-0.13114754098360656</v>
      </c>
      <c r="G106" s="429">
        <f>Input!J27</f>
        <v>-0.11940298507462686</v>
      </c>
    </row>
    <row r="107" spans="1:7">
      <c r="A107" t="str">
        <f>Input!D76</f>
        <v>Depreciation ratio</v>
      </c>
      <c r="B107" s="429">
        <f>Input!E76</f>
        <v>0.1</v>
      </c>
      <c r="C107" s="429">
        <f>Input!F76</f>
        <v>9.2592592592592587E-2</v>
      </c>
      <c r="D107" s="429">
        <f>Input!G76</f>
        <v>8.9285714285714288E-2</v>
      </c>
      <c r="E107" s="429">
        <f>Input!H76</f>
        <v>8.4745762711864403E-2</v>
      </c>
      <c r="F107" s="429">
        <f>Input!I76</f>
        <v>8.1967213114754092E-2</v>
      </c>
      <c r="G107" s="429">
        <f>Input!J76</f>
        <v>7.4626865671641784E-2</v>
      </c>
    </row>
    <row r="108" spans="1:7">
      <c r="A108" t="str">
        <f>Input!D78</f>
        <v>EBIT margin</v>
      </c>
      <c r="B108" s="429">
        <f>Input!E78</f>
        <v>0.14000000000000001</v>
      </c>
      <c r="C108" s="429">
        <f>Input!F78</f>
        <v>0.14814814814814814</v>
      </c>
      <c r="D108" s="429">
        <f>Input!G78</f>
        <v>0.15178571428571427</v>
      </c>
      <c r="E108" s="429">
        <f>Input!H78</f>
        <v>0.16949152542372881</v>
      </c>
      <c r="F108" s="429">
        <f>Input!I78</f>
        <v>0.18032786885245902</v>
      </c>
      <c r="G108" s="429">
        <f>Input!J78</f>
        <v>0.19402985074626866</v>
      </c>
    </row>
    <row r="115" spans="1:7" ht="19.5" customHeight="1">
      <c r="A115" s="377" t="s">
        <v>147</v>
      </c>
      <c r="B115" s="377"/>
      <c r="C115" s="377"/>
      <c r="D115" s="377"/>
      <c r="E115" s="377"/>
      <c r="F115" s="377"/>
      <c r="G115" s="377"/>
    </row>
    <row r="116" spans="1:7" ht="12" customHeight="1">
      <c r="A116" s="417"/>
      <c r="B116" s="3"/>
      <c r="C116" s="3">
        <f>C99</f>
        <v>2011</v>
      </c>
      <c r="D116" s="3">
        <f t="shared" ref="D116:G116" si="8">D99</f>
        <v>2012</v>
      </c>
      <c r="E116" s="406">
        <f t="shared" si="8"/>
        <v>2013</v>
      </c>
      <c r="F116" s="407">
        <f t="shared" si="8"/>
        <v>2014</v>
      </c>
      <c r="G116" s="440">
        <f t="shared" si="8"/>
        <v>2015</v>
      </c>
    </row>
    <row r="117" spans="1:7" s="27" customFormat="1" ht="12" customHeight="1">
      <c r="A117" s="397" t="str">
        <f>A100</f>
        <v>€m</v>
      </c>
      <c r="B117" s="424"/>
      <c r="C117" s="793" t="str">
        <f>C100</f>
        <v>Actual</v>
      </c>
      <c r="D117" s="793"/>
      <c r="E117" s="790" t="str">
        <f>F100</f>
        <v>Plan</v>
      </c>
      <c r="F117" s="791"/>
      <c r="G117" s="792"/>
    </row>
    <row r="118" spans="1:7" ht="12" customHeight="1">
      <c r="A118" s="418" t="s">
        <v>60</v>
      </c>
      <c r="B118" s="56"/>
      <c r="C118" s="56"/>
      <c r="D118" s="56"/>
      <c r="E118" s="431"/>
      <c r="F118" s="56"/>
      <c r="G118" s="57"/>
    </row>
    <row r="119" spans="1:7" ht="12" customHeight="1">
      <c r="A119" s="779" t="str">
        <f>A101</f>
        <v>COGS ratio</v>
      </c>
      <c r="B119" s="58"/>
      <c r="C119" s="543">
        <f>C101-B101</f>
        <v>0</v>
      </c>
      <c r="D119" s="543">
        <f t="shared" ref="D119:G119" si="9">D101-C101</f>
        <v>0</v>
      </c>
      <c r="E119" s="544">
        <f t="shared" si="9"/>
        <v>-8.4745762711864181E-3</v>
      </c>
      <c r="F119" s="543">
        <f t="shared" si="9"/>
        <v>-7.9188663517644198E-3</v>
      </c>
      <c r="G119" s="780">
        <f t="shared" si="9"/>
        <v>-1.3457303645705854E-2</v>
      </c>
    </row>
    <row r="120" spans="1:7" s="27" customFormat="1" ht="12" customHeight="1">
      <c r="A120" s="779" t="str">
        <f t="shared" ref="A120:A123" si="10">A103</f>
        <v>R&amp;D ratio</v>
      </c>
      <c r="B120" s="58"/>
      <c r="C120" s="543">
        <f>C103-B103</f>
        <v>0</v>
      </c>
      <c r="D120" s="543">
        <f t="shared" ref="D120:G120" si="11">D103-C103</f>
        <v>0</v>
      </c>
      <c r="E120" s="544">
        <f t="shared" si="11"/>
        <v>0</v>
      </c>
      <c r="F120" s="543">
        <f t="shared" si="11"/>
        <v>0</v>
      </c>
      <c r="G120" s="780">
        <f t="shared" si="11"/>
        <v>0</v>
      </c>
    </row>
    <row r="121" spans="1:7" ht="12" customHeight="1">
      <c r="A121" s="779" t="str">
        <f t="shared" si="10"/>
        <v>Selling expenses ratio</v>
      </c>
      <c r="B121" s="58"/>
      <c r="C121" s="543">
        <f t="shared" ref="C121:G121" si="12">C104-B104</f>
        <v>8.1481481481481266E-3</v>
      </c>
      <c r="D121" s="543">
        <f t="shared" si="12"/>
        <v>3.6375661375661339E-3</v>
      </c>
      <c r="E121" s="544">
        <f t="shared" si="12"/>
        <v>7.5665859564166826E-4</v>
      </c>
      <c r="F121" s="543">
        <f t="shared" si="12"/>
        <v>3.1953320366768512E-3</v>
      </c>
      <c r="G121" s="780">
        <f t="shared" si="12"/>
        <v>9.7871299241497622E-4</v>
      </c>
    </row>
    <row r="122" spans="1:7" ht="12" customHeight="1">
      <c r="A122" s="779" t="str">
        <f t="shared" si="10"/>
        <v>G&amp;A ratio</v>
      </c>
      <c r="B122" s="58"/>
      <c r="C122" s="543">
        <f t="shared" ref="C122:G122" si="13">C105-B105</f>
        <v>-4.4444444444444453E-3</v>
      </c>
      <c r="D122" s="543">
        <f t="shared" si="13"/>
        <v>-1.984126984126984E-3</v>
      </c>
      <c r="E122" s="544">
        <f t="shared" si="13"/>
        <v>-2.7239709443099211E-3</v>
      </c>
      <c r="F122" s="543">
        <f t="shared" si="13"/>
        <v>-1.6671297582661893E-3</v>
      </c>
      <c r="G122" s="780">
        <f t="shared" si="13"/>
        <v>1.0521164668460974E-2</v>
      </c>
    </row>
    <row r="123" spans="1:7" ht="12" customHeight="1">
      <c r="A123" s="779" t="str">
        <f t="shared" si="10"/>
        <v>Other operating result ratio</v>
      </c>
      <c r="B123" s="58"/>
      <c r="C123" s="543">
        <f t="shared" ref="C123:G123" si="14">C106-B106</f>
        <v>1.1851851851851863E-2</v>
      </c>
      <c r="D123" s="543">
        <f t="shared" si="14"/>
        <v>5.2910052910052907E-3</v>
      </c>
      <c r="E123" s="544">
        <f t="shared" si="14"/>
        <v>7.2639225181597988E-3</v>
      </c>
      <c r="F123" s="543">
        <f t="shared" si="14"/>
        <v>4.4456793553764862E-3</v>
      </c>
      <c r="G123" s="780">
        <f t="shared" si="14"/>
        <v>1.1744555908979701E-2</v>
      </c>
    </row>
    <row r="124" spans="1:7" ht="12" customHeight="1" thickBot="1">
      <c r="A124" s="774" t="str">
        <f>A108</f>
        <v>EBIT margin</v>
      </c>
      <c r="B124" s="775"/>
      <c r="C124" s="776">
        <f t="shared" ref="C124:G124" si="15">C108-B108</f>
        <v>8.1481481481481266E-3</v>
      </c>
      <c r="D124" s="776">
        <f t="shared" si="15"/>
        <v>3.6375661375661339E-3</v>
      </c>
      <c r="E124" s="777">
        <f t="shared" si="15"/>
        <v>1.7705811138014532E-2</v>
      </c>
      <c r="F124" s="776">
        <f t="shared" si="15"/>
        <v>1.0836343428730216E-2</v>
      </c>
      <c r="G124" s="778">
        <f t="shared" si="15"/>
        <v>1.3701981893809639E-2</v>
      </c>
    </row>
    <row r="125" spans="1:7">
      <c r="A125" s="10"/>
      <c r="C125" s="14"/>
      <c r="D125" s="14"/>
      <c r="E125" s="14"/>
      <c r="F125" s="14"/>
      <c r="G125" s="14"/>
    </row>
    <row r="126" spans="1:7">
      <c r="A126" s="17"/>
      <c r="C126" s="14"/>
      <c r="D126" s="14"/>
      <c r="E126" s="14"/>
      <c r="F126" s="14"/>
      <c r="G126" s="14"/>
    </row>
    <row r="127" spans="1:7" s="27" customFormat="1" ht="19.5" customHeight="1">
      <c r="A127" s="377" t="s">
        <v>147</v>
      </c>
      <c r="B127" s="377"/>
      <c r="C127" s="377"/>
      <c r="D127" s="377"/>
      <c r="E127" s="377"/>
      <c r="F127" s="377"/>
      <c r="G127" s="377"/>
    </row>
    <row r="128" spans="1:7" s="27" customFormat="1" ht="12" customHeight="1">
      <c r="A128" s="417"/>
      <c r="B128" s="3"/>
      <c r="C128" s="3">
        <f>C99</f>
        <v>2011</v>
      </c>
      <c r="D128" s="3">
        <f t="shared" ref="D128:G128" si="16">D99</f>
        <v>2012</v>
      </c>
      <c r="E128" s="406">
        <f t="shared" si="16"/>
        <v>2013</v>
      </c>
      <c r="F128" s="407">
        <f t="shared" si="16"/>
        <v>2014</v>
      </c>
      <c r="G128" s="440">
        <f t="shared" si="16"/>
        <v>2015</v>
      </c>
    </row>
    <row r="129" spans="1:9" s="27" customFormat="1" ht="12" customHeight="1">
      <c r="A129" s="397" t="str">
        <f>A100</f>
        <v>€m</v>
      </c>
      <c r="B129" s="424"/>
      <c r="C129" s="793" t="str">
        <f>C100</f>
        <v>Actual</v>
      </c>
      <c r="D129" s="793"/>
      <c r="E129" s="790" t="str">
        <f>F100</f>
        <v>Plan</v>
      </c>
      <c r="F129" s="791"/>
      <c r="G129" s="792"/>
    </row>
    <row r="130" spans="1:9" s="27" customFormat="1" ht="12" customHeight="1">
      <c r="A130" s="418" t="s">
        <v>60</v>
      </c>
      <c r="B130" s="56"/>
      <c r="C130" s="56"/>
      <c r="D130" s="56"/>
      <c r="E130" s="431"/>
      <c r="F130" s="56"/>
      <c r="G130" s="57"/>
    </row>
    <row r="131" spans="1:9" s="27" customFormat="1" ht="12" customHeight="1">
      <c r="A131" s="419" t="str">
        <f>A102</f>
        <v>Gross profit margin</v>
      </c>
      <c r="B131" s="56"/>
      <c r="C131" s="425">
        <f>C102-B102</f>
        <v>0</v>
      </c>
      <c r="D131" s="425">
        <f t="shared" ref="D131:G131" si="17">D102-C102</f>
        <v>0</v>
      </c>
      <c r="E131" s="441">
        <f t="shared" si="17"/>
        <v>8.4745762711864181E-3</v>
      </c>
      <c r="F131" s="425">
        <f t="shared" si="17"/>
        <v>7.9188663517644198E-3</v>
      </c>
      <c r="G131" s="426">
        <f t="shared" si="17"/>
        <v>1.3457303645705854E-2</v>
      </c>
    </row>
    <row r="132" spans="1:9" s="27" customFormat="1" ht="12" customHeight="1">
      <c r="A132" s="419" t="str">
        <f>A103</f>
        <v>R&amp;D ratio</v>
      </c>
      <c r="B132" s="56"/>
      <c r="C132" s="425">
        <f>C103-B103</f>
        <v>0</v>
      </c>
      <c r="D132" s="425">
        <f t="shared" ref="D132:G135" si="18">D103-C103</f>
        <v>0</v>
      </c>
      <c r="E132" s="441">
        <f t="shared" si="18"/>
        <v>0</v>
      </c>
      <c r="F132" s="425">
        <f t="shared" si="18"/>
        <v>0</v>
      </c>
      <c r="G132" s="426">
        <f t="shared" si="18"/>
        <v>0</v>
      </c>
    </row>
    <row r="133" spans="1:9" s="27" customFormat="1" ht="12" customHeight="1">
      <c r="A133" s="419" t="str">
        <f>A104</f>
        <v>Selling expenses ratio</v>
      </c>
      <c r="B133" s="56"/>
      <c r="C133" s="425">
        <f>C104-B104</f>
        <v>8.1481481481481266E-3</v>
      </c>
      <c r="D133" s="425">
        <f t="shared" si="18"/>
        <v>3.6375661375661339E-3</v>
      </c>
      <c r="E133" s="441">
        <f t="shared" si="18"/>
        <v>7.5665859564166826E-4</v>
      </c>
      <c r="F133" s="425">
        <f t="shared" si="18"/>
        <v>3.1953320366768512E-3</v>
      </c>
      <c r="G133" s="426">
        <f t="shared" si="18"/>
        <v>9.7871299241497622E-4</v>
      </c>
    </row>
    <row r="134" spans="1:9" s="27" customFormat="1" ht="12" customHeight="1">
      <c r="A134" s="419" t="str">
        <f>A105</f>
        <v>G&amp;A ratio</v>
      </c>
      <c r="B134" s="56"/>
      <c r="C134" s="425">
        <f>C105-B105</f>
        <v>-4.4444444444444453E-3</v>
      </c>
      <c r="D134" s="425">
        <f t="shared" si="18"/>
        <v>-1.984126984126984E-3</v>
      </c>
      <c r="E134" s="441">
        <f t="shared" si="18"/>
        <v>-2.7239709443099211E-3</v>
      </c>
      <c r="F134" s="425">
        <f t="shared" si="18"/>
        <v>-1.6671297582661893E-3</v>
      </c>
      <c r="G134" s="426">
        <f t="shared" si="18"/>
        <v>1.0521164668460974E-2</v>
      </c>
    </row>
    <row r="135" spans="1:9" s="27" customFormat="1" ht="12" customHeight="1">
      <c r="A135" s="419" t="str">
        <f>A106</f>
        <v>Other operating result ratio</v>
      </c>
      <c r="B135" s="56"/>
      <c r="C135" s="425">
        <f>C106-B106</f>
        <v>1.1851851851851863E-2</v>
      </c>
      <c r="D135" s="425">
        <f t="shared" si="18"/>
        <v>5.2910052910052907E-3</v>
      </c>
      <c r="E135" s="441">
        <f t="shared" si="18"/>
        <v>7.2639225181597988E-3</v>
      </c>
      <c r="F135" s="425">
        <f t="shared" si="18"/>
        <v>4.4456793553764862E-3</v>
      </c>
      <c r="G135" s="426">
        <f t="shared" si="18"/>
        <v>1.1744555908979701E-2</v>
      </c>
    </row>
    <row r="136" spans="1:9" s="27" customFormat="1" ht="12" customHeight="1" thickBot="1">
      <c r="A136" s="420" t="str">
        <f>A108</f>
        <v>EBIT margin</v>
      </c>
      <c r="B136" s="87"/>
      <c r="C136" s="427">
        <f>C108-B108</f>
        <v>8.1481481481481266E-3</v>
      </c>
      <c r="D136" s="427">
        <f>D108-C108</f>
        <v>3.6375661375661339E-3</v>
      </c>
      <c r="E136" s="442">
        <f>E108-D108</f>
        <v>1.7705811138014532E-2</v>
      </c>
      <c r="F136" s="427">
        <f>F108-E108</f>
        <v>1.0836343428730216E-2</v>
      </c>
      <c r="G136" s="428">
        <f>G108-F108</f>
        <v>1.3701981893809639E-2</v>
      </c>
    </row>
    <row r="140" spans="1:9" s="357" customFormat="1" ht="20.25" customHeight="1">
      <c r="A140" s="358" t="s">
        <v>108</v>
      </c>
    </row>
    <row r="142" spans="1:9">
      <c r="A142" s="9" t="s">
        <v>93</v>
      </c>
    </row>
    <row r="143" spans="1:9">
      <c r="A143" s="10" t="str">
        <f>Input!D13</f>
        <v>€m</v>
      </c>
      <c r="F143" s="28" t="s">
        <v>66</v>
      </c>
      <c r="G143" s="28">
        <f>Input!H12</f>
        <v>2013</v>
      </c>
      <c r="H143" s="28">
        <f>Input!I12</f>
        <v>2014</v>
      </c>
      <c r="I143" s="28">
        <f>Input!J12</f>
        <v>2015</v>
      </c>
    </row>
    <row r="144" spans="1:9">
      <c r="A144" s="10" t="s">
        <v>61</v>
      </c>
      <c r="F144" s="10"/>
      <c r="G144" s="91">
        <v>4</v>
      </c>
      <c r="H144" s="91">
        <v>5</v>
      </c>
      <c r="I144" s="91">
        <v>5</v>
      </c>
    </row>
    <row r="145" spans="1:9">
      <c r="A145" s="10" t="s">
        <v>62</v>
      </c>
      <c r="F145" s="10"/>
      <c r="G145" s="91">
        <v>3</v>
      </c>
      <c r="H145" s="91">
        <v>4</v>
      </c>
      <c r="I145" s="91">
        <v>5</v>
      </c>
    </row>
    <row r="146" spans="1:9">
      <c r="A146" s="10" t="s">
        <v>63</v>
      </c>
      <c r="F146" s="10"/>
      <c r="G146" s="91">
        <v>2</v>
      </c>
      <c r="H146" s="91">
        <v>2</v>
      </c>
      <c r="I146" s="91">
        <v>2</v>
      </c>
    </row>
    <row r="147" spans="1:9">
      <c r="A147" s="10" t="s">
        <v>64</v>
      </c>
      <c r="F147" s="10"/>
      <c r="G147" s="91">
        <v>5.6660000000000004</v>
      </c>
      <c r="H147" s="91">
        <v>7</v>
      </c>
      <c r="I147" s="91">
        <v>7</v>
      </c>
    </row>
    <row r="148" spans="1:9">
      <c r="A148" s="10" t="s">
        <v>65</v>
      </c>
      <c r="F148" s="13">
        <f>SUM(G144:I146)</f>
        <v>32</v>
      </c>
      <c r="G148" s="10"/>
      <c r="H148" s="10"/>
      <c r="I148" s="10"/>
    </row>
    <row r="163" spans="1:7" s="357" customFormat="1" ht="20.25" customHeight="1">
      <c r="A163" s="358" t="s">
        <v>128</v>
      </c>
    </row>
    <row r="165" spans="1:7">
      <c r="A165" s="74" t="s">
        <v>93</v>
      </c>
      <c r="B165" s="27"/>
      <c r="C165" s="27"/>
      <c r="D165" s="27"/>
      <c r="E165" s="27"/>
      <c r="F165" s="27"/>
      <c r="G165" s="27"/>
    </row>
    <row r="166" spans="1:7">
      <c r="A166" s="54"/>
      <c r="B166" s="54">
        <f>Input!E42</f>
        <v>2010</v>
      </c>
      <c r="C166" s="54">
        <f>Input!F42</f>
        <v>2011</v>
      </c>
      <c r="D166" s="54">
        <f>Input!G42</f>
        <v>2012</v>
      </c>
      <c r="E166" s="54">
        <f>Input!H42</f>
        <v>2013</v>
      </c>
      <c r="F166" s="54">
        <f>Input!I42</f>
        <v>2014</v>
      </c>
      <c r="G166" s="54">
        <f>Input!J42</f>
        <v>2015</v>
      </c>
    </row>
    <row r="167" spans="1:7">
      <c r="A167" s="90" t="str">
        <f>Input!D43</f>
        <v>€m</v>
      </c>
      <c r="B167" s="54" t="str">
        <f>Input!E43</f>
        <v>Actual</v>
      </c>
      <c r="C167" s="54" t="str">
        <f>Input!F43</f>
        <v>Actual</v>
      </c>
      <c r="D167" s="54" t="str">
        <f>Input!G43</f>
        <v>Actual</v>
      </c>
      <c r="E167" s="54" t="str">
        <f>Input!H43</f>
        <v>Plan</v>
      </c>
      <c r="F167" s="54" t="str">
        <f>Input!I43</f>
        <v>Plan</v>
      </c>
      <c r="G167" s="54" t="str">
        <f>Input!J43</f>
        <v>Plan</v>
      </c>
    </row>
    <row r="168" spans="1:7">
      <c r="A168" s="27" t="str">
        <f>Input!D47</f>
        <v>Cost of material ratio</v>
      </c>
      <c r="B168" s="65">
        <f>Input!E47</f>
        <v>0.4</v>
      </c>
      <c r="C168" s="65">
        <f>Input!F47</f>
        <v>0.40740740740740738</v>
      </c>
      <c r="D168" s="65">
        <f>Input!G47</f>
        <v>0.4017857142857143</v>
      </c>
      <c r="E168" s="65">
        <f>Input!H47</f>
        <v>0.38983050847457629</v>
      </c>
      <c r="F168" s="65">
        <f>Input!I47</f>
        <v>0.37704918032786883</v>
      </c>
      <c r="G168" s="65">
        <f>Input!J47</f>
        <v>0.37313432835820898</v>
      </c>
    </row>
    <row r="169" spans="1:7" s="27" customFormat="1">
      <c r="A169" s="27" t="str">
        <f>Input!D49</f>
        <v>Gross profit margin</v>
      </c>
      <c r="B169" s="65">
        <f>Input!E49</f>
        <v>0.6</v>
      </c>
      <c r="C169" s="65">
        <f>Input!F49</f>
        <v>0.59259259259259256</v>
      </c>
      <c r="D169" s="65">
        <f>Input!G49</f>
        <v>0.5982142857142857</v>
      </c>
      <c r="E169" s="65">
        <f>Input!H49</f>
        <v>0.61016949152542377</v>
      </c>
      <c r="F169" s="65">
        <f>Input!I49</f>
        <v>0.62295081967213117</v>
      </c>
      <c r="G169" s="65">
        <f>Input!J49</f>
        <v>0.62686567164179108</v>
      </c>
    </row>
    <row r="170" spans="1:7">
      <c r="A170" s="27" t="str">
        <f>Input!D51</f>
        <v>Personnel expenses ratio</v>
      </c>
      <c r="B170" s="65">
        <f>Input!E51</f>
        <v>0.3</v>
      </c>
      <c r="C170" s="65">
        <f>Input!F51</f>
        <v>0.29629629629629628</v>
      </c>
      <c r="D170" s="65">
        <f>Input!G51</f>
        <v>0.30357142857142855</v>
      </c>
      <c r="E170" s="65">
        <f>Input!H51</f>
        <v>0.30508474576271188</v>
      </c>
      <c r="F170" s="65">
        <f>Input!I51</f>
        <v>0.31147540983606559</v>
      </c>
      <c r="G170" s="65">
        <f>Input!J51</f>
        <v>0.29850746268656714</v>
      </c>
    </row>
    <row r="171" spans="1:7">
      <c r="A171" s="27" t="str">
        <f>Input!D53</f>
        <v>Other operating result ratio</v>
      </c>
      <c r="B171" s="65">
        <f>Input!E53</f>
        <v>0.06</v>
      </c>
      <c r="C171" s="65">
        <f>Input!F53</f>
        <v>5.5555555555555552E-2</v>
      </c>
      <c r="D171" s="65">
        <f>Input!G53</f>
        <v>5.3571428571428568E-2</v>
      </c>
      <c r="E171" s="65">
        <f>Input!H53</f>
        <v>5.0847457627118647E-2</v>
      </c>
      <c r="F171" s="65">
        <f>Input!I53</f>
        <v>4.9180327868852458E-2</v>
      </c>
      <c r="G171" s="65">
        <f>Input!J53</f>
        <v>5.9701492537313432E-2</v>
      </c>
    </row>
    <row r="172" spans="1:7">
      <c r="A172" s="27" t="str">
        <f>Input!D57</f>
        <v>Depreciation ratio</v>
      </c>
      <c r="B172" s="65">
        <f>Input!E57</f>
        <v>0.1</v>
      </c>
      <c r="C172" s="65">
        <f>Input!F57</f>
        <v>9.2592592592592587E-2</v>
      </c>
      <c r="D172" s="65">
        <f>Input!G57</f>
        <v>8.9285714285714288E-2</v>
      </c>
      <c r="E172" s="65">
        <f>Input!H57</f>
        <v>8.4745762711864403E-2</v>
      </c>
      <c r="F172" s="65">
        <f>Input!I57</f>
        <v>8.1967213114754092E-2</v>
      </c>
      <c r="G172" s="65">
        <f>Input!J57</f>
        <v>7.4626865671641784E-2</v>
      </c>
    </row>
    <row r="173" spans="1:7">
      <c r="A173" s="27" t="str">
        <f>Input!D59</f>
        <v>EBIT margin</v>
      </c>
      <c r="B173" s="65">
        <f>Input!E59</f>
        <v>0.26</v>
      </c>
      <c r="C173" s="65">
        <f>Input!F59</f>
        <v>0.25925925925925924</v>
      </c>
      <c r="D173" s="65">
        <f>Input!G59</f>
        <v>0.25892857142857145</v>
      </c>
      <c r="E173" s="65">
        <f>Input!H59</f>
        <v>0.2711864406779661</v>
      </c>
      <c r="F173" s="65">
        <f>Input!I59</f>
        <v>0.27868852459016391</v>
      </c>
      <c r="G173" s="65">
        <f>Input!J59</f>
        <v>0.31343283582089554</v>
      </c>
    </row>
    <row r="174" spans="1:7">
      <c r="A174" s="27"/>
      <c r="B174" s="65"/>
      <c r="C174" s="65"/>
      <c r="D174" s="65"/>
      <c r="E174" s="65"/>
      <c r="F174" s="65"/>
      <c r="G174" s="65"/>
    </row>
    <row r="175" spans="1:7" s="27" customFormat="1" ht="19.5" customHeight="1">
      <c r="A175" s="377" t="s">
        <v>147</v>
      </c>
      <c r="B175" s="377"/>
      <c r="C175" s="377"/>
      <c r="D175" s="377"/>
      <c r="E175" s="377"/>
      <c r="F175" s="377"/>
      <c r="G175" s="377"/>
    </row>
    <row r="176" spans="1:7" s="27" customFormat="1" ht="12" customHeight="1">
      <c r="A176" s="417"/>
      <c r="B176" s="3"/>
      <c r="C176" s="3">
        <f>C166</f>
        <v>2011</v>
      </c>
      <c r="D176" s="3">
        <f t="shared" ref="D176:G176" si="19">D166</f>
        <v>2012</v>
      </c>
      <c r="E176" s="406">
        <f t="shared" si="19"/>
        <v>2013</v>
      </c>
      <c r="F176" s="407">
        <f t="shared" si="19"/>
        <v>2014</v>
      </c>
      <c r="G176" s="440">
        <f t="shared" si="19"/>
        <v>2015</v>
      </c>
    </row>
    <row r="177" spans="1:7" s="27" customFormat="1" ht="12" customHeight="1">
      <c r="A177" s="397" t="str">
        <f>A167</f>
        <v>€m</v>
      </c>
      <c r="B177" s="424"/>
      <c r="C177" s="793" t="str">
        <f>C167</f>
        <v>Actual</v>
      </c>
      <c r="D177" s="793"/>
      <c r="E177" s="790" t="str">
        <f>G167</f>
        <v>Plan</v>
      </c>
      <c r="F177" s="791"/>
      <c r="G177" s="792"/>
    </row>
    <row r="178" spans="1:7" s="27" customFormat="1" ht="12" customHeight="1">
      <c r="A178" s="418" t="s">
        <v>60</v>
      </c>
      <c r="B178" s="56"/>
      <c r="C178" s="56"/>
      <c r="D178" s="56"/>
      <c r="E178" s="431"/>
      <c r="F178" s="56"/>
      <c r="G178" s="57"/>
    </row>
    <row r="179" spans="1:7" s="27" customFormat="1" ht="12" customHeight="1">
      <c r="A179" s="779" t="str">
        <f>A168</f>
        <v>Cost of material ratio</v>
      </c>
      <c r="B179" s="58"/>
      <c r="C179" s="543">
        <f>C168-B168</f>
        <v>7.4074074074073626E-3</v>
      </c>
      <c r="D179" s="543">
        <f t="shared" ref="D179:G179" si="20">D168-C168</f>
        <v>-5.6216931216930832E-3</v>
      </c>
      <c r="E179" s="544">
        <f t="shared" si="20"/>
        <v>-1.1955205811138014E-2</v>
      </c>
      <c r="F179" s="543">
        <f t="shared" si="20"/>
        <v>-1.278132814670746E-2</v>
      </c>
      <c r="G179" s="780">
        <f t="shared" si="20"/>
        <v>-3.9148519696598494E-3</v>
      </c>
    </row>
    <row r="180" spans="1:7" s="27" customFormat="1" ht="12" customHeight="1">
      <c r="A180" s="779" t="str">
        <f t="shared" ref="A180:A182" si="21">A170</f>
        <v>Personnel expenses ratio</v>
      </c>
      <c r="B180" s="58"/>
      <c r="C180" s="543">
        <f t="shared" ref="C180:C182" si="22">C170-B170</f>
        <v>-3.703703703703709E-3</v>
      </c>
      <c r="D180" s="543">
        <f t="shared" ref="D180:G180" si="23">D170-C170</f>
        <v>7.2751322751322678E-3</v>
      </c>
      <c r="E180" s="544">
        <f t="shared" si="23"/>
        <v>1.5133171912833365E-3</v>
      </c>
      <c r="F180" s="543">
        <f t="shared" si="23"/>
        <v>6.3906640733537023E-3</v>
      </c>
      <c r="G180" s="780">
        <f t="shared" si="23"/>
        <v>-1.2967947149498449E-2</v>
      </c>
    </row>
    <row r="181" spans="1:7" s="27" customFormat="1" ht="12" customHeight="1">
      <c r="A181" s="779" t="str">
        <f t="shared" si="21"/>
        <v>Other operating result ratio</v>
      </c>
      <c r="B181" s="58"/>
      <c r="C181" s="543">
        <f t="shared" si="22"/>
        <v>-4.4444444444444453E-3</v>
      </c>
      <c r="D181" s="543">
        <f t="shared" ref="D181:G181" si="24">D171-C171</f>
        <v>-1.984126984126984E-3</v>
      </c>
      <c r="E181" s="544">
        <f t="shared" si="24"/>
        <v>-2.7239709443099211E-3</v>
      </c>
      <c r="F181" s="543">
        <f t="shared" si="24"/>
        <v>-1.6671297582661893E-3</v>
      </c>
      <c r="G181" s="780">
        <f t="shared" si="24"/>
        <v>1.0521164668460974E-2</v>
      </c>
    </row>
    <row r="182" spans="1:7" s="27" customFormat="1" ht="12" customHeight="1">
      <c r="A182" s="779" t="str">
        <f t="shared" si="21"/>
        <v>Depreciation ratio</v>
      </c>
      <c r="B182" s="58"/>
      <c r="C182" s="543">
        <f t="shared" si="22"/>
        <v>-7.4074074074074181E-3</v>
      </c>
      <c r="D182" s="543">
        <f t="shared" ref="D182:G182" si="25">D172-C172</f>
        <v>-3.3068783068782998E-3</v>
      </c>
      <c r="E182" s="544">
        <f t="shared" si="25"/>
        <v>-4.5399515738498847E-3</v>
      </c>
      <c r="F182" s="543">
        <f t="shared" si="25"/>
        <v>-2.7785495971103108E-3</v>
      </c>
      <c r="G182" s="780">
        <f t="shared" si="25"/>
        <v>-7.3403474431123078E-3</v>
      </c>
    </row>
    <row r="183" spans="1:7" s="27" customFormat="1" ht="12" customHeight="1" thickBot="1">
      <c r="A183" s="774" t="str">
        <f>A173</f>
        <v>EBIT margin</v>
      </c>
      <c r="B183" s="775"/>
      <c r="C183" s="776">
        <f>C173-B173</f>
        <v>-7.4074074074076401E-4</v>
      </c>
      <c r="D183" s="776">
        <f t="shared" ref="D183:G183" si="26">D173-C173</f>
        <v>-3.3068783068779251E-4</v>
      </c>
      <c r="E183" s="777">
        <f t="shared" si="26"/>
        <v>1.2257869249394648E-2</v>
      </c>
      <c r="F183" s="776">
        <f t="shared" si="26"/>
        <v>7.50208391219781E-3</v>
      </c>
      <c r="G183" s="778">
        <f t="shared" si="26"/>
        <v>3.4744311230731628E-2</v>
      </c>
    </row>
    <row r="184" spans="1:7" s="27" customFormat="1">
      <c r="A184" s="16"/>
      <c r="C184" s="16"/>
      <c r="D184" s="16"/>
      <c r="E184" s="16"/>
      <c r="F184" s="16"/>
      <c r="G184" s="16"/>
    </row>
    <row r="185" spans="1:7" s="27" customFormat="1">
      <c r="A185" s="17"/>
      <c r="C185" s="16"/>
      <c r="D185" s="16"/>
      <c r="E185" s="16"/>
      <c r="F185" s="16"/>
      <c r="G185" s="16"/>
    </row>
    <row r="186" spans="1:7" s="27" customFormat="1" ht="19.5" customHeight="1">
      <c r="A186" s="377" t="s">
        <v>147</v>
      </c>
      <c r="B186" s="377"/>
      <c r="C186" s="377"/>
      <c r="D186" s="377"/>
      <c r="E186" s="377"/>
      <c r="F186" s="377"/>
      <c r="G186" s="377"/>
    </row>
    <row r="187" spans="1:7" s="27" customFormat="1" ht="12" customHeight="1">
      <c r="A187" s="417"/>
      <c r="B187" s="3"/>
      <c r="C187" s="3">
        <f>C166</f>
        <v>2011</v>
      </c>
      <c r="D187" s="3">
        <f t="shared" ref="D187:G187" si="27">D166</f>
        <v>2012</v>
      </c>
      <c r="E187" s="406">
        <f t="shared" si="27"/>
        <v>2013</v>
      </c>
      <c r="F187" s="407">
        <f t="shared" si="27"/>
        <v>2014</v>
      </c>
      <c r="G187" s="440">
        <f t="shared" si="27"/>
        <v>2015</v>
      </c>
    </row>
    <row r="188" spans="1:7" s="27" customFormat="1" ht="12" customHeight="1">
      <c r="A188" s="397" t="str">
        <f>A167</f>
        <v>€m</v>
      </c>
      <c r="B188" s="424"/>
      <c r="C188" s="793" t="str">
        <f>C167</f>
        <v>Actual</v>
      </c>
      <c r="D188" s="793"/>
      <c r="E188" s="790" t="str">
        <f>G167</f>
        <v>Plan</v>
      </c>
      <c r="F188" s="791"/>
      <c r="G188" s="792"/>
    </row>
    <row r="189" spans="1:7" s="27" customFormat="1" ht="12" customHeight="1">
      <c r="A189" s="418" t="s">
        <v>60</v>
      </c>
      <c r="B189" s="56"/>
      <c r="C189" s="56"/>
      <c r="D189" s="56"/>
      <c r="E189" s="431"/>
      <c r="F189" s="56"/>
      <c r="G189" s="57"/>
    </row>
    <row r="190" spans="1:7" s="27" customFormat="1" ht="12" customHeight="1">
      <c r="A190" s="419" t="str">
        <f>A169</f>
        <v>Gross profit margin</v>
      </c>
      <c r="B190" s="56"/>
      <c r="C190" s="425">
        <f>C169-B169</f>
        <v>-7.4074074074074181E-3</v>
      </c>
      <c r="D190" s="425">
        <f t="shared" ref="D190:G190" si="28">D169-C169</f>
        <v>5.6216931216931387E-3</v>
      </c>
      <c r="E190" s="441">
        <f t="shared" si="28"/>
        <v>1.195520581113807E-2</v>
      </c>
      <c r="F190" s="425">
        <f t="shared" si="28"/>
        <v>1.2781328146707405E-2</v>
      </c>
      <c r="G190" s="426">
        <f t="shared" si="28"/>
        <v>3.9148519696599049E-3</v>
      </c>
    </row>
    <row r="191" spans="1:7" s="27" customFormat="1" ht="12" customHeight="1">
      <c r="A191" s="419" t="str">
        <f t="shared" ref="A191:A193" si="29">A170</f>
        <v>Personnel expenses ratio</v>
      </c>
      <c r="B191" s="56"/>
      <c r="C191" s="425">
        <f t="shared" ref="C191:C194" si="30">C170-B170</f>
        <v>-3.703703703703709E-3</v>
      </c>
      <c r="D191" s="425">
        <f t="shared" ref="D191:G191" si="31">D170-C170</f>
        <v>7.2751322751322678E-3</v>
      </c>
      <c r="E191" s="441">
        <f t="shared" si="31"/>
        <v>1.5133171912833365E-3</v>
      </c>
      <c r="F191" s="425">
        <f t="shared" si="31"/>
        <v>6.3906640733537023E-3</v>
      </c>
      <c r="G191" s="426">
        <f t="shared" si="31"/>
        <v>-1.2967947149498449E-2</v>
      </c>
    </row>
    <row r="192" spans="1:7" s="27" customFormat="1" ht="12" customHeight="1">
      <c r="A192" s="419" t="str">
        <f t="shared" si="29"/>
        <v>Other operating result ratio</v>
      </c>
      <c r="B192" s="56"/>
      <c r="C192" s="425">
        <f t="shared" si="30"/>
        <v>-4.4444444444444453E-3</v>
      </c>
      <c r="D192" s="425">
        <f t="shared" ref="D192:G192" si="32">D171-C171</f>
        <v>-1.984126984126984E-3</v>
      </c>
      <c r="E192" s="441">
        <f t="shared" si="32"/>
        <v>-2.7239709443099211E-3</v>
      </c>
      <c r="F192" s="425">
        <f t="shared" si="32"/>
        <v>-1.6671297582661893E-3</v>
      </c>
      <c r="G192" s="426">
        <f t="shared" si="32"/>
        <v>1.0521164668460974E-2</v>
      </c>
    </row>
    <row r="193" spans="1:7" s="27" customFormat="1" ht="12" customHeight="1">
      <c r="A193" s="419" t="str">
        <f t="shared" si="29"/>
        <v>Depreciation ratio</v>
      </c>
      <c r="B193" s="56"/>
      <c r="C193" s="425">
        <f t="shared" si="30"/>
        <v>-7.4074074074074181E-3</v>
      </c>
      <c r="D193" s="425">
        <f t="shared" ref="D193:G193" si="33">D172-C172</f>
        <v>-3.3068783068782998E-3</v>
      </c>
      <c r="E193" s="441">
        <f t="shared" si="33"/>
        <v>-4.5399515738498847E-3</v>
      </c>
      <c r="F193" s="425">
        <f t="shared" si="33"/>
        <v>-2.7785495971103108E-3</v>
      </c>
      <c r="G193" s="426">
        <f t="shared" si="33"/>
        <v>-7.3403474431123078E-3</v>
      </c>
    </row>
    <row r="194" spans="1:7" s="27" customFormat="1" ht="12" customHeight="1" thickBot="1">
      <c r="A194" s="420" t="str">
        <f>A173</f>
        <v>EBIT margin</v>
      </c>
      <c r="B194" s="87"/>
      <c r="C194" s="427">
        <f t="shared" si="30"/>
        <v>-7.4074074074076401E-4</v>
      </c>
      <c r="D194" s="427">
        <f t="shared" ref="D194:G194" si="34">D173-C173</f>
        <v>-3.3068783068779251E-4</v>
      </c>
      <c r="E194" s="442">
        <f t="shared" si="34"/>
        <v>1.2257869249394648E-2</v>
      </c>
      <c r="F194" s="427">
        <f t="shared" si="34"/>
        <v>7.50208391219781E-3</v>
      </c>
      <c r="G194" s="428">
        <f t="shared" si="34"/>
        <v>3.4744311230731628E-2</v>
      </c>
    </row>
    <row r="203" spans="1:7" s="357" customFormat="1" ht="20.25" customHeight="1">
      <c r="A203" s="358" t="s">
        <v>129</v>
      </c>
    </row>
    <row r="204" spans="1:7" s="27" customFormat="1" ht="12" customHeight="1"/>
    <row r="205" spans="1:7" s="76" customFormat="1" ht="12" customHeight="1">
      <c r="A205" s="74" t="s">
        <v>93</v>
      </c>
      <c r="B205" s="75"/>
      <c r="C205" s="75"/>
      <c r="D205" s="75"/>
      <c r="E205" s="75"/>
      <c r="F205" s="75"/>
      <c r="G205" s="75"/>
    </row>
    <row r="206" spans="1:7" s="76" customFormat="1">
      <c r="A206" s="75"/>
      <c r="B206" s="77">
        <f>Input!E42</f>
        <v>2010</v>
      </c>
      <c r="C206" s="77">
        <f>Input!F42</f>
        <v>2011</v>
      </c>
      <c r="D206" s="77">
        <f>Input!G42</f>
        <v>2012</v>
      </c>
      <c r="E206" s="77">
        <f>Input!H42</f>
        <v>2013</v>
      </c>
      <c r="F206" s="77">
        <f>Input!I42</f>
        <v>2014</v>
      </c>
      <c r="G206" s="77">
        <f>Input!J42</f>
        <v>2015</v>
      </c>
    </row>
    <row r="207" spans="1:7" s="76" customFormat="1">
      <c r="A207" s="75" t="str">
        <f>Input!D43</f>
        <v>€m</v>
      </c>
      <c r="B207" s="80" t="str">
        <f>Input!E43</f>
        <v>Actual</v>
      </c>
      <c r="C207" s="80" t="str">
        <f>Input!F43</f>
        <v>Actual</v>
      </c>
      <c r="D207" s="80" t="str">
        <f>Input!G43</f>
        <v>Actual</v>
      </c>
      <c r="E207" s="80" t="str">
        <f>Input!H43</f>
        <v>Plan</v>
      </c>
      <c r="F207" s="80" t="str">
        <f>Input!I43</f>
        <v>Plan</v>
      </c>
      <c r="G207" s="80" t="str">
        <f>Input!J43</f>
        <v>Plan</v>
      </c>
    </row>
    <row r="208" spans="1:7" s="76" customFormat="1" ht="13.5" customHeight="1">
      <c r="A208" s="76" t="str">
        <f>Input!D45</f>
        <v>Sales</v>
      </c>
      <c r="B208" s="78">
        <f>Input!E45</f>
        <v>50</v>
      </c>
      <c r="C208" s="78">
        <f>Input!F45</f>
        <v>54</v>
      </c>
      <c r="D208" s="78">
        <f>Input!G45</f>
        <v>56</v>
      </c>
      <c r="E208" s="78">
        <f>Input!H45</f>
        <v>59</v>
      </c>
      <c r="F208" s="78">
        <f>Input!I45</f>
        <v>61</v>
      </c>
      <c r="G208" s="78">
        <f>Input!J45</f>
        <v>67</v>
      </c>
    </row>
    <row r="209" spans="1:7" s="76" customFormat="1" ht="13.5" customHeight="1">
      <c r="A209" s="76" t="str">
        <f>Input!D46</f>
        <v>Cost of material</v>
      </c>
      <c r="B209" s="78">
        <f>Input!E46</f>
        <v>20</v>
      </c>
      <c r="C209" s="78">
        <f>Input!F46</f>
        <v>22</v>
      </c>
      <c r="D209" s="78">
        <f>Input!G46</f>
        <v>22.5</v>
      </c>
      <c r="E209" s="78">
        <f>Input!H46</f>
        <v>23</v>
      </c>
      <c r="F209" s="78">
        <f>Input!I46</f>
        <v>23</v>
      </c>
      <c r="G209" s="78">
        <f>Input!J46</f>
        <v>25</v>
      </c>
    </row>
    <row r="210" spans="1:7" s="76" customFormat="1" ht="13.5" customHeight="1">
      <c r="A210" s="76" t="str">
        <f>Input!D47</f>
        <v>Cost of material ratio</v>
      </c>
      <c r="B210" s="79">
        <f>Input!E47</f>
        <v>0.4</v>
      </c>
      <c r="C210" s="79">
        <f>Input!F47</f>
        <v>0.40740740740740738</v>
      </c>
      <c r="D210" s="79">
        <f>Input!G47</f>
        <v>0.4017857142857143</v>
      </c>
      <c r="E210" s="79">
        <f>Input!H47</f>
        <v>0.38983050847457629</v>
      </c>
      <c r="F210" s="79">
        <f>Input!I47</f>
        <v>0.37704918032786883</v>
      </c>
      <c r="G210" s="79">
        <f>Input!J47</f>
        <v>0.37313432835820898</v>
      </c>
    </row>
    <row r="211" spans="1:7" s="76" customFormat="1" ht="13.5" customHeight="1">
      <c r="A211" s="76" t="str">
        <f>Input!D48</f>
        <v>Gross profit</v>
      </c>
      <c r="B211" s="78">
        <f>Input!E48</f>
        <v>30</v>
      </c>
      <c r="C211" s="78">
        <f>Input!F48</f>
        <v>32</v>
      </c>
      <c r="D211" s="78">
        <f>Input!G48</f>
        <v>33.5</v>
      </c>
      <c r="E211" s="78">
        <f>Input!H48</f>
        <v>36</v>
      </c>
      <c r="F211" s="78">
        <f>Input!I48</f>
        <v>38</v>
      </c>
      <c r="G211" s="78">
        <f>Input!J48</f>
        <v>42</v>
      </c>
    </row>
    <row r="212" spans="1:7" s="76" customFormat="1" ht="13.5" customHeight="1">
      <c r="A212" s="76" t="str">
        <f>Input!D49</f>
        <v>Gross profit margin</v>
      </c>
      <c r="B212" s="79">
        <f>Input!E49</f>
        <v>0.6</v>
      </c>
      <c r="C212" s="79">
        <f>Input!F49</f>
        <v>0.59259259259259256</v>
      </c>
      <c r="D212" s="79">
        <f>Input!G49</f>
        <v>0.5982142857142857</v>
      </c>
      <c r="E212" s="79">
        <f>Input!H49</f>
        <v>0.61016949152542377</v>
      </c>
      <c r="F212" s="79">
        <f>Input!I49</f>
        <v>0.62295081967213117</v>
      </c>
      <c r="G212" s="79">
        <f>Input!J49</f>
        <v>0.62686567164179108</v>
      </c>
    </row>
    <row r="213" spans="1:7" s="76" customFormat="1" ht="13.5" customHeight="1">
      <c r="A213" s="76" t="str">
        <f>Input!D50</f>
        <v>Personnel expenses</v>
      </c>
      <c r="B213" s="78">
        <f>Input!E50</f>
        <v>15</v>
      </c>
      <c r="C213" s="78">
        <f>Input!F50</f>
        <v>16</v>
      </c>
      <c r="D213" s="78">
        <f>Input!G50</f>
        <v>17</v>
      </c>
      <c r="E213" s="78">
        <f>Input!H50</f>
        <v>18</v>
      </c>
      <c r="F213" s="78">
        <f>Input!I50</f>
        <v>19</v>
      </c>
      <c r="G213" s="78">
        <f>Input!J50</f>
        <v>20</v>
      </c>
    </row>
    <row r="214" spans="1:7" s="76" customFormat="1" ht="13.5" customHeight="1">
      <c r="A214" s="76" t="str">
        <f>Input!D51</f>
        <v>Personnel expenses ratio</v>
      </c>
      <c r="B214" s="79">
        <f>Input!E51</f>
        <v>0.3</v>
      </c>
      <c r="C214" s="79">
        <f>Input!F51</f>
        <v>0.29629629629629628</v>
      </c>
      <c r="D214" s="79">
        <f>Input!G51</f>
        <v>0.30357142857142855</v>
      </c>
      <c r="E214" s="79">
        <f>Input!H51</f>
        <v>0.30508474576271188</v>
      </c>
      <c r="F214" s="79">
        <f>Input!I51</f>
        <v>0.31147540983606559</v>
      </c>
      <c r="G214" s="79">
        <f>Input!J51</f>
        <v>0.29850746268656714</v>
      </c>
    </row>
    <row r="215" spans="1:7" s="76" customFormat="1" ht="13.5" customHeight="1">
      <c r="A215" s="76" t="str">
        <f>Input!D52</f>
        <v>Other operating result</v>
      </c>
      <c r="B215" s="78">
        <f>Input!E52</f>
        <v>3</v>
      </c>
      <c r="C215" s="78">
        <f>Input!F52</f>
        <v>3</v>
      </c>
      <c r="D215" s="78">
        <f>Input!G52</f>
        <v>3</v>
      </c>
      <c r="E215" s="78">
        <f>Input!H52</f>
        <v>3</v>
      </c>
      <c r="F215" s="78">
        <f>Input!I52</f>
        <v>3</v>
      </c>
      <c r="G215" s="78">
        <f>Input!J52</f>
        <v>4</v>
      </c>
    </row>
    <row r="216" spans="1:7" s="76" customFormat="1" ht="13.5" customHeight="1">
      <c r="A216" s="76" t="str">
        <f>Input!D53</f>
        <v>Other operating result ratio</v>
      </c>
      <c r="B216" s="79">
        <f>Input!E53</f>
        <v>0.06</v>
      </c>
      <c r="C216" s="79">
        <f>Input!F53</f>
        <v>5.5555555555555552E-2</v>
      </c>
      <c r="D216" s="79">
        <f>Input!G53</f>
        <v>5.3571428571428568E-2</v>
      </c>
      <c r="E216" s="79">
        <f>Input!H53</f>
        <v>5.0847457627118647E-2</v>
      </c>
      <c r="F216" s="79">
        <f>Input!I53</f>
        <v>4.9180327868852458E-2</v>
      </c>
      <c r="G216" s="79">
        <f>Input!J53</f>
        <v>5.9701492537313432E-2</v>
      </c>
    </row>
    <row r="217" spans="1:7" s="76" customFormat="1" ht="13.5" customHeight="1">
      <c r="A217" s="76" t="str">
        <f>Input!D54</f>
        <v>EBITDA</v>
      </c>
      <c r="B217" s="78">
        <f>Input!E54</f>
        <v>18</v>
      </c>
      <c r="C217" s="78">
        <f>Input!F54</f>
        <v>19</v>
      </c>
      <c r="D217" s="78">
        <f>Input!G54</f>
        <v>19.5</v>
      </c>
      <c r="E217" s="78">
        <f>Input!H54</f>
        <v>21</v>
      </c>
      <c r="F217" s="78">
        <f>Input!I54</f>
        <v>22</v>
      </c>
      <c r="G217" s="78">
        <f>Input!J54</f>
        <v>26</v>
      </c>
    </row>
    <row r="218" spans="1:7" s="76" customFormat="1" ht="13.5" customHeight="1">
      <c r="A218" s="76" t="str">
        <f>Input!D55</f>
        <v>EBITDA margin</v>
      </c>
      <c r="B218" s="79">
        <f>Input!E55</f>
        <v>0.36</v>
      </c>
      <c r="C218" s="79">
        <f>Input!F55</f>
        <v>0.35185185185185186</v>
      </c>
      <c r="D218" s="79">
        <f>Input!G55</f>
        <v>0.3482142857142857</v>
      </c>
      <c r="E218" s="79">
        <f>Input!H55</f>
        <v>0.3559322033898305</v>
      </c>
      <c r="F218" s="79">
        <f>Input!I55</f>
        <v>0.36065573770491804</v>
      </c>
      <c r="G218" s="79">
        <f>Input!J55</f>
        <v>0.38805970149253732</v>
      </c>
    </row>
    <row r="219" spans="1:7" s="76" customFormat="1" ht="13.5" customHeight="1">
      <c r="A219" s="76" t="str">
        <f>Input!D56</f>
        <v>Depreciation</v>
      </c>
      <c r="B219" s="78">
        <f>Input!E56</f>
        <v>5</v>
      </c>
      <c r="C219" s="78">
        <f>Input!F56</f>
        <v>5</v>
      </c>
      <c r="D219" s="78">
        <f>Input!G56</f>
        <v>5</v>
      </c>
      <c r="E219" s="78">
        <f>Input!H56</f>
        <v>5</v>
      </c>
      <c r="F219" s="78">
        <f>Input!I56</f>
        <v>5</v>
      </c>
      <c r="G219" s="78">
        <f>Input!J56</f>
        <v>5</v>
      </c>
    </row>
    <row r="220" spans="1:7" s="76" customFormat="1" ht="13.5" customHeight="1">
      <c r="A220" s="76" t="str">
        <f>Input!D57</f>
        <v>Depreciation ratio</v>
      </c>
      <c r="B220" s="79">
        <f>Input!E57</f>
        <v>0.1</v>
      </c>
      <c r="C220" s="79">
        <f>Input!F57</f>
        <v>9.2592592592592587E-2</v>
      </c>
      <c r="D220" s="79">
        <f>Input!G57</f>
        <v>8.9285714285714288E-2</v>
      </c>
      <c r="E220" s="79">
        <f>Input!H57</f>
        <v>8.4745762711864403E-2</v>
      </c>
      <c r="F220" s="79">
        <f>Input!I57</f>
        <v>8.1967213114754092E-2</v>
      </c>
      <c r="G220" s="79">
        <f>Input!J57</f>
        <v>7.4626865671641784E-2</v>
      </c>
    </row>
    <row r="221" spans="1:7" s="76" customFormat="1" ht="13.5" customHeight="1">
      <c r="A221" s="76" t="str">
        <f>Input!D58</f>
        <v>EBIT</v>
      </c>
      <c r="B221" s="78">
        <f>Input!E58</f>
        <v>13</v>
      </c>
      <c r="C221" s="78">
        <f>Input!F58</f>
        <v>14</v>
      </c>
      <c r="D221" s="78">
        <f>Input!G58</f>
        <v>14.5</v>
      </c>
      <c r="E221" s="78">
        <f>Input!H58</f>
        <v>16</v>
      </c>
      <c r="F221" s="78">
        <f>Input!I58</f>
        <v>17</v>
      </c>
      <c r="G221" s="78">
        <f>Input!J58</f>
        <v>21</v>
      </c>
    </row>
    <row r="222" spans="1:7" s="76" customFormat="1" ht="13.5" customHeight="1">
      <c r="A222" s="76" t="str">
        <f>Input!D59</f>
        <v>EBIT margin</v>
      </c>
      <c r="B222" s="79">
        <f>Input!E59</f>
        <v>0.26</v>
      </c>
      <c r="C222" s="79">
        <f>Input!F59</f>
        <v>0.25925925925925924</v>
      </c>
      <c r="D222" s="79">
        <f>Input!G59</f>
        <v>0.25892857142857145</v>
      </c>
      <c r="E222" s="79">
        <f>Input!H59</f>
        <v>0.2711864406779661</v>
      </c>
      <c r="F222" s="79">
        <f>Input!I59</f>
        <v>0.27868852459016391</v>
      </c>
      <c r="G222" s="79">
        <f>Input!J59</f>
        <v>0.31343283582089554</v>
      </c>
    </row>
    <row r="223" spans="1:7" s="76" customFormat="1" ht="13.5" customHeight="1">
      <c r="B223" s="79"/>
      <c r="C223" s="79"/>
      <c r="D223" s="79"/>
      <c r="E223" s="79"/>
      <c r="F223" s="79"/>
      <c r="G223" s="79"/>
    </row>
    <row r="224" spans="1:7" s="76" customFormat="1" ht="13.5" customHeight="1">
      <c r="B224" s="78"/>
      <c r="C224" s="78"/>
      <c r="D224" s="78"/>
      <c r="E224" s="78"/>
      <c r="F224" s="78"/>
      <c r="G224" s="78"/>
    </row>
    <row r="225" spans="2:7" s="76" customFormat="1" ht="13.5" customHeight="1">
      <c r="B225" s="79"/>
      <c r="C225" s="79"/>
      <c r="D225" s="79"/>
      <c r="E225" s="79"/>
      <c r="F225" s="79"/>
      <c r="G225" s="79"/>
    </row>
    <row r="226" spans="2:7" s="76" customFormat="1" ht="13.5" customHeight="1">
      <c r="B226" s="78"/>
      <c r="C226" s="78"/>
      <c r="D226" s="78"/>
      <c r="E226" s="78"/>
      <c r="F226" s="78"/>
      <c r="G226" s="78"/>
    </row>
    <row r="227" spans="2:7" s="76" customFormat="1" ht="13.5" customHeight="1">
      <c r="B227" s="79"/>
      <c r="C227" s="79"/>
      <c r="D227" s="79"/>
      <c r="E227" s="79"/>
      <c r="F227" s="79"/>
      <c r="G227" s="79"/>
    </row>
    <row r="228" spans="2:7" s="76" customFormat="1"/>
    <row r="229" spans="2:7" s="76" customFormat="1"/>
    <row r="230" spans="2:7" s="76" customFormat="1"/>
    <row r="231" spans="2:7" s="76" customFormat="1"/>
    <row r="232" spans="2:7" s="27" customFormat="1"/>
    <row r="233" spans="2:7" s="27" customFormat="1"/>
    <row r="234" spans="2:7" s="27" customFormat="1"/>
    <row r="235" spans="2:7" s="27" customFormat="1"/>
    <row r="236" spans="2:7" s="27" customFormat="1"/>
    <row r="237" spans="2:7" s="27" customFormat="1"/>
    <row r="238" spans="2:7" s="27" customFormat="1"/>
    <row r="239" spans="2:7" s="27" customFormat="1"/>
  </sheetData>
  <mergeCells count="8">
    <mergeCell ref="E188:G188"/>
    <mergeCell ref="C188:D188"/>
    <mergeCell ref="C117:D117"/>
    <mergeCell ref="E117:G117"/>
    <mergeCell ref="C129:D129"/>
    <mergeCell ref="E129:G129"/>
    <mergeCell ref="E177:G177"/>
    <mergeCell ref="C177:D177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2"/>
  <dimension ref="A1:G88"/>
  <sheetViews>
    <sheetView topLeftCell="A48" zoomScaleNormal="100" workbookViewId="0">
      <selection activeCell="A71" sqref="A71:G88"/>
    </sheetView>
  </sheetViews>
  <sheetFormatPr defaultColWidth="11.5" defaultRowHeight="11.25"/>
  <cols>
    <col min="1" max="1" width="32.5" style="27" customWidth="1"/>
    <col min="2" max="7" width="9.83203125" style="27" customWidth="1"/>
    <col min="8" max="14" width="7" style="27" customWidth="1"/>
    <col min="15" max="15" width="6.33203125" style="27" customWidth="1"/>
    <col min="16" max="16" width="11.5" style="27"/>
    <col min="17" max="17" width="29" style="27" customWidth="1"/>
    <col min="18" max="23" width="7.6640625" style="27" customWidth="1"/>
    <col min="24" max="16384" width="11.5" style="27"/>
  </cols>
  <sheetData>
    <row r="1" spans="1:7" ht="20.25" customHeight="1">
      <c r="A1" s="46" t="s">
        <v>109</v>
      </c>
    </row>
    <row r="2" spans="1:7" ht="20.25" customHeight="1">
      <c r="A2" s="48" t="s">
        <v>196</v>
      </c>
    </row>
    <row r="3" spans="1:7" ht="20.25" customHeight="1">
      <c r="A3" s="48" t="s">
        <v>202</v>
      </c>
    </row>
    <row r="4" spans="1:7" ht="20.25" customHeight="1">
      <c r="A4" s="48"/>
    </row>
    <row r="5" spans="1:7" ht="20.25" customHeight="1">
      <c r="A5" s="48"/>
    </row>
    <row r="6" spans="1:7" ht="20.25" customHeight="1">
      <c r="A6" s="48"/>
    </row>
    <row r="7" spans="1:7" ht="20.25" customHeight="1">
      <c r="A7" s="48"/>
    </row>
    <row r="8" spans="1:7" ht="20.25" customHeight="1">
      <c r="A8" s="48"/>
    </row>
    <row r="9" spans="1:7" ht="20.25" customHeight="1">
      <c r="A9" s="48"/>
    </row>
    <row r="10" spans="1:7" ht="20.25" customHeight="1">
      <c r="A10" s="48"/>
    </row>
    <row r="11" spans="1:7" ht="20.25" customHeight="1">
      <c r="A11" s="48"/>
    </row>
    <row r="12" spans="1:7" s="357" customFormat="1" ht="20.25" customHeight="1">
      <c r="A12" s="358" t="s">
        <v>158</v>
      </c>
    </row>
    <row r="13" spans="1:7" ht="12" customHeight="1"/>
    <row r="14" spans="1:7" ht="12" customHeight="1">
      <c r="A14" s="9" t="s">
        <v>93</v>
      </c>
      <c r="B14" s="16"/>
      <c r="C14" s="16"/>
      <c r="D14" s="16"/>
      <c r="E14" s="16"/>
      <c r="F14" s="16"/>
      <c r="G14" s="16"/>
    </row>
    <row r="15" spans="1:7" ht="12" customHeight="1">
      <c r="A15" s="2" t="str">
        <f>Input!E3</f>
        <v>XXX AG</v>
      </c>
      <c r="B15" s="16"/>
      <c r="C15" s="16"/>
      <c r="D15" s="16"/>
      <c r="E15" s="16"/>
      <c r="F15" s="16"/>
      <c r="G15" s="16"/>
    </row>
    <row r="16" spans="1:7" ht="12" customHeight="1">
      <c r="A16" s="16"/>
      <c r="B16" s="28">
        <f>Input!E12</f>
        <v>2010</v>
      </c>
      <c r="C16" s="28">
        <f>Input!F12</f>
        <v>2011</v>
      </c>
      <c r="D16" s="28">
        <f>Input!G12</f>
        <v>2012</v>
      </c>
      <c r="E16" s="28">
        <f>Input!H12</f>
        <v>2013</v>
      </c>
      <c r="F16" s="28">
        <f>Input!I12</f>
        <v>2014</v>
      </c>
      <c r="G16" s="28">
        <f>Input!J12</f>
        <v>2015</v>
      </c>
    </row>
    <row r="17" spans="1:7" ht="12" customHeight="1">
      <c r="A17" s="16" t="str">
        <f>Input!D13</f>
        <v>€m</v>
      </c>
      <c r="B17" s="28" t="str">
        <f>Input!E13</f>
        <v>Actual</v>
      </c>
      <c r="C17" s="28" t="str">
        <f>Input!F13</f>
        <v>Actual</v>
      </c>
      <c r="D17" s="28" t="str">
        <f>Input!G13</f>
        <v>Actual</v>
      </c>
      <c r="E17" s="28" t="str">
        <f>Input!H13</f>
        <v>Plan</v>
      </c>
      <c r="F17" s="28" t="str">
        <f>Input!I13</f>
        <v>Plan</v>
      </c>
      <c r="G17" s="28" t="str">
        <f>Input!J13</f>
        <v>Plan</v>
      </c>
    </row>
    <row r="18" spans="1:7" ht="12" customHeight="1">
      <c r="A18" s="16" t="str">
        <f>Input!D70</f>
        <v>Sales</v>
      </c>
      <c r="B18" s="33">
        <f>Input!E70</f>
        <v>50</v>
      </c>
      <c r="C18" s="33">
        <f>Input!F70</f>
        <v>54</v>
      </c>
      <c r="D18" s="33">
        <f>Input!G70</f>
        <v>56</v>
      </c>
      <c r="E18" s="33">
        <f>Input!H70</f>
        <v>59</v>
      </c>
      <c r="F18" s="33">
        <f>Input!I70</f>
        <v>61</v>
      </c>
      <c r="G18" s="33">
        <f>Input!J70</f>
        <v>67</v>
      </c>
    </row>
    <row r="19" spans="1:7" ht="12" customHeight="1">
      <c r="A19" s="16" t="str">
        <f>Input!D16</f>
        <v>Cost of goods sold</v>
      </c>
      <c r="B19" s="33">
        <f>Input!E16</f>
        <v>25</v>
      </c>
      <c r="C19" s="33">
        <f>Input!F16</f>
        <v>27</v>
      </c>
      <c r="D19" s="33">
        <f>Input!G16</f>
        <v>28</v>
      </c>
      <c r="E19" s="33">
        <f>Input!H16</f>
        <v>29</v>
      </c>
      <c r="F19" s="33">
        <f>Input!I16</f>
        <v>29.5</v>
      </c>
      <c r="G19" s="33">
        <f>Input!J16</f>
        <v>31.5</v>
      </c>
    </row>
    <row r="20" spans="1:7" ht="12" customHeight="1">
      <c r="A20" s="16" t="str">
        <f>Input!D20</f>
        <v>Research and development costs</v>
      </c>
      <c r="B20" s="33">
        <f>Input!E20</f>
        <v>0</v>
      </c>
      <c r="C20" s="33">
        <f>Input!F20</f>
        <v>0</v>
      </c>
      <c r="D20" s="33">
        <f>Input!G20</f>
        <v>0</v>
      </c>
      <c r="E20" s="33">
        <f>Input!H20</f>
        <v>0</v>
      </c>
      <c r="F20" s="33">
        <f>Input!I20</f>
        <v>0</v>
      </c>
      <c r="G20" s="33">
        <f>Input!J20</f>
        <v>0</v>
      </c>
    </row>
    <row r="21" spans="1:7" ht="12" customHeight="1">
      <c r="A21" s="16" t="str">
        <f>Input!D22</f>
        <v>Selling expenses</v>
      </c>
      <c r="B21" s="33">
        <f>Input!E22</f>
        <v>7</v>
      </c>
      <c r="C21" s="33">
        <f>Input!F22</f>
        <v>8</v>
      </c>
      <c r="D21" s="33">
        <f>Input!G22</f>
        <v>8.5</v>
      </c>
      <c r="E21" s="33">
        <f>Input!H22</f>
        <v>9</v>
      </c>
      <c r="F21" s="33">
        <f>Input!I22</f>
        <v>9.5</v>
      </c>
      <c r="G21" s="33">
        <f>Input!J22</f>
        <v>10.5</v>
      </c>
    </row>
    <row r="22" spans="1:7" ht="12" customHeight="1">
      <c r="A22" s="16" t="str">
        <f>Input!D24</f>
        <v>General &amp; administrative expenses</v>
      </c>
      <c r="B22" s="33">
        <f>Input!E24</f>
        <v>3</v>
      </c>
      <c r="C22" s="33">
        <f>Input!F24</f>
        <v>3</v>
      </c>
      <c r="D22" s="33">
        <f>Input!G24</f>
        <v>3</v>
      </c>
      <c r="E22" s="33">
        <f>Input!H24</f>
        <v>3</v>
      </c>
      <c r="F22" s="33">
        <f>Input!I24</f>
        <v>3</v>
      </c>
      <c r="G22" s="33">
        <f>Input!J24</f>
        <v>4</v>
      </c>
    </row>
    <row r="23" spans="1:7" ht="12" customHeight="1">
      <c r="A23" s="16" t="str">
        <f>Input!D26</f>
        <v>Other operating result</v>
      </c>
      <c r="B23" s="33">
        <f>Input!E26</f>
        <v>-8</v>
      </c>
      <c r="C23" s="33">
        <f>Input!F26</f>
        <v>-8</v>
      </c>
      <c r="D23" s="33">
        <f>Input!G26</f>
        <v>-8</v>
      </c>
      <c r="E23" s="33">
        <f>Input!H26</f>
        <v>-8</v>
      </c>
      <c r="F23" s="33">
        <f>Input!I26</f>
        <v>-8</v>
      </c>
      <c r="G23" s="33">
        <f>Input!J26</f>
        <v>-8</v>
      </c>
    </row>
    <row r="24" spans="1:7" ht="12" customHeight="1">
      <c r="A24" s="16" t="s">
        <v>78</v>
      </c>
      <c r="B24" s="33">
        <f>Input!E75</f>
        <v>5</v>
      </c>
      <c r="C24" s="33">
        <f>Input!F75</f>
        <v>5</v>
      </c>
      <c r="D24" s="33">
        <f>Input!G75</f>
        <v>5</v>
      </c>
      <c r="E24" s="33">
        <f>Input!H75</f>
        <v>5</v>
      </c>
      <c r="F24" s="33">
        <f>Input!I75</f>
        <v>5</v>
      </c>
      <c r="G24" s="33">
        <f>Input!J75</f>
        <v>5</v>
      </c>
    </row>
    <row r="25" spans="1:7" ht="12" customHeight="1">
      <c r="A25" s="16" t="str">
        <f>Input!D36</f>
        <v>Financial result</v>
      </c>
      <c r="B25" s="33">
        <f>Input!E36</f>
        <v>1</v>
      </c>
      <c r="C25" s="33">
        <f>Input!F36</f>
        <v>1.2</v>
      </c>
      <c r="D25" s="33">
        <f>Input!G36</f>
        <v>1.2</v>
      </c>
      <c r="E25" s="33">
        <f>Input!H36</f>
        <v>1.3</v>
      </c>
      <c r="F25" s="33">
        <f>Input!I36</f>
        <v>1.2</v>
      </c>
      <c r="G25" s="33">
        <f>Input!J36</f>
        <v>1.3</v>
      </c>
    </row>
    <row r="26" spans="1:7" ht="12" customHeight="1">
      <c r="A26" s="16" t="str">
        <f>Input!D37</f>
        <v>Taxes</v>
      </c>
      <c r="B26" s="33">
        <f>Input!E37</f>
        <v>6.6</v>
      </c>
      <c r="C26" s="33">
        <f>Input!F37</f>
        <v>6.84</v>
      </c>
      <c r="D26" s="33">
        <f>Input!G37</f>
        <v>6.99</v>
      </c>
      <c r="E26" s="33">
        <f>Input!H37</f>
        <v>7.4099999999999993</v>
      </c>
      <c r="F26" s="33">
        <f>Input!I37</f>
        <v>7.74</v>
      </c>
      <c r="G26" s="33">
        <f>Input!J37</f>
        <v>8.3099999999999987</v>
      </c>
    </row>
    <row r="27" spans="1:7" ht="12" customHeight="1">
      <c r="A27" s="16"/>
      <c r="B27" s="33"/>
      <c r="C27" s="33"/>
      <c r="D27" s="33"/>
      <c r="E27" s="33"/>
      <c r="F27" s="33"/>
      <c r="G27" s="33"/>
    </row>
    <row r="28" spans="1:7" ht="12" customHeight="1">
      <c r="A28" s="16"/>
      <c r="B28" s="33"/>
      <c r="C28" s="33"/>
      <c r="D28" s="33"/>
      <c r="E28" s="33"/>
      <c r="F28" s="33"/>
      <c r="G28" s="33"/>
    </row>
    <row r="29" spans="1:7" ht="14.25">
      <c r="A29" s="1"/>
      <c r="B29" s="2"/>
      <c r="C29" s="2"/>
      <c r="D29" s="2"/>
      <c r="E29" s="2"/>
      <c r="F29" s="2"/>
      <c r="G29" s="2"/>
    </row>
    <row r="30" spans="1:7" ht="19.5" customHeight="1">
      <c r="A30" s="383" t="str">
        <f>CONCATENATE("Profit and Loss Statement ",A15)</f>
        <v>Profit and Loss Statement XXX AG</v>
      </c>
      <c r="B30" s="383"/>
      <c r="C30" s="383"/>
      <c r="D30" s="383"/>
      <c r="E30" s="383"/>
      <c r="F30" s="383"/>
      <c r="G30" s="383"/>
    </row>
    <row r="31" spans="1:7" ht="12" customHeight="1">
      <c r="A31" s="417"/>
      <c r="B31" s="3">
        <f>B16</f>
        <v>2010</v>
      </c>
      <c r="C31" s="3">
        <f t="shared" ref="C31:G31" si="0">C16</f>
        <v>2011</v>
      </c>
      <c r="D31" s="3">
        <f t="shared" si="0"/>
        <v>2012</v>
      </c>
      <c r="E31" s="406">
        <f t="shared" si="0"/>
        <v>2013</v>
      </c>
      <c r="F31" s="435">
        <f t="shared" si="0"/>
        <v>2014</v>
      </c>
      <c r="G31" s="463">
        <f t="shared" si="0"/>
        <v>2015</v>
      </c>
    </row>
    <row r="32" spans="1:7" ht="12" customHeight="1">
      <c r="A32" s="397" t="str">
        <f>A17</f>
        <v>€m</v>
      </c>
      <c r="B32" s="424"/>
      <c r="C32" s="424" t="str">
        <f>C17</f>
        <v>Actual</v>
      </c>
      <c r="D32" s="424"/>
      <c r="E32" s="437"/>
      <c r="F32" s="438" t="str">
        <f>F17</f>
        <v>Plan</v>
      </c>
      <c r="G32" s="464"/>
    </row>
    <row r="33" spans="1:7" s="9" customFormat="1" ht="12" customHeight="1">
      <c r="A33" s="418" t="str">
        <f>A18</f>
        <v>Sales</v>
      </c>
      <c r="B33" s="59">
        <f t="shared" ref="B33:G33" si="1">B18</f>
        <v>50</v>
      </c>
      <c r="C33" s="59">
        <f t="shared" si="1"/>
        <v>54</v>
      </c>
      <c r="D33" s="59">
        <f t="shared" si="1"/>
        <v>56</v>
      </c>
      <c r="E33" s="433">
        <f t="shared" si="1"/>
        <v>59</v>
      </c>
      <c r="F33" s="59">
        <f t="shared" si="1"/>
        <v>61</v>
      </c>
      <c r="G33" s="451">
        <f t="shared" si="1"/>
        <v>67</v>
      </c>
    </row>
    <row r="34" spans="1:7" ht="12" customHeight="1">
      <c r="A34" s="422" t="s">
        <v>417</v>
      </c>
      <c r="B34" s="61"/>
      <c r="C34" s="61">
        <f>C33/B33-1</f>
        <v>8.0000000000000071E-2</v>
      </c>
      <c r="D34" s="61">
        <f>D33/C33-1</f>
        <v>3.7037037037036979E-2</v>
      </c>
      <c r="E34" s="432">
        <f>E33/D33-1</f>
        <v>5.3571428571428603E-2</v>
      </c>
      <c r="F34" s="61">
        <f>F33/E33-1</f>
        <v>3.3898305084745672E-2</v>
      </c>
      <c r="G34" s="452">
        <f>G33/F33-1</f>
        <v>9.8360655737705027E-2</v>
      </c>
    </row>
    <row r="35" spans="1:7" ht="12" customHeight="1">
      <c r="A35" s="421" t="str">
        <f>A19</f>
        <v>Cost of goods sold</v>
      </c>
      <c r="B35" s="56">
        <f t="shared" ref="B35:G35" si="2">B19</f>
        <v>25</v>
      </c>
      <c r="C35" s="56">
        <f t="shared" si="2"/>
        <v>27</v>
      </c>
      <c r="D35" s="56">
        <f t="shared" si="2"/>
        <v>28</v>
      </c>
      <c r="E35" s="431">
        <f t="shared" si="2"/>
        <v>29</v>
      </c>
      <c r="F35" s="56">
        <f t="shared" si="2"/>
        <v>29.5</v>
      </c>
      <c r="G35" s="453">
        <f t="shared" si="2"/>
        <v>31.5</v>
      </c>
    </row>
    <row r="36" spans="1:7" s="9" customFormat="1" ht="12" customHeight="1">
      <c r="A36" s="448" t="str">
        <f>Input!D71</f>
        <v>Gross profit</v>
      </c>
      <c r="B36" s="72">
        <f t="shared" ref="B36:G36" si="3">B33-B35</f>
        <v>25</v>
      </c>
      <c r="C36" s="72">
        <f t="shared" si="3"/>
        <v>27</v>
      </c>
      <c r="D36" s="72">
        <f t="shared" si="3"/>
        <v>28</v>
      </c>
      <c r="E36" s="459">
        <f t="shared" si="3"/>
        <v>30</v>
      </c>
      <c r="F36" s="72">
        <f t="shared" si="3"/>
        <v>31.5</v>
      </c>
      <c r="G36" s="454">
        <f t="shared" si="3"/>
        <v>35.5</v>
      </c>
    </row>
    <row r="37" spans="1:7" ht="12" customHeight="1">
      <c r="A37" s="422" t="s">
        <v>49</v>
      </c>
      <c r="B37" s="61">
        <f t="shared" ref="B37:G37" si="4">B36/B33</f>
        <v>0.5</v>
      </c>
      <c r="C37" s="61">
        <f t="shared" si="4"/>
        <v>0.5</v>
      </c>
      <c r="D37" s="61">
        <f t="shared" si="4"/>
        <v>0.5</v>
      </c>
      <c r="E37" s="432">
        <f t="shared" si="4"/>
        <v>0.50847457627118642</v>
      </c>
      <c r="F37" s="61">
        <f t="shared" si="4"/>
        <v>0.51639344262295084</v>
      </c>
      <c r="G37" s="452">
        <f t="shared" si="4"/>
        <v>0.52985074626865669</v>
      </c>
    </row>
    <row r="38" spans="1:7" ht="12" customHeight="1">
      <c r="A38" s="421" t="str">
        <f>A20</f>
        <v>Research and development costs</v>
      </c>
      <c r="B38" s="56">
        <f t="shared" ref="B38:G38" si="5">B20</f>
        <v>0</v>
      </c>
      <c r="C38" s="56">
        <f t="shared" si="5"/>
        <v>0</v>
      </c>
      <c r="D38" s="56">
        <f t="shared" si="5"/>
        <v>0</v>
      </c>
      <c r="E38" s="431">
        <f t="shared" si="5"/>
        <v>0</v>
      </c>
      <c r="F38" s="56">
        <f t="shared" si="5"/>
        <v>0</v>
      </c>
      <c r="G38" s="453">
        <f t="shared" si="5"/>
        <v>0</v>
      </c>
    </row>
    <row r="39" spans="1:7" ht="12" customHeight="1">
      <c r="A39" s="421" t="str">
        <f>A21</f>
        <v>Selling expenses</v>
      </c>
      <c r="B39" s="444">
        <f t="shared" ref="B39:G39" si="6">B21</f>
        <v>7</v>
      </c>
      <c r="C39" s="444">
        <f t="shared" si="6"/>
        <v>8</v>
      </c>
      <c r="D39" s="444">
        <f t="shared" si="6"/>
        <v>8.5</v>
      </c>
      <c r="E39" s="460">
        <f t="shared" si="6"/>
        <v>9</v>
      </c>
      <c r="F39" s="444">
        <f t="shared" si="6"/>
        <v>9.5</v>
      </c>
      <c r="G39" s="455">
        <f t="shared" si="6"/>
        <v>10.5</v>
      </c>
    </row>
    <row r="40" spans="1:7" ht="12" customHeight="1">
      <c r="A40" s="421" t="str">
        <f>A22</f>
        <v>General &amp; administrative expenses</v>
      </c>
      <c r="B40" s="444">
        <f t="shared" ref="B40:G40" si="7">B22</f>
        <v>3</v>
      </c>
      <c r="C40" s="444">
        <f t="shared" si="7"/>
        <v>3</v>
      </c>
      <c r="D40" s="444">
        <f t="shared" si="7"/>
        <v>3</v>
      </c>
      <c r="E40" s="460">
        <f t="shared" si="7"/>
        <v>3</v>
      </c>
      <c r="F40" s="444">
        <f t="shared" si="7"/>
        <v>3</v>
      </c>
      <c r="G40" s="455">
        <f t="shared" si="7"/>
        <v>4</v>
      </c>
    </row>
    <row r="41" spans="1:7" ht="12" customHeight="1">
      <c r="A41" s="421" t="str">
        <f>A23</f>
        <v>Other operating result</v>
      </c>
      <c r="B41" s="444">
        <f t="shared" ref="B41:G41" si="8">B23</f>
        <v>-8</v>
      </c>
      <c r="C41" s="444">
        <f t="shared" si="8"/>
        <v>-8</v>
      </c>
      <c r="D41" s="444">
        <f t="shared" si="8"/>
        <v>-8</v>
      </c>
      <c r="E41" s="460">
        <f t="shared" si="8"/>
        <v>-8</v>
      </c>
      <c r="F41" s="444">
        <f t="shared" si="8"/>
        <v>-8</v>
      </c>
      <c r="G41" s="455">
        <f t="shared" si="8"/>
        <v>-8</v>
      </c>
    </row>
    <row r="42" spans="1:7" s="9" customFormat="1" ht="12" customHeight="1">
      <c r="A42" s="448" t="str">
        <f>Input!D77</f>
        <v>EBIT</v>
      </c>
      <c r="B42" s="445">
        <f t="shared" ref="B42:G42" si="9">B36-B38-B39-B40+B41</f>
        <v>7</v>
      </c>
      <c r="C42" s="445">
        <f t="shared" si="9"/>
        <v>8</v>
      </c>
      <c r="D42" s="445">
        <f t="shared" si="9"/>
        <v>8.5</v>
      </c>
      <c r="E42" s="461">
        <f t="shared" si="9"/>
        <v>10</v>
      </c>
      <c r="F42" s="445">
        <f t="shared" si="9"/>
        <v>11</v>
      </c>
      <c r="G42" s="456">
        <f t="shared" si="9"/>
        <v>13</v>
      </c>
    </row>
    <row r="43" spans="1:7" ht="12" customHeight="1">
      <c r="A43" s="422" t="s">
        <v>45</v>
      </c>
      <c r="B43" s="467">
        <f t="shared" ref="B43:G43" si="10">B42/B33</f>
        <v>0.14000000000000001</v>
      </c>
      <c r="C43" s="467">
        <f t="shared" si="10"/>
        <v>0.14814814814814814</v>
      </c>
      <c r="D43" s="467">
        <f t="shared" si="10"/>
        <v>0.15178571428571427</v>
      </c>
      <c r="E43" s="468">
        <f t="shared" si="10"/>
        <v>0.16949152542372881</v>
      </c>
      <c r="F43" s="467">
        <f t="shared" si="10"/>
        <v>0.18032786885245902</v>
      </c>
      <c r="G43" s="469">
        <f t="shared" si="10"/>
        <v>0.19402985074626866</v>
      </c>
    </row>
    <row r="44" spans="1:7" ht="12" customHeight="1">
      <c r="A44" s="421" t="str">
        <f>A25</f>
        <v>Financial result</v>
      </c>
      <c r="B44" s="444">
        <f t="shared" ref="B44:G44" si="11">B25</f>
        <v>1</v>
      </c>
      <c r="C44" s="444">
        <f t="shared" si="11"/>
        <v>1.2</v>
      </c>
      <c r="D44" s="444">
        <f t="shared" si="11"/>
        <v>1.2</v>
      </c>
      <c r="E44" s="460">
        <f t="shared" si="11"/>
        <v>1.3</v>
      </c>
      <c r="F44" s="444">
        <f t="shared" si="11"/>
        <v>1.2</v>
      </c>
      <c r="G44" s="455">
        <f t="shared" si="11"/>
        <v>1.3</v>
      </c>
    </row>
    <row r="45" spans="1:7" ht="12" customHeight="1">
      <c r="A45" s="421" t="str">
        <f>A26</f>
        <v>Taxes</v>
      </c>
      <c r="B45" s="444">
        <f t="shared" ref="B45:G45" si="12">B26</f>
        <v>6.6</v>
      </c>
      <c r="C45" s="444">
        <f t="shared" si="12"/>
        <v>6.84</v>
      </c>
      <c r="D45" s="444">
        <f t="shared" si="12"/>
        <v>6.99</v>
      </c>
      <c r="E45" s="460">
        <f t="shared" si="12"/>
        <v>7.4099999999999993</v>
      </c>
      <c r="F45" s="444">
        <f t="shared" si="12"/>
        <v>7.74</v>
      </c>
      <c r="G45" s="455">
        <f t="shared" si="12"/>
        <v>8.3099999999999987</v>
      </c>
    </row>
    <row r="46" spans="1:7" s="9" customFormat="1" ht="12" customHeight="1" thickBot="1">
      <c r="A46" s="449" t="s">
        <v>587</v>
      </c>
      <c r="B46" s="446">
        <f>B42+B44-B45</f>
        <v>1.4000000000000004</v>
      </c>
      <c r="C46" s="446">
        <f t="shared" ref="C46:G46" si="13">C42+C44-C45</f>
        <v>2.3599999999999994</v>
      </c>
      <c r="D46" s="446">
        <f t="shared" si="13"/>
        <v>2.7099999999999991</v>
      </c>
      <c r="E46" s="462">
        <f t="shared" si="13"/>
        <v>3.8900000000000015</v>
      </c>
      <c r="F46" s="446">
        <f t="shared" si="13"/>
        <v>4.4599999999999991</v>
      </c>
      <c r="G46" s="457">
        <f t="shared" si="13"/>
        <v>5.990000000000002</v>
      </c>
    </row>
    <row r="47" spans="1:7" ht="12" customHeight="1" thickTop="1">
      <c r="A47" s="422" t="s">
        <v>94</v>
      </c>
      <c r="B47" s="56"/>
      <c r="C47" s="56"/>
      <c r="D47" s="56"/>
      <c r="E47" s="431"/>
      <c r="F47" s="56"/>
      <c r="G47" s="453"/>
    </row>
    <row r="48" spans="1:7" ht="12" customHeight="1">
      <c r="A48" s="421" t="str">
        <f>CONCATENATE(A24," (in costs by function)")</f>
        <v>Depreciation (in costs by function)</v>
      </c>
      <c r="B48" s="56">
        <f t="shared" ref="B48:G48" si="14">B24</f>
        <v>5</v>
      </c>
      <c r="C48" s="56">
        <f t="shared" si="14"/>
        <v>5</v>
      </c>
      <c r="D48" s="56">
        <f t="shared" si="14"/>
        <v>5</v>
      </c>
      <c r="E48" s="431">
        <f t="shared" si="14"/>
        <v>5</v>
      </c>
      <c r="F48" s="56">
        <f t="shared" si="14"/>
        <v>5</v>
      </c>
      <c r="G48" s="453">
        <f t="shared" si="14"/>
        <v>5</v>
      </c>
    </row>
    <row r="49" spans="1:7" s="9" customFormat="1" ht="12" customHeight="1">
      <c r="A49" s="418" t="str">
        <f>Input!D73</f>
        <v>EBITDA</v>
      </c>
      <c r="B49" s="59">
        <f t="shared" ref="B49:G49" si="15">B42+B48</f>
        <v>12</v>
      </c>
      <c r="C49" s="59">
        <f t="shared" si="15"/>
        <v>13</v>
      </c>
      <c r="D49" s="59">
        <f t="shared" si="15"/>
        <v>13.5</v>
      </c>
      <c r="E49" s="433">
        <f t="shared" si="15"/>
        <v>15</v>
      </c>
      <c r="F49" s="59">
        <f t="shared" si="15"/>
        <v>16</v>
      </c>
      <c r="G49" s="451">
        <f t="shared" si="15"/>
        <v>18</v>
      </c>
    </row>
    <row r="50" spans="1:7" ht="12" customHeight="1" thickBot="1">
      <c r="A50" s="423" t="s">
        <v>50</v>
      </c>
      <c r="B50" s="63">
        <f t="shared" ref="B50:G50" si="16">B49/B33</f>
        <v>0.24</v>
      </c>
      <c r="C50" s="63">
        <f t="shared" si="16"/>
        <v>0.24074074074074073</v>
      </c>
      <c r="D50" s="63">
        <f t="shared" si="16"/>
        <v>0.24107142857142858</v>
      </c>
      <c r="E50" s="434">
        <f t="shared" si="16"/>
        <v>0.25423728813559321</v>
      </c>
      <c r="F50" s="63">
        <f t="shared" si="16"/>
        <v>0.26229508196721313</v>
      </c>
      <c r="G50" s="458">
        <f t="shared" si="16"/>
        <v>0.26865671641791045</v>
      </c>
    </row>
    <row r="56" spans="1:7" s="357" customFormat="1" ht="20.25" customHeight="1">
      <c r="A56" s="358" t="s">
        <v>114</v>
      </c>
    </row>
    <row r="58" spans="1:7" ht="12" customHeight="1">
      <c r="A58" s="9" t="s">
        <v>93</v>
      </c>
      <c r="B58" s="16"/>
      <c r="C58" s="16"/>
      <c r="D58" s="16"/>
      <c r="E58" s="16"/>
      <c r="F58" s="16"/>
      <c r="G58" s="16"/>
    </row>
    <row r="59" spans="1:7" ht="12" customHeight="1">
      <c r="A59" s="2" t="str">
        <f>Input!E3</f>
        <v>XXX AG</v>
      </c>
      <c r="B59" s="16"/>
      <c r="C59" s="16"/>
      <c r="D59" s="16"/>
      <c r="E59" s="16"/>
      <c r="F59" s="16"/>
      <c r="G59" s="16"/>
    </row>
    <row r="60" spans="1:7" ht="12" customHeight="1">
      <c r="A60" s="16"/>
      <c r="B60" s="28">
        <f>Input!E42</f>
        <v>2010</v>
      </c>
      <c r="C60" s="28">
        <f>Input!F42</f>
        <v>2011</v>
      </c>
      <c r="D60" s="28">
        <f>Input!G42</f>
        <v>2012</v>
      </c>
      <c r="E60" s="28">
        <f>Input!H42</f>
        <v>2013</v>
      </c>
      <c r="F60" s="28">
        <f>Input!I42</f>
        <v>2014</v>
      </c>
      <c r="G60" s="28">
        <f>Input!J42</f>
        <v>2015</v>
      </c>
    </row>
    <row r="61" spans="1:7" ht="12" customHeight="1">
      <c r="A61" s="16" t="str">
        <f>Input!E4</f>
        <v>€m</v>
      </c>
      <c r="B61" s="28" t="str">
        <f>Input!E43</f>
        <v>Actual</v>
      </c>
      <c r="C61" s="28" t="str">
        <f>Input!F43</f>
        <v>Actual</v>
      </c>
      <c r="D61" s="28" t="str">
        <f>Input!G43</f>
        <v>Actual</v>
      </c>
      <c r="E61" s="28" t="str">
        <f>Input!H43</f>
        <v>Plan</v>
      </c>
      <c r="F61" s="28" t="str">
        <f>Input!I43</f>
        <v>Plan</v>
      </c>
      <c r="G61" s="28" t="str">
        <f>Input!J43</f>
        <v>Plan</v>
      </c>
    </row>
    <row r="62" spans="1:7" ht="12" customHeight="1">
      <c r="A62" s="16" t="str">
        <f>Input!D70</f>
        <v>Sales</v>
      </c>
      <c r="B62" s="33">
        <f>Input!E70</f>
        <v>50</v>
      </c>
      <c r="C62" s="33">
        <f>Input!F70</f>
        <v>54</v>
      </c>
      <c r="D62" s="33">
        <f>Input!G70</f>
        <v>56</v>
      </c>
      <c r="E62" s="33">
        <f>Input!H70</f>
        <v>59</v>
      </c>
      <c r="F62" s="33">
        <f>Input!I70</f>
        <v>61</v>
      </c>
      <c r="G62" s="33">
        <f>Input!J70</f>
        <v>67</v>
      </c>
    </row>
    <row r="63" spans="1:7" ht="12" customHeight="1">
      <c r="A63" s="16" t="str">
        <f>Input!D46</f>
        <v>Cost of material</v>
      </c>
      <c r="B63" s="33">
        <f>Input!E46</f>
        <v>20</v>
      </c>
      <c r="C63" s="33">
        <f>Input!F46</f>
        <v>22</v>
      </c>
      <c r="D63" s="33">
        <f>Input!G46</f>
        <v>22.5</v>
      </c>
      <c r="E63" s="33">
        <f>Input!H46</f>
        <v>23</v>
      </c>
      <c r="F63" s="33">
        <f>Input!I46</f>
        <v>23</v>
      </c>
      <c r="G63" s="33">
        <f>Input!J46</f>
        <v>25</v>
      </c>
    </row>
    <row r="64" spans="1:7" ht="12" customHeight="1">
      <c r="A64" s="16" t="str">
        <f>Input!D50</f>
        <v>Personnel expenses</v>
      </c>
      <c r="B64" s="33">
        <f>Input!E50</f>
        <v>15</v>
      </c>
      <c r="C64" s="33">
        <f>Input!F50</f>
        <v>16</v>
      </c>
      <c r="D64" s="33">
        <f>Input!G50</f>
        <v>17</v>
      </c>
      <c r="E64" s="33">
        <f>Input!H50</f>
        <v>18</v>
      </c>
      <c r="F64" s="33">
        <f>Input!I50</f>
        <v>19</v>
      </c>
      <c r="G64" s="33">
        <f>Input!J50</f>
        <v>20</v>
      </c>
    </row>
    <row r="65" spans="1:7" ht="12" customHeight="1">
      <c r="A65" s="16" t="str">
        <f>Input!D52</f>
        <v>Other operating result</v>
      </c>
      <c r="B65" s="33">
        <f>Input!E52</f>
        <v>3</v>
      </c>
      <c r="C65" s="33">
        <f>Input!F52</f>
        <v>3</v>
      </c>
      <c r="D65" s="33">
        <f>Input!G52</f>
        <v>3</v>
      </c>
      <c r="E65" s="33">
        <f>Input!H52</f>
        <v>3</v>
      </c>
      <c r="F65" s="33">
        <f>Input!I52</f>
        <v>3</v>
      </c>
      <c r="G65" s="33">
        <f>Input!J52</f>
        <v>4</v>
      </c>
    </row>
    <row r="66" spans="1:7" ht="12" customHeight="1">
      <c r="A66" s="16" t="str">
        <f>Input!D56</f>
        <v>Depreciation</v>
      </c>
      <c r="B66" s="33">
        <f>Input!E56</f>
        <v>5</v>
      </c>
      <c r="C66" s="33">
        <f>Input!F56</f>
        <v>5</v>
      </c>
      <c r="D66" s="33">
        <f>Input!G56</f>
        <v>5</v>
      </c>
      <c r="E66" s="33">
        <f>Input!H56</f>
        <v>5</v>
      </c>
      <c r="F66" s="33">
        <f>Input!I56</f>
        <v>5</v>
      </c>
      <c r="G66" s="33">
        <f>Input!J56</f>
        <v>5</v>
      </c>
    </row>
    <row r="67" spans="1:7" ht="12" customHeight="1">
      <c r="A67" s="16" t="str">
        <f>Input!D61</f>
        <v>Financial result</v>
      </c>
      <c r="B67" s="33">
        <f>Input!E61</f>
        <v>1</v>
      </c>
      <c r="C67" s="33">
        <f>Input!F61</f>
        <v>1.2</v>
      </c>
      <c r="D67" s="33">
        <f>Input!G61</f>
        <v>1.2</v>
      </c>
      <c r="E67" s="33">
        <f>Input!H61</f>
        <v>1.3</v>
      </c>
      <c r="F67" s="33">
        <f>Input!I61</f>
        <v>1.2</v>
      </c>
      <c r="G67" s="33">
        <f>Input!J61</f>
        <v>1.3</v>
      </c>
    </row>
    <row r="68" spans="1:7" ht="12" customHeight="1">
      <c r="A68" s="16" t="str">
        <f>Input!D62</f>
        <v>Taxes</v>
      </c>
      <c r="B68" s="33">
        <f>Input!E62</f>
        <v>6.6</v>
      </c>
      <c r="C68" s="33">
        <f>Input!F62</f>
        <v>6.84</v>
      </c>
      <c r="D68" s="33">
        <f>Input!G62</f>
        <v>6.99</v>
      </c>
      <c r="E68" s="33">
        <f>Input!H62</f>
        <v>7.4099999999999993</v>
      </c>
      <c r="F68" s="33">
        <f>Input!I62</f>
        <v>7.74</v>
      </c>
      <c r="G68" s="33">
        <f>Input!J62</f>
        <v>8.3099999999999987</v>
      </c>
    </row>
    <row r="69" spans="1:7" ht="12" customHeight="1">
      <c r="A69" s="16"/>
      <c r="B69" s="33"/>
      <c r="C69" s="33"/>
      <c r="D69" s="33"/>
      <c r="E69" s="33"/>
      <c r="F69" s="33"/>
      <c r="G69" s="33"/>
    </row>
    <row r="70" spans="1:7" ht="14.25">
      <c r="A70" s="1"/>
      <c r="B70" s="2"/>
      <c r="C70" s="2"/>
      <c r="D70" s="2"/>
      <c r="E70" s="2"/>
      <c r="F70" s="2"/>
      <c r="G70" s="2"/>
    </row>
    <row r="71" spans="1:7" ht="19.5" customHeight="1">
      <c r="A71" s="383" t="str">
        <f>CONCATENATE("Profit and Loss Statement ",A59)</f>
        <v>Profit and Loss Statement XXX AG</v>
      </c>
      <c r="B71" s="383"/>
      <c r="C71" s="383"/>
      <c r="D71" s="383"/>
      <c r="E71" s="383"/>
      <c r="F71" s="383"/>
      <c r="G71" s="383"/>
    </row>
    <row r="72" spans="1:7" ht="12" customHeight="1">
      <c r="A72" s="417"/>
      <c r="B72" s="3">
        <f>B60</f>
        <v>2010</v>
      </c>
      <c r="C72" s="3">
        <f t="shared" ref="C72:G72" si="17">C60</f>
        <v>2011</v>
      </c>
      <c r="D72" s="3">
        <f t="shared" si="17"/>
        <v>2012</v>
      </c>
      <c r="E72" s="406">
        <f t="shared" si="17"/>
        <v>2013</v>
      </c>
      <c r="F72" s="435">
        <f t="shared" si="17"/>
        <v>2014</v>
      </c>
      <c r="G72" s="463">
        <f t="shared" si="17"/>
        <v>2015</v>
      </c>
    </row>
    <row r="73" spans="1:7" ht="12" customHeight="1">
      <c r="A73" s="397" t="str">
        <f>A61</f>
        <v>€m</v>
      </c>
      <c r="B73" s="424"/>
      <c r="C73" s="424" t="str">
        <f>C61</f>
        <v>Actual</v>
      </c>
      <c r="D73" s="424"/>
      <c r="E73" s="437"/>
      <c r="F73" s="438" t="str">
        <f>F61</f>
        <v>Plan</v>
      </c>
      <c r="G73" s="464"/>
    </row>
    <row r="74" spans="1:7" s="9" customFormat="1" ht="12" customHeight="1">
      <c r="A74" s="418" t="str">
        <f>A62</f>
        <v>Sales</v>
      </c>
      <c r="B74" s="59">
        <f>B62</f>
        <v>50</v>
      </c>
      <c r="C74" s="59">
        <f t="shared" ref="C74:G74" si="18">C62</f>
        <v>54</v>
      </c>
      <c r="D74" s="59">
        <f t="shared" si="18"/>
        <v>56</v>
      </c>
      <c r="E74" s="433">
        <f t="shared" si="18"/>
        <v>59</v>
      </c>
      <c r="F74" s="59">
        <f t="shared" si="18"/>
        <v>61</v>
      </c>
      <c r="G74" s="451">
        <f t="shared" si="18"/>
        <v>67</v>
      </c>
    </row>
    <row r="75" spans="1:7" ht="12" customHeight="1">
      <c r="A75" s="422" t="s">
        <v>417</v>
      </c>
      <c r="B75" s="61"/>
      <c r="C75" s="61">
        <f>C74/B74-1</f>
        <v>8.0000000000000071E-2</v>
      </c>
      <c r="D75" s="61">
        <f>D74/C74-1</f>
        <v>3.7037037037036979E-2</v>
      </c>
      <c r="E75" s="432">
        <f>E74/D74-1</f>
        <v>5.3571428571428603E-2</v>
      </c>
      <c r="F75" s="61">
        <f>F74/E74-1</f>
        <v>3.3898305084745672E-2</v>
      </c>
      <c r="G75" s="452">
        <f>G74/F74-1</f>
        <v>9.8360655737705027E-2</v>
      </c>
    </row>
    <row r="76" spans="1:7" ht="12" customHeight="1">
      <c r="A76" s="421" t="str">
        <f>A63</f>
        <v>Cost of material</v>
      </c>
      <c r="B76" s="56">
        <f>B63</f>
        <v>20</v>
      </c>
      <c r="C76" s="56">
        <f t="shared" ref="C76:G76" si="19">C63</f>
        <v>22</v>
      </c>
      <c r="D76" s="56">
        <f t="shared" si="19"/>
        <v>22.5</v>
      </c>
      <c r="E76" s="431">
        <f t="shared" si="19"/>
        <v>23</v>
      </c>
      <c r="F76" s="56">
        <f t="shared" si="19"/>
        <v>23</v>
      </c>
      <c r="G76" s="453">
        <f t="shared" si="19"/>
        <v>25</v>
      </c>
    </row>
    <row r="77" spans="1:7" s="9" customFormat="1" ht="12" customHeight="1">
      <c r="A77" s="448" t="str">
        <f>Input!D48</f>
        <v>Gross profit</v>
      </c>
      <c r="B77" s="72">
        <f t="shared" ref="B77" si="20">B74-B76</f>
        <v>30</v>
      </c>
      <c r="C77" s="72">
        <f t="shared" ref="C77" si="21">C74-C76</f>
        <v>32</v>
      </c>
      <c r="D77" s="72">
        <f t="shared" ref="D77" si="22">D74-D76</f>
        <v>33.5</v>
      </c>
      <c r="E77" s="459">
        <f t="shared" ref="E77" si="23">E74-E76</f>
        <v>36</v>
      </c>
      <c r="F77" s="72">
        <f t="shared" ref="F77" si="24">F74-F76</f>
        <v>38</v>
      </c>
      <c r="G77" s="454">
        <f t="shared" ref="G77" si="25">G74-G76</f>
        <v>42</v>
      </c>
    </row>
    <row r="78" spans="1:7" ht="12" customHeight="1">
      <c r="A78" s="422" t="s">
        <v>49</v>
      </c>
      <c r="B78" s="61">
        <f t="shared" ref="B78" si="26">B77/B74</f>
        <v>0.6</v>
      </c>
      <c r="C78" s="61">
        <f t="shared" ref="C78" si="27">C77/C74</f>
        <v>0.59259259259259256</v>
      </c>
      <c r="D78" s="61">
        <f t="shared" ref="D78" si="28">D77/D74</f>
        <v>0.5982142857142857</v>
      </c>
      <c r="E78" s="432">
        <f t="shared" ref="E78" si="29">E77/E74</f>
        <v>0.61016949152542377</v>
      </c>
      <c r="F78" s="61">
        <f t="shared" ref="F78" si="30">F77/F74</f>
        <v>0.62295081967213117</v>
      </c>
      <c r="G78" s="452">
        <f t="shared" ref="G78" si="31">G77/G74</f>
        <v>0.62686567164179108</v>
      </c>
    </row>
    <row r="79" spans="1:7" ht="12" customHeight="1">
      <c r="A79" s="421" t="str">
        <f>A64</f>
        <v>Personnel expenses</v>
      </c>
      <c r="B79" s="56">
        <f>B64</f>
        <v>15</v>
      </c>
      <c r="C79" s="56">
        <f t="shared" ref="C79:G79" si="32">C64</f>
        <v>16</v>
      </c>
      <c r="D79" s="56">
        <f t="shared" si="32"/>
        <v>17</v>
      </c>
      <c r="E79" s="431">
        <f t="shared" si="32"/>
        <v>18</v>
      </c>
      <c r="F79" s="56">
        <f t="shared" si="32"/>
        <v>19</v>
      </c>
      <c r="G79" s="453">
        <f t="shared" si="32"/>
        <v>20</v>
      </c>
    </row>
    <row r="80" spans="1:7" ht="12" customHeight="1">
      <c r="A80" s="421" t="str">
        <f>A65</f>
        <v>Other operating result</v>
      </c>
      <c r="B80" s="56">
        <f>B65</f>
        <v>3</v>
      </c>
      <c r="C80" s="56">
        <f t="shared" ref="C80:G80" si="33">C65</f>
        <v>3</v>
      </c>
      <c r="D80" s="56">
        <f t="shared" si="33"/>
        <v>3</v>
      </c>
      <c r="E80" s="431">
        <f t="shared" si="33"/>
        <v>3</v>
      </c>
      <c r="F80" s="56">
        <f t="shared" si="33"/>
        <v>3</v>
      </c>
      <c r="G80" s="453">
        <f t="shared" si="33"/>
        <v>4</v>
      </c>
    </row>
    <row r="81" spans="1:7" ht="12" customHeight="1">
      <c r="A81" s="448" t="str">
        <f>Input!D54</f>
        <v>EBITDA</v>
      </c>
      <c r="B81" s="72">
        <f>B77-B79+B80</f>
        <v>18</v>
      </c>
      <c r="C81" s="72">
        <f t="shared" ref="C81:G81" si="34">C77-C79+C80</f>
        <v>19</v>
      </c>
      <c r="D81" s="72">
        <f t="shared" si="34"/>
        <v>19.5</v>
      </c>
      <c r="E81" s="459">
        <f t="shared" si="34"/>
        <v>21</v>
      </c>
      <c r="F81" s="72">
        <f t="shared" si="34"/>
        <v>22</v>
      </c>
      <c r="G81" s="454">
        <f t="shared" si="34"/>
        <v>26</v>
      </c>
    </row>
    <row r="82" spans="1:7" ht="12" customHeight="1">
      <c r="A82" s="422" t="str">
        <f>Input!D55</f>
        <v>EBITDA margin</v>
      </c>
      <c r="B82" s="61">
        <f>B81/B74</f>
        <v>0.36</v>
      </c>
      <c r="C82" s="61">
        <f t="shared" ref="C82:G82" si="35">C81/C74</f>
        <v>0.35185185185185186</v>
      </c>
      <c r="D82" s="61">
        <f t="shared" si="35"/>
        <v>0.3482142857142857</v>
      </c>
      <c r="E82" s="432">
        <f t="shared" si="35"/>
        <v>0.3559322033898305</v>
      </c>
      <c r="F82" s="61">
        <f t="shared" si="35"/>
        <v>0.36065573770491804</v>
      </c>
      <c r="G82" s="452">
        <f t="shared" si="35"/>
        <v>0.38805970149253732</v>
      </c>
    </row>
    <row r="83" spans="1:7" ht="12" customHeight="1">
      <c r="A83" s="421" t="str">
        <f>A66</f>
        <v>Depreciation</v>
      </c>
      <c r="B83" s="56">
        <f t="shared" ref="B83" si="36">B66</f>
        <v>5</v>
      </c>
      <c r="C83" s="56">
        <f t="shared" ref="C83:G83" si="37">C66</f>
        <v>5</v>
      </c>
      <c r="D83" s="56">
        <f t="shared" si="37"/>
        <v>5</v>
      </c>
      <c r="E83" s="431">
        <f t="shared" si="37"/>
        <v>5</v>
      </c>
      <c r="F83" s="56">
        <f t="shared" si="37"/>
        <v>5</v>
      </c>
      <c r="G83" s="453">
        <f t="shared" si="37"/>
        <v>5</v>
      </c>
    </row>
    <row r="84" spans="1:7" ht="12" customHeight="1">
      <c r="A84" s="448" t="str">
        <f>Input!D58</f>
        <v>EBIT</v>
      </c>
      <c r="B84" s="72">
        <f>B81-B83</f>
        <v>13</v>
      </c>
      <c r="C84" s="72">
        <f t="shared" ref="C84:G84" si="38">C81-C83</f>
        <v>14</v>
      </c>
      <c r="D84" s="72">
        <f t="shared" si="38"/>
        <v>14.5</v>
      </c>
      <c r="E84" s="459">
        <f t="shared" si="38"/>
        <v>16</v>
      </c>
      <c r="F84" s="72">
        <f t="shared" si="38"/>
        <v>17</v>
      </c>
      <c r="G84" s="454">
        <f t="shared" si="38"/>
        <v>21</v>
      </c>
    </row>
    <row r="85" spans="1:7" ht="12" customHeight="1">
      <c r="A85" s="422" t="s">
        <v>45</v>
      </c>
      <c r="B85" s="61">
        <f>B84/B74</f>
        <v>0.26</v>
      </c>
      <c r="C85" s="61">
        <f t="shared" ref="C85:G85" si="39">C84/C74</f>
        <v>0.25925925925925924</v>
      </c>
      <c r="D85" s="61">
        <f t="shared" si="39"/>
        <v>0.25892857142857145</v>
      </c>
      <c r="E85" s="432">
        <f t="shared" si="39"/>
        <v>0.2711864406779661</v>
      </c>
      <c r="F85" s="61">
        <f t="shared" si="39"/>
        <v>0.27868852459016391</v>
      </c>
      <c r="G85" s="452">
        <f t="shared" si="39"/>
        <v>0.31343283582089554</v>
      </c>
    </row>
    <row r="86" spans="1:7" ht="12" customHeight="1">
      <c r="A86" s="421" t="str">
        <f>Input!D61</f>
        <v>Financial result</v>
      </c>
      <c r="B86" s="56">
        <f>B67</f>
        <v>1</v>
      </c>
      <c r="C86" s="56">
        <f t="shared" ref="C86:G86" si="40">C67</f>
        <v>1.2</v>
      </c>
      <c r="D86" s="56">
        <f t="shared" si="40"/>
        <v>1.2</v>
      </c>
      <c r="E86" s="431">
        <f t="shared" si="40"/>
        <v>1.3</v>
      </c>
      <c r="F86" s="56">
        <f t="shared" si="40"/>
        <v>1.2</v>
      </c>
      <c r="G86" s="453">
        <f t="shared" si="40"/>
        <v>1.3</v>
      </c>
    </row>
    <row r="87" spans="1:7" ht="12" customHeight="1">
      <c r="A87" s="421" t="str">
        <f>Input!D62</f>
        <v>Taxes</v>
      </c>
      <c r="B87" s="56">
        <f>B68</f>
        <v>6.6</v>
      </c>
      <c r="C87" s="56">
        <f t="shared" ref="C87:G87" si="41">C68</f>
        <v>6.84</v>
      </c>
      <c r="D87" s="56">
        <f t="shared" si="41"/>
        <v>6.99</v>
      </c>
      <c r="E87" s="431">
        <f t="shared" si="41"/>
        <v>7.4099999999999993</v>
      </c>
      <c r="F87" s="56">
        <f t="shared" si="41"/>
        <v>7.74</v>
      </c>
      <c r="G87" s="453">
        <f t="shared" si="41"/>
        <v>8.3099999999999987</v>
      </c>
    </row>
    <row r="88" spans="1:7" s="9" customFormat="1" ht="12" customHeight="1" thickBot="1">
      <c r="A88" s="465" t="s">
        <v>54</v>
      </c>
      <c r="B88" s="87">
        <f>B84+B86-B87</f>
        <v>7.4</v>
      </c>
      <c r="C88" s="87">
        <f t="shared" ref="C88:F88" si="42">C84+C86-C87</f>
        <v>8.36</v>
      </c>
      <c r="D88" s="87">
        <f t="shared" si="42"/>
        <v>8.7099999999999991</v>
      </c>
      <c r="E88" s="470">
        <f t="shared" si="42"/>
        <v>9.89</v>
      </c>
      <c r="F88" s="87">
        <f t="shared" si="42"/>
        <v>10.459999999999999</v>
      </c>
      <c r="G88" s="466">
        <f>G84+G86-G87</f>
        <v>13.990000000000002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AD741"/>
  <sheetViews>
    <sheetView topLeftCell="A567" zoomScaleNormal="100" workbookViewId="0">
      <selection activeCell="N529" sqref="N529"/>
    </sheetView>
  </sheetViews>
  <sheetFormatPr defaultColWidth="11.5" defaultRowHeight="11.25"/>
  <cols>
    <col min="1" max="1" width="17.83203125" style="27" customWidth="1"/>
    <col min="2" max="8" width="7" style="27" customWidth="1"/>
    <col min="9" max="10" width="10" style="27" customWidth="1"/>
    <col min="11" max="14" width="7" style="27" customWidth="1"/>
    <col min="15" max="15" width="6.33203125" style="27" customWidth="1"/>
    <col min="16" max="16" width="11.5" style="27"/>
    <col min="17" max="17" width="29" style="27" customWidth="1"/>
    <col min="18" max="23" width="7.6640625" style="27" customWidth="1"/>
    <col min="24" max="16384" width="11.5" style="27"/>
  </cols>
  <sheetData>
    <row r="1" spans="1:7" ht="20.25" customHeight="1">
      <c r="A1" s="46" t="s">
        <v>110</v>
      </c>
    </row>
    <row r="2" spans="1:7" ht="20.25" customHeight="1">
      <c r="A2" s="48" t="s">
        <v>197</v>
      </c>
    </row>
    <row r="3" spans="1:7" ht="20.25" customHeight="1">
      <c r="A3" s="48" t="s">
        <v>198</v>
      </c>
    </row>
    <row r="4" spans="1:7" ht="20.25" customHeight="1">
      <c r="A4" s="48" t="s">
        <v>199</v>
      </c>
    </row>
    <row r="5" spans="1:7" ht="20.25" customHeight="1">
      <c r="A5" s="48" t="s">
        <v>203</v>
      </c>
    </row>
    <row r="6" spans="1:7" ht="20.25" customHeight="1">
      <c r="A6" s="48" t="s">
        <v>204</v>
      </c>
    </row>
    <row r="7" spans="1:7" ht="20.25" customHeight="1">
      <c r="A7" s="48" t="s">
        <v>205</v>
      </c>
    </row>
    <row r="8" spans="1:7" ht="20.25" customHeight="1">
      <c r="A8" s="48" t="s">
        <v>285</v>
      </c>
    </row>
    <row r="9" spans="1:7" ht="20.25" customHeight="1">
      <c r="A9" s="48" t="s">
        <v>339</v>
      </c>
    </row>
    <row r="10" spans="1:7" ht="20.25" customHeight="1">
      <c r="A10" s="48" t="s">
        <v>371</v>
      </c>
    </row>
    <row r="11" spans="1:7" ht="20.25" customHeight="1">
      <c r="A11" s="48" t="s">
        <v>416</v>
      </c>
    </row>
    <row r="12" spans="1:7" s="357" customFormat="1" ht="20.25" customHeight="1">
      <c r="A12" s="358" t="s">
        <v>158</v>
      </c>
    </row>
    <row r="13" spans="1:7" ht="13.5" customHeight="1"/>
    <row r="15" spans="1:7" ht="12" customHeight="1">
      <c r="A15" s="9" t="s">
        <v>93</v>
      </c>
      <c r="B15" s="16"/>
      <c r="C15" s="16"/>
      <c r="D15" s="16"/>
      <c r="E15" s="16"/>
      <c r="F15" s="16"/>
      <c r="G15" s="16"/>
    </row>
    <row r="16" spans="1:7">
      <c r="A16" s="27" t="str">
        <f>Input!E3</f>
        <v>XXX AG</v>
      </c>
    </row>
    <row r="17" spans="1:7">
      <c r="E17" s="27">
        <f>Input!H12</f>
        <v>2013</v>
      </c>
      <c r="F17" s="27">
        <f>Input!I12</f>
        <v>2014</v>
      </c>
      <c r="G17" s="27">
        <f>Input!J12</f>
        <v>2015</v>
      </c>
    </row>
    <row r="18" spans="1:7">
      <c r="A18" s="27" t="str">
        <f>Input!D78</f>
        <v>EBIT margin</v>
      </c>
      <c r="E18" s="65">
        <f>Input!H78</f>
        <v>0.16949152542372881</v>
      </c>
      <c r="F18" s="65">
        <f>Input!I78</f>
        <v>0.18032786885245902</v>
      </c>
      <c r="G18" s="65">
        <f>Input!J78</f>
        <v>0.19402985074626866</v>
      </c>
    </row>
    <row r="19" spans="1:7">
      <c r="E19" s="65"/>
      <c r="F19" s="65"/>
      <c r="G19" s="65"/>
    </row>
    <row r="20" spans="1:7">
      <c r="A20" s="92" t="s">
        <v>10</v>
      </c>
      <c r="E20" s="93">
        <v>0.2</v>
      </c>
      <c r="F20" s="93">
        <v>0.21</v>
      </c>
      <c r="G20" s="93">
        <v>0.22</v>
      </c>
    </row>
    <row r="21" spans="1:7">
      <c r="A21" s="92" t="s">
        <v>11</v>
      </c>
      <c r="E21" s="93">
        <v>0.13</v>
      </c>
      <c r="F21" s="93">
        <v>0.13</v>
      </c>
      <c r="G21" s="93">
        <v>0.12</v>
      </c>
    </row>
    <row r="22" spans="1:7">
      <c r="A22" s="92" t="s">
        <v>12</v>
      </c>
      <c r="E22" s="93">
        <v>0.15</v>
      </c>
      <c r="F22" s="93">
        <v>0.155</v>
      </c>
      <c r="G22" s="93">
        <v>0.16</v>
      </c>
    </row>
    <row r="25" spans="1:7">
      <c r="A25" s="27" t="s">
        <v>115</v>
      </c>
    </row>
    <row r="26" spans="1:7">
      <c r="A26" s="27" t="s">
        <v>14</v>
      </c>
    </row>
    <row r="30" spans="1:7" ht="19.5" customHeight="1">
      <c r="A30" s="377" t="str">
        <f>CONCATENATE(A18," in comparison to analysts' expectations")</f>
        <v>EBIT margin in comparison to analysts' expectations</v>
      </c>
      <c r="B30" s="377"/>
      <c r="C30" s="377"/>
      <c r="D30" s="377"/>
      <c r="E30" s="377"/>
      <c r="F30" s="377"/>
      <c r="G30" s="377"/>
    </row>
    <row r="31" spans="1:7">
      <c r="A31" s="376"/>
      <c r="B31" s="713"/>
      <c r="C31" s="713"/>
      <c r="D31" s="713"/>
      <c r="E31" s="713">
        <f>E17</f>
        <v>2013</v>
      </c>
      <c r="F31" s="713">
        <f t="shared" ref="F31:G31" si="0">F17</f>
        <v>2014</v>
      </c>
      <c r="G31" s="738">
        <f t="shared" si="0"/>
        <v>2015</v>
      </c>
    </row>
    <row r="32" spans="1:7">
      <c r="A32" s="388" t="str">
        <f>A16</f>
        <v>XXX AG</v>
      </c>
      <c r="B32" s="715"/>
      <c r="C32" s="715"/>
      <c r="D32" s="715"/>
      <c r="E32" s="307">
        <f>E18</f>
        <v>0.16949152542372881</v>
      </c>
      <c r="F32" s="307">
        <f t="shared" ref="F32:G32" si="1">F18</f>
        <v>0.18032786885245902</v>
      </c>
      <c r="G32" s="394">
        <f t="shared" si="1"/>
        <v>0.19402985074626866</v>
      </c>
    </row>
    <row r="33" spans="1:19">
      <c r="A33" s="388" t="str">
        <f>A20</f>
        <v>Analyst A</v>
      </c>
      <c r="B33" s="715"/>
      <c r="C33" s="715"/>
      <c r="D33" s="715"/>
      <c r="E33" s="307">
        <f>E20</f>
        <v>0.2</v>
      </c>
      <c r="F33" s="307">
        <f t="shared" ref="F33:G33" si="2">F20</f>
        <v>0.21</v>
      </c>
      <c r="G33" s="394">
        <f t="shared" si="2"/>
        <v>0.22</v>
      </c>
    </row>
    <row r="34" spans="1:19">
      <c r="A34" s="388" t="str">
        <f t="shared" ref="A34:A35" si="3">A21</f>
        <v>Analyst B</v>
      </c>
      <c r="B34" s="715"/>
      <c r="C34" s="715"/>
      <c r="D34" s="715"/>
      <c r="E34" s="307">
        <f t="shared" ref="E34:E35" si="4">E21</f>
        <v>0.13</v>
      </c>
      <c r="F34" s="307">
        <f t="shared" ref="F34:G34" si="5">F21</f>
        <v>0.13</v>
      </c>
      <c r="G34" s="394">
        <f t="shared" si="5"/>
        <v>0.12</v>
      </c>
    </row>
    <row r="35" spans="1:19">
      <c r="A35" s="388" t="str">
        <f t="shared" si="3"/>
        <v>Analyst C</v>
      </c>
      <c r="B35" s="715"/>
      <c r="C35" s="715"/>
      <c r="D35" s="715"/>
      <c r="E35" s="307">
        <f t="shared" si="4"/>
        <v>0.15</v>
      </c>
      <c r="F35" s="307">
        <f t="shared" ref="F35:G35" si="6">F22</f>
        <v>0.155</v>
      </c>
      <c r="G35" s="394">
        <f t="shared" si="6"/>
        <v>0.16</v>
      </c>
    </row>
    <row r="36" spans="1:19" ht="3" customHeight="1">
      <c r="A36" s="388"/>
      <c r="B36" s="715"/>
      <c r="C36" s="715"/>
      <c r="D36" s="715"/>
      <c r="E36" s="307"/>
      <c r="F36" s="307"/>
      <c r="G36" s="394"/>
    </row>
    <row r="37" spans="1:19">
      <c r="A37" s="717" t="s">
        <v>13</v>
      </c>
      <c r="B37" s="718"/>
      <c r="C37" s="718"/>
      <c r="D37" s="718"/>
      <c r="E37" s="719">
        <f>MIN(E33:E35)</f>
        <v>0.13</v>
      </c>
      <c r="F37" s="719">
        <f>MIN(F33:F35)</f>
        <v>0.13</v>
      </c>
      <c r="G37" s="735">
        <f>MIN(G33:G35)</f>
        <v>0.12</v>
      </c>
    </row>
    <row r="38" spans="1:19">
      <c r="A38" s="721" t="s">
        <v>116</v>
      </c>
      <c r="B38" s="722"/>
      <c r="C38" s="722"/>
      <c r="D38" s="722"/>
      <c r="E38" s="723">
        <f>MAX(E33:E35)</f>
        <v>0.2</v>
      </c>
      <c r="F38" s="723">
        <f>MAX(F33:F35)</f>
        <v>0.21</v>
      </c>
      <c r="G38" s="736">
        <f>MAX(G33:G35)</f>
        <v>0.22</v>
      </c>
    </row>
    <row r="39" spans="1:19" ht="12" thickBot="1">
      <c r="A39" s="725" t="s">
        <v>15</v>
      </c>
      <c r="B39" s="726"/>
      <c r="C39" s="726"/>
      <c r="D39" s="726"/>
      <c r="E39" s="727">
        <f>AVERAGE(E33:E35)</f>
        <v>0.16</v>
      </c>
      <c r="F39" s="727">
        <f>AVERAGE(F33:F35)</f>
        <v>0.16500000000000001</v>
      </c>
      <c r="G39" s="737">
        <f>AVERAGE(G33:G35)</f>
        <v>0.16666666666666666</v>
      </c>
    </row>
    <row r="40" spans="1:19">
      <c r="A40" s="10"/>
      <c r="B40" s="10"/>
      <c r="C40" s="10"/>
      <c r="D40" s="10"/>
    </row>
    <row r="42" spans="1:19" s="357" customFormat="1" ht="20.25" customHeight="1">
      <c r="A42" s="358" t="s">
        <v>114</v>
      </c>
    </row>
    <row r="44" spans="1:19">
      <c r="A44" s="9" t="s">
        <v>93</v>
      </c>
      <c r="B44" s="10"/>
      <c r="C44" s="10"/>
      <c r="D44" s="10"/>
      <c r="E44" s="10"/>
      <c r="F44" s="10"/>
      <c r="G44" s="10"/>
    </row>
    <row r="45" spans="1:19">
      <c r="A45" s="27" t="str">
        <f>Input!E3</f>
        <v>XXX AG</v>
      </c>
      <c r="B45" s="16"/>
      <c r="C45" s="16"/>
      <c r="D45" s="16"/>
      <c r="E45" s="16"/>
      <c r="F45" s="16"/>
      <c r="G45" s="16"/>
    </row>
    <row r="46" spans="1:19">
      <c r="A46" s="9"/>
      <c r="B46" s="28">
        <f>Input!E12</f>
        <v>2010</v>
      </c>
      <c r="C46" s="28">
        <f>Input!F12</f>
        <v>2011</v>
      </c>
      <c r="D46" s="28">
        <f>Input!G12</f>
        <v>2012</v>
      </c>
      <c r="E46" s="28">
        <f>Input!H12</f>
        <v>2013</v>
      </c>
      <c r="F46" s="28">
        <f>Input!I12</f>
        <v>2014</v>
      </c>
      <c r="G46" s="28">
        <f>Input!J12</f>
        <v>2015</v>
      </c>
    </row>
    <row r="47" spans="1:19">
      <c r="A47" s="9"/>
      <c r="B47" s="28" t="str">
        <f>Input!E13</f>
        <v>Actual</v>
      </c>
      <c r="C47" s="28" t="str">
        <f>Input!F13</f>
        <v>Actual</v>
      </c>
      <c r="D47" s="28" t="str">
        <f>Input!G13</f>
        <v>Actual</v>
      </c>
      <c r="E47" s="28" t="str">
        <f>Input!H13</f>
        <v>Plan</v>
      </c>
      <c r="F47" s="28" t="str">
        <f>Input!I13</f>
        <v>Plan</v>
      </c>
      <c r="G47" s="28" t="str">
        <f>Input!J13</f>
        <v>Plan</v>
      </c>
    </row>
    <row r="48" spans="1:19">
      <c r="A48" s="27" t="str">
        <f>Input!D78</f>
        <v>EBIT margin</v>
      </c>
      <c r="B48" s="65">
        <f>Input!E78</f>
        <v>0.14000000000000001</v>
      </c>
      <c r="C48" s="65">
        <f>Input!F78</f>
        <v>0.14814814814814814</v>
      </c>
      <c r="D48" s="65">
        <f>Input!G78</f>
        <v>0.15178571428571427</v>
      </c>
      <c r="E48" s="65">
        <f>Input!H78</f>
        <v>0.16949152542372881</v>
      </c>
      <c r="F48" s="65">
        <f>Input!I78</f>
        <v>0.18032786885245902</v>
      </c>
      <c r="G48" s="65">
        <f>Input!J78</f>
        <v>0.19402985074626866</v>
      </c>
      <c r="S48" s="84"/>
    </row>
    <row r="49" spans="1:10">
      <c r="A49" s="9"/>
      <c r="B49" s="16"/>
      <c r="C49" s="16"/>
      <c r="D49" s="16"/>
      <c r="E49" s="16"/>
      <c r="F49" s="16"/>
      <c r="G49" s="16"/>
    </row>
    <row r="50" spans="1:10">
      <c r="A50" s="92" t="s">
        <v>67</v>
      </c>
      <c r="B50" s="93">
        <v>0.115</v>
      </c>
      <c r="C50" s="93">
        <v>0.12</v>
      </c>
      <c r="D50" s="93">
        <v>0.13300000000000001</v>
      </c>
      <c r="E50" s="93">
        <v>0.15</v>
      </c>
      <c r="F50" s="93">
        <v>0.153</v>
      </c>
      <c r="G50" s="93">
        <v>0.17</v>
      </c>
    </row>
    <row r="51" spans="1:10">
      <c r="A51" s="92" t="s">
        <v>4</v>
      </c>
      <c r="B51" s="93">
        <v>0.15</v>
      </c>
      <c r="C51" s="93">
        <v>0.16400000000000001</v>
      </c>
      <c r="D51" s="93">
        <v>0.17699999999999999</v>
      </c>
      <c r="E51" s="93">
        <v>0.18</v>
      </c>
      <c r="F51" s="93">
        <v>0.193</v>
      </c>
      <c r="G51" s="93">
        <v>0.22</v>
      </c>
    </row>
    <row r="52" spans="1:10">
      <c r="A52" s="92" t="s">
        <v>5</v>
      </c>
      <c r="B52" s="93">
        <v>0.1</v>
      </c>
      <c r="C52" s="93">
        <v>9.5000000000000001E-2</v>
      </c>
      <c r="D52" s="93">
        <v>0.105</v>
      </c>
      <c r="E52" s="93">
        <v>0.115</v>
      </c>
      <c r="F52" s="93">
        <v>0.125</v>
      </c>
      <c r="G52" s="93">
        <v>0.13</v>
      </c>
    </row>
    <row r="53" spans="1:10">
      <c r="A53" s="92" t="s">
        <v>6</v>
      </c>
      <c r="B53" s="93">
        <v>0.09</v>
      </c>
      <c r="C53" s="93">
        <v>0.1</v>
      </c>
      <c r="D53" s="93">
        <v>0.105</v>
      </c>
      <c r="E53" s="93">
        <v>0.1</v>
      </c>
      <c r="F53" s="93">
        <v>0.09</v>
      </c>
      <c r="G53" s="93">
        <v>0.1</v>
      </c>
    </row>
    <row r="54" spans="1:10">
      <c r="A54" s="9"/>
      <c r="B54" s="16"/>
      <c r="C54" s="16"/>
      <c r="D54" s="16"/>
      <c r="E54" s="16"/>
      <c r="F54" s="16"/>
      <c r="G54" s="16"/>
    </row>
    <row r="55" spans="1:10">
      <c r="A55" s="9"/>
      <c r="B55" s="16"/>
      <c r="C55" s="16"/>
      <c r="D55" s="16"/>
      <c r="E55" s="16"/>
      <c r="F55" s="16"/>
      <c r="G55" s="16"/>
    </row>
    <row r="56" spans="1:10">
      <c r="A56" s="27" t="s">
        <v>115</v>
      </c>
      <c r="B56" s="16"/>
      <c r="C56" s="16"/>
      <c r="D56" s="16"/>
      <c r="E56" s="16"/>
      <c r="F56" s="16"/>
      <c r="G56" s="16"/>
    </row>
    <row r="57" spans="1:10">
      <c r="A57" s="11" t="s">
        <v>9</v>
      </c>
      <c r="B57" s="16"/>
      <c r="C57" s="16"/>
      <c r="D57" s="16"/>
      <c r="E57" s="16"/>
      <c r="F57" s="16"/>
      <c r="G57" s="16"/>
    </row>
    <row r="58" spans="1:10">
      <c r="A58" s="96" t="str">
        <f>CONCATENATE(J64," 
",A65," 
",TEXT(J65,"0.0%"))</f>
        <v>CAGR 13-15 
XXX AG 
7.0%</v>
      </c>
      <c r="B58" s="16"/>
      <c r="C58" s="16"/>
      <c r="D58" s="16"/>
      <c r="E58" s="16"/>
      <c r="F58" s="16"/>
      <c r="G58" s="16"/>
    </row>
    <row r="59" spans="1:10">
      <c r="A59" s="96" t="str">
        <f>CONCATENATE(J64," 
",A66," 
",TEXT(J66,"0.0%"))</f>
        <v>CAGR 13-15 
Market study YYY 
6.5%</v>
      </c>
      <c r="B59" s="16"/>
      <c r="C59" s="16"/>
      <c r="D59" s="16"/>
      <c r="E59" s="16"/>
      <c r="F59" s="16"/>
      <c r="G59" s="16"/>
    </row>
    <row r="60" spans="1:10">
      <c r="A60" s="96" t="str">
        <f>CONCATENATE(J64," 
",A73," 
",TEXT(J73,"0.0%"))</f>
        <v>CAGR 13-15 
Ø Peer Group 
6.7%</v>
      </c>
      <c r="B60" s="16"/>
      <c r="C60" s="16"/>
      <c r="D60" s="16"/>
      <c r="E60" s="16"/>
      <c r="F60" s="16"/>
      <c r="G60" s="16"/>
    </row>
    <row r="61" spans="1:10">
      <c r="A61" s="11"/>
      <c r="B61" s="16"/>
      <c r="C61" s="16"/>
      <c r="D61" s="16"/>
      <c r="E61" s="16"/>
      <c r="F61" s="16"/>
      <c r="G61" s="16"/>
    </row>
    <row r="62" spans="1:10" ht="19.5" customHeight="1">
      <c r="A62" s="377" t="str">
        <f>CONCATENATE(A48," in comparison to peer group")</f>
        <v>EBIT margin in comparison to peer group</v>
      </c>
      <c r="B62" s="377"/>
      <c r="C62" s="377"/>
      <c r="D62" s="377"/>
      <c r="E62" s="377"/>
      <c r="F62" s="377"/>
      <c r="G62" s="377"/>
    </row>
    <row r="63" spans="1:10">
      <c r="A63" s="387"/>
      <c r="B63" s="23">
        <f>B46</f>
        <v>2010</v>
      </c>
      <c r="C63" s="23">
        <f t="shared" ref="C63:G63" si="7">C46</f>
        <v>2011</v>
      </c>
      <c r="D63" s="23">
        <f t="shared" si="7"/>
        <v>2012</v>
      </c>
      <c r="E63" s="406">
        <f t="shared" si="7"/>
        <v>2013</v>
      </c>
      <c r="F63" s="407">
        <f t="shared" si="7"/>
        <v>2014</v>
      </c>
      <c r="G63" s="408">
        <f t="shared" si="7"/>
        <v>2015</v>
      </c>
    </row>
    <row r="64" spans="1:10">
      <c r="A64" s="397"/>
      <c r="B64" s="793" t="str">
        <f>C47</f>
        <v>Actual</v>
      </c>
      <c r="C64" s="793"/>
      <c r="D64" s="793"/>
      <c r="E64" s="790" t="str">
        <f>F47</f>
        <v>Plan</v>
      </c>
      <c r="F64" s="791"/>
      <c r="G64" s="794"/>
      <c r="I64" s="68" t="str">
        <f>CONCATENATE("CAGR ",RIGHT(B63,2),"-",RIGHT(D63,2))</f>
        <v>CAGR 10-12</v>
      </c>
      <c r="J64" s="68" t="str">
        <f>CONCATENATE("CAGR ",RIGHT(E63,2),"-",RIGHT(G63,2))</f>
        <v>CAGR 13-15</v>
      </c>
    </row>
    <row r="65" spans="1:10">
      <c r="A65" s="388" t="str">
        <f>A45</f>
        <v>XXX AG</v>
      </c>
      <c r="B65" s="307">
        <f>B48</f>
        <v>0.14000000000000001</v>
      </c>
      <c r="C65" s="307">
        <f t="shared" ref="C65:G65" si="8">C48</f>
        <v>0.14814814814814814</v>
      </c>
      <c r="D65" s="307">
        <f t="shared" si="8"/>
        <v>0.15178571428571427</v>
      </c>
      <c r="E65" s="402">
        <f t="shared" si="8"/>
        <v>0.16949152542372881</v>
      </c>
      <c r="F65" s="307">
        <f t="shared" si="8"/>
        <v>0.18032786885245902</v>
      </c>
      <c r="G65" s="394">
        <f t="shared" si="8"/>
        <v>0.19402985074626866</v>
      </c>
      <c r="I65" s="67">
        <f>(D65/B65)^(1/2)-1</f>
        <v>4.1241409793803419E-2</v>
      </c>
      <c r="J65" s="67">
        <f>(G65/E65)^(1/2)-1</f>
        <v>6.9942110304564542E-2</v>
      </c>
    </row>
    <row r="66" spans="1:10">
      <c r="A66" s="388" t="str">
        <f>A50</f>
        <v>Market study YYY</v>
      </c>
      <c r="B66" s="307">
        <f>B50</f>
        <v>0.115</v>
      </c>
      <c r="C66" s="307">
        <f t="shared" ref="C66:G66" si="9">C50</f>
        <v>0.12</v>
      </c>
      <c r="D66" s="307">
        <f t="shared" si="9"/>
        <v>0.13300000000000001</v>
      </c>
      <c r="E66" s="402">
        <f t="shared" si="9"/>
        <v>0.15</v>
      </c>
      <c r="F66" s="307">
        <f t="shared" si="9"/>
        <v>0.153</v>
      </c>
      <c r="G66" s="394">
        <f t="shared" si="9"/>
        <v>0.17</v>
      </c>
      <c r="I66" s="67">
        <f>(D66/B66)^(1/2)-1</f>
        <v>7.5417007086290511E-2</v>
      </c>
      <c r="J66" s="67">
        <f>(G66/E66)^(1/2)-1</f>
        <v>6.4581294844754167E-2</v>
      </c>
    </row>
    <row r="67" spans="1:10">
      <c r="A67" s="388" t="str">
        <f t="shared" ref="A67:B69" si="10">A51</f>
        <v>Peer 1</v>
      </c>
      <c r="B67" s="307">
        <f t="shared" si="10"/>
        <v>0.15</v>
      </c>
      <c r="C67" s="307">
        <f t="shared" ref="C67:G67" si="11">C51</f>
        <v>0.16400000000000001</v>
      </c>
      <c r="D67" s="307">
        <f t="shared" si="11"/>
        <v>0.17699999999999999</v>
      </c>
      <c r="E67" s="402">
        <f t="shared" si="11"/>
        <v>0.18</v>
      </c>
      <c r="F67" s="307">
        <f t="shared" si="11"/>
        <v>0.193</v>
      </c>
      <c r="G67" s="394">
        <f t="shared" si="11"/>
        <v>0.22</v>
      </c>
    </row>
    <row r="68" spans="1:10">
      <c r="A68" s="388" t="str">
        <f t="shared" si="10"/>
        <v>Peer 2</v>
      </c>
      <c r="B68" s="307">
        <f t="shared" si="10"/>
        <v>0.1</v>
      </c>
      <c r="C68" s="307">
        <f t="shared" ref="C68:G68" si="12">C52</f>
        <v>9.5000000000000001E-2</v>
      </c>
      <c r="D68" s="307">
        <f t="shared" si="12"/>
        <v>0.105</v>
      </c>
      <c r="E68" s="402">
        <f t="shared" si="12"/>
        <v>0.115</v>
      </c>
      <c r="F68" s="307">
        <f t="shared" si="12"/>
        <v>0.125</v>
      </c>
      <c r="G68" s="394">
        <f t="shared" si="12"/>
        <v>0.13</v>
      </c>
    </row>
    <row r="69" spans="1:10">
      <c r="A69" s="388" t="str">
        <f t="shared" si="10"/>
        <v>Peer 3</v>
      </c>
      <c r="B69" s="307">
        <f t="shared" si="10"/>
        <v>0.09</v>
      </c>
      <c r="C69" s="307">
        <f t="shared" ref="C69:G69" si="13">C53</f>
        <v>0.1</v>
      </c>
      <c r="D69" s="307">
        <f t="shared" si="13"/>
        <v>0.105</v>
      </c>
      <c r="E69" s="402">
        <f t="shared" si="13"/>
        <v>0.1</v>
      </c>
      <c r="F69" s="307">
        <f t="shared" si="13"/>
        <v>0.09</v>
      </c>
      <c r="G69" s="394">
        <f t="shared" si="13"/>
        <v>0.1</v>
      </c>
    </row>
    <row r="70" spans="1:10" ht="3" customHeight="1">
      <c r="A70" s="388"/>
      <c r="B70" s="715"/>
      <c r="C70" s="715"/>
      <c r="D70" s="715"/>
      <c r="E70" s="729"/>
      <c r="F70" s="715"/>
      <c r="G70" s="734"/>
    </row>
    <row r="71" spans="1:10">
      <c r="A71" s="717" t="s">
        <v>8</v>
      </c>
      <c r="B71" s="719">
        <f>MIN(B67:B69)</f>
        <v>0.09</v>
      </c>
      <c r="C71" s="719">
        <f t="shared" ref="C71:G71" si="14">MIN(C67:C69)</f>
        <v>9.5000000000000001E-2</v>
      </c>
      <c r="D71" s="719">
        <f t="shared" si="14"/>
        <v>0.105</v>
      </c>
      <c r="E71" s="731">
        <f t="shared" si="14"/>
        <v>0.1</v>
      </c>
      <c r="F71" s="719">
        <f t="shared" si="14"/>
        <v>0.09</v>
      </c>
      <c r="G71" s="735">
        <f t="shared" si="14"/>
        <v>0.1</v>
      </c>
    </row>
    <row r="72" spans="1:10">
      <c r="A72" s="721" t="s">
        <v>7</v>
      </c>
      <c r="B72" s="723">
        <f>MAX(B67:B69)</f>
        <v>0.15</v>
      </c>
      <c r="C72" s="723">
        <f t="shared" ref="C72:G72" si="15">MAX(C67:C69)</f>
        <v>0.16400000000000001</v>
      </c>
      <c r="D72" s="723">
        <f t="shared" si="15"/>
        <v>0.17699999999999999</v>
      </c>
      <c r="E72" s="732">
        <f t="shared" si="15"/>
        <v>0.18</v>
      </c>
      <c r="F72" s="723">
        <f t="shared" si="15"/>
        <v>0.193</v>
      </c>
      <c r="G72" s="736">
        <f t="shared" si="15"/>
        <v>0.22</v>
      </c>
    </row>
    <row r="73" spans="1:10" ht="12" thickBot="1">
      <c r="A73" s="725" t="s">
        <v>24</v>
      </c>
      <c r="B73" s="727">
        <f>AVERAGE(B67:B69)</f>
        <v>0.11333333333333333</v>
      </c>
      <c r="C73" s="727">
        <f t="shared" ref="C73:G73" si="16">AVERAGE(C67:C69)</f>
        <v>0.11966666666666666</v>
      </c>
      <c r="D73" s="727">
        <f t="shared" si="16"/>
        <v>0.12899999999999998</v>
      </c>
      <c r="E73" s="733">
        <f t="shared" si="16"/>
        <v>0.13166666666666668</v>
      </c>
      <c r="F73" s="727">
        <f t="shared" si="16"/>
        <v>0.13600000000000001</v>
      </c>
      <c r="G73" s="737">
        <f t="shared" si="16"/>
        <v>0.15</v>
      </c>
      <c r="I73" s="67">
        <f>(D73/B73)^(1/2)-1</f>
        <v>6.6881105895894466E-2</v>
      </c>
      <c r="J73" s="67">
        <f>(G73/E73)^(1/2)-1</f>
        <v>6.7352100447229946E-2</v>
      </c>
    </row>
    <row r="74" spans="1:10">
      <c r="A74" s="10"/>
      <c r="B74" s="10"/>
      <c r="C74" s="10"/>
      <c r="D74" s="10"/>
      <c r="E74" s="10"/>
      <c r="F74" s="10"/>
      <c r="G74" s="10"/>
    </row>
    <row r="75" spans="1:10">
      <c r="A75" s="10"/>
      <c r="B75" s="10"/>
      <c r="C75" s="10"/>
      <c r="D75" s="10"/>
      <c r="E75" s="10"/>
      <c r="F75" s="10"/>
      <c r="G75" s="10"/>
    </row>
    <row r="77" spans="1:10" s="357" customFormat="1" ht="20.25" customHeight="1">
      <c r="A77" s="358" t="s">
        <v>105</v>
      </c>
    </row>
    <row r="79" spans="1:10">
      <c r="A79" s="9" t="s">
        <v>93</v>
      </c>
      <c r="B79" s="16"/>
      <c r="C79" s="16"/>
      <c r="D79" s="16"/>
      <c r="E79" s="16"/>
      <c r="F79" s="16"/>
      <c r="G79" s="16"/>
    </row>
    <row r="80" spans="1:10">
      <c r="A80" s="27" t="str">
        <f>Input!E3</f>
        <v>XXX AG</v>
      </c>
      <c r="B80" s="16"/>
      <c r="C80" s="16"/>
      <c r="D80" s="16"/>
      <c r="E80" s="16"/>
      <c r="F80" s="16"/>
      <c r="G80" s="16"/>
    </row>
    <row r="81" spans="1:7">
      <c r="A81" s="9"/>
      <c r="B81" s="28">
        <f>Input!E12</f>
        <v>2010</v>
      </c>
      <c r="C81" s="28">
        <f>Input!F12</f>
        <v>2011</v>
      </c>
      <c r="D81" s="28">
        <f>Input!G12</f>
        <v>2012</v>
      </c>
      <c r="E81" s="28">
        <f>Input!H12</f>
        <v>2013</v>
      </c>
      <c r="F81" s="28">
        <f>Input!I12</f>
        <v>2014</v>
      </c>
      <c r="G81" s="28">
        <f>Input!J12</f>
        <v>2015</v>
      </c>
    </row>
    <row r="82" spans="1:7">
      <c r="A82" s="9"/>
      <c r="B82" s="28" t="str">
        <f>Input!E13</f>
        <v>Actual</v>
      </c>
      <c r="C82" s="28" t="str">
        <f>Input!F13</f>
        <v>Actual</v>
      </c>
      <c r="D82" s="28" t="str">
        <f>Input!G13</f>
        <v>Actual</v>
      </c>
      <c r="E82" s="28" t="str">
        <f>Input!H13</f>
        <v>Plan</v>
      </c>
      <c r="F82" s="28" t="str">
        <f>Input!I13</f>
        <v>Plan</v>
      </c>
      <c r="G82" s="28" t="str">
        <f>Input!J13</f>
        <v>Plan</v>
      </c>
    </row>
    <row r="83" spans="1:7">
      <c r="A83" s="27" t="s">
        <v>585</v>
      </c>
      <c r="B83" s="65">
        <f>Input!E23</f>
        <v>0.14000000000000001</v>
      </c>
      <c r="C83" s="65">
        <f>Input!F23</f>
        <v>0.14814814814814814</v>
      </c>
      <c r="D83" s="65">
        <f>Input!G23</f>
        <v>0.15178571428571427</v>
      </c>
      <c r="E83" s="65">
        <f>Input!H23</f>
        <v>0.15254237288135594</v>
      </c>
      <c r="F83" s="65">
        <f>Input!I23</f>
        <v>0.15573770491803279</v>
      </c>
      <c r="G83" s="65">
        <f>Input!J23</f>
        <v>0.15671641791044777</v>
      </c>
    </row>
    <row r="84" spans="1:7">
      <c r="A84" s="9"/>
      <c r="B84" s="16"/>
      <c r="C84" s="16"/>
      <c r="D84" s="16"/>
      <c r="E84" s="16"/>
      <c r="F84" s="16"/>
      <c r="G84" s="16"/>
    </row>
    <row r="85" spans="1:7">
      <c r="A85" s="92" t="s">
        <v>67</v>
      </c>
      <c r="B85" s="93">
        <v>0.21</v>
      </c>
      <c r="C85" s="93">
        <v>0.21199999999999999</v>
      </c>
      <c r="D85" s="93">
        <v>0.20899999999999999</v>
      </c>
      <c r="E85" s="93">
        <v>0.215</v>
      </c>
      <c r="F85" s="93">
        <v>0.218</v>
      </c>
      <c r="G85" s="93">
        <v>0.218</v>
      </c>
    </row>
    <row r="86" spans="1:7">
      <c r="A86" s="92" t="s">
        <v>4</v>
      </c>
      <c r="B86" s="93">
        <v>0.2</v>
      </c>
      <c r="C86" s="93">
        <v>0.20499999999999999</v>
      </c>
      <c r="D86" s="93">
        <v>0.21</v>
      </c>
      <c r="E86" s="93">
        <v>0.215</v>
      </c>
      <c r="F86" s="93">
        <v>0.22</v>
      </c>
      <c r="G86" s="93">
        <v>0.22500000000000001</v>
      </c>
    </row>
    <row r="87" spans="1:7">
      <c r="A87" s="92" t="s">
        <v>5</v>
      </c>
      <c r="B87" s="93">
        <v>0.17</v>
      </c>
      <c r="C87" s="93">
        <v>0.17499999999999999</v>
      </c>
      <c r="D87" s="93">
        <v>0.18</v>
      </c>
      <c r="E87" s="93">
        <v>0.184</v>
      </c>
      <c r="F87" s="93">
        <v>0.189</v>
      </c>
      <c r="G87" s="93">
        <v>0.19500000000000001</v>
      </c>
    </row>
    <row r="88" spans="1:7">
      <c r="A88" s="92" t="s">
        <v>6</v>
      </c>
      <c r="B88" s="93">
        <v>0.12</v>
      </c>
      <c r="C88" s="93">
        <v>0.122</v>
      </c>
      <c r="D88" s="93">
        <v>0.124</v>
      </c>
      <c r="E88" s="93">
        <v>0.125</v>
      </c>
      <c r="F88" s="93">
        <v>0.13</v>
      </c>
      <c r="G88" s="93">
        <v>0.13500000000000001</v>
      </c>
    </row>
    <row r="90" spans="1:7">
      <c r="A90" s="12"/>
      <c r="B90" s="10"/>
      <c r="C90" s="10"/>
      <c r="D90" s="10"/>
      <c r="E90" s="10"/>
      <c r="F90" s="10"/>
      <c r="G90" s="10"/>
    </row>
    <row r="91" spans="1:7">
      <c r="A91" s="27" t="s">
        <v>115</v>
      </c>
      <c r="B91" s="16"/>
      <c r="C91" s="16"/>
      <c r="D91" s="16"/>
      <c r="E91" s="16"/>
      <c r="F91" s="16"/>
      <c r="G91" s="16"/>
    </row>
    <row r="92" spans="1:7">
      <c r="A92" s="11" t="s">
        <v>9</v>
      </c>
      <c r="B92" s="16"/>
      <c r="C92" s="16"/>
      <c r="D92" s="16"/>
      <c r="E92" s="16"/>
      <c r="F92" s="16"/>
      <c r="G92" s="16"/>
    </row>
    <row r="93" spans="1:7">
      <c r="A93" s="96"/>
      <c r="B93" s="16"/>
      <c r="C93" s="16"/>
      <c r="D93" s="16"/>
      <c r="E93" s="16"/>
      <c r="F93" s="16"/>
      <c r="G93" s="16"/>
    </row>
    <row r="94" spans="1:7">
      <c r="A94" s="96"/>
      <c r="B94" s="16"/>
      <c r="C94" s="16"/>
      <c r="D94" s="16"/>
      <c r="E94" s="16"/>
      <c r="F94" s="16"/>
      <c r="G94" s="16"/>
    </row>
    <row r="95" spans="1:7">
      <c r="A95" s="96"/>
      <c r="B95" s="16"/>
      <c r="C95" s="16"/>
      <c r="D95" s="16"/>
      <c r="E95" s="16"/>
      <c r="F95" s="16"/>
      <c r="G95" s="16"/>
    </row>
    <row r="96" spans="1:7">
      <c r="A96" s="96"/>
      <c r="B96" s="16"/>
      <c r="C96" s="16"/>
      <c r="D96" s="16"/>
      <c r="E96" s="16"/>
      <c r="F96" s="16"/>
      <c r="G96" s="16"/>
    </row>
    <row r="97" spans="1:10" ht="19.5" customHeight="1">
      <c r="A97" s="377" t="str">
        <f>CONCATENATE(A83, " in comparison to peer group")</f>
        <v>Selling expenses ratio in comparison to peer group</v>
      </c>
      <c r="B97" s="377"/>
      <c r="C97" s="377"/>
      <c r="D97" s="377"/>
      <c r="E97" s="377"/>
      <c r="F97" s="377"/>
      <c r="G97" s="377"/>
    </row>
    <row r="98" spans="1:10">
      <c r="A98" s="387"/>
      <c r="B98" s="23">
        <f>B81</f>
        <v>2010</v>
      </c>
      <c r="C98" s="23">
        <f t="shared" ref="C98:G98" si="17">C81</f>
        <v>2011</v>
      </c>
      <c r="D98" s="23">
        <f t="shared" si="17"/>
        <v>2012</v>
      </c>
      <c r="E98" s="406">
        <f t="shared" si="17"/>
        <v>2013</v>
      </c>
      <c r="F98" s="407">
        <f t="shared" si="17"/>
        <v>2014</v>
      </c>
      <c r="G98" s="408">
        <f t="shared" si="17"/>
        <v>2015</v>
      </c>
    </row>
    <row r="99" spans="1:10">
      <c r="A99" s="397"/>
      <c r="B99" s="793" t="str">
        <f>C82</f>
        <v>Actual</v>
      </c>
      <c r="C99" s="793"/>
      <c r="D99" s="793"/>
      <c r="E99" s="790" t="str">
        <f>F82</f>
        <v>Plan</v>
      </c>
      <c r="F99" s="791"/>
      <c r="G99" s="794"/>
      <c r="I99" s="68" t="str">
        <f>CONCATENATE("CAGR ",RIGHT(B98,2),"-",RIGHT(D98,2))</f>
        <v>CAGR 10-12</v>
      </c>
      <c r="J99" s="68" t="str">
        <f>CONCATENATE("CAGR ",RIGHT(E98,2),"-",RIGHT(G98,2))</f>
        <v>CAGR 13-15</v>
      </c>
    </row>
    <row r="100" spans="1:10">
      <c r="A100" s="388" t="s">
        <v>3</v>
      </c>
      <c r="B100" s="307">
        <f>B83</f>
        <v>0.14000000000000001</v>
      </c>
      <c r="C100" s="307">
        <f t="shared" ref="C100:G100" si="18">C83</f>
        <v>0.14814814814814814</v>
      </c>
      <c r="D100" s="307">
        <f t="shared" si="18"/>
        <v>0.15178571428571427</v>
      </c>
      <c r="E100" s="402">
        <f t="shared" si="18"/>
        <v>0.15254237288135594</v>
      </c>
      <c r="F100" s="307">
        <f t="shared" si="18"/>
        <v>0.15573770491803279</v>
      </c>
      <c r="G100" s="394">
        <f t="shared" si="18"/>
        <v>0.15671641791044777</v>
      </c>
      <c r="I100" s="67">
        <f>(D100/B100)^(1/2)-1</f>
        <v>4.1241409793803419E-2</v>
      </c>
      <c r="J100" s="67">
        <f>(G100/E100)^(1/2)-1</f>
        <v>1.3589258072322918E-2</v>
      </c>
    </row>
    <row r="101" spans="1:10">
      <c r="A101" s="388" t="str">
        <f>A85</f>
        <v>Market study YYY</v>
      </c>
      <c r="B101" s="307">
        <f t="shared" ref="B101:G101" si="19">B85</f>
        <v>0.21</v>
      </c>
      <c r="C101" s="307">
        <f t="shared" si="19"/>
        <v>0.21199999999999999</v>
      </c>
      <c r="D101" s="307">
        <f t="shared" si="19"/>
        <v>0.20899999999999999</v>
      </c>
      <c r="E101" s="402">
        <f t="shared" si="19"/>
        <v>0.215</v>
      </c>
      <c r="F101" s="307">
        <f t="shared" si="19"/>
        <v>0.218</v>
      </c>
      <c r="G101" s="394">
        <f t="shared" si="19"/>
        <v>0.218</v>
      </c>
      <c r="I101" s="67">
        <f>(D101/B101)^(1/2)-1</f>
        <v>-2.3837936169565088E-3</v>
      </c>
      <c r="J101" s="67">
        <f>(G101/E101)^(1/2)-1</f>
        <v>6.9525750362293692E-3</v>
      </c>
    </row>
    <row r="102" spans="1:10">
      <c r="A102" s="388" t="str">
        <f>A86</f>
        <v>Peer 1</v>
      </c>
      <c r="B102" s="307">
        <f t="shared" ref="B102:G102" si="20">B86</f>
        <v>0.2</v>
      </c>
      <c r="C102" s="307">
        <f t="shared" si="20"/>
        <v>0.20499999999999999</v>
      </c>
      <c r="D102" s="307">
        <f t="shared" si="20"/>
        <v>0.21</v>
      </c>
      <c r="E102" s="402">
        <f t="shared" si="20"/>
        <v>0.215</v>
      </c>
      <c r="F102" s="307">
        <f t="shared" si="20"/>
        <v>0.22</v>
      </c>
      <c r="G102" s="394">
        <f t="shared" si="20"/>
        <v>0.22500000000000001</v>
      </c>
    </row>
    <row r="103" spans="1:10">
      <c r="A103" s="388" t="str">
        <f t="shared" ref="A103:A104" si="21">A87</f>
        <v>Peer 2</v>
      </c>
      <c r="B103" s="307">
        <f t="shared" ref="B103:G103" si="22">B87</f>
        <v>0.17</v>
      </c>
      <c r="C103" s="307">
        <f t="shared" si="22"/>
        <v>0.17499999999999999</v>
      </c>
      <c r="D103" s="307">
        <f t="shared" si="22"/>
        <v>0.18</v>
      </c>
      <c r="E103" s="402">
        <f t="shared" si="22"/>
        <v>0.184</v>
      </c>
      <c r="F103" s="307">
        <f t="shared" si="22"/>
        <v>0.189</v>
      </c>
      <c r="G103" s="394">
        <f t="shared" si="22"/>
        <v>0.19500000000000001</v>
      </c>
    </row>
    <row r="104" spans="1:10">
      <c r="A104" s="388" t="str">
        <f t="shared" si="21"/>
        <v>Peer 3</v>
      </c>
      <c r="B104" s="307">
        <f t="shared" ref="B104:G104" si="23">B88</f>
        <v>0.12</v>
      </c>
      <c r="C104" s="307">
        <f t="shared" si="23"/>
        <v>0.122</v>
      </c>
      <c r="D104" s="307">
        <f t="shared" si="23"/>
        <v>0.124</v>
      </c>
      <c r="E104" s="402">
        <f t="shared" si="23"/>
        <v>0.125</v>
      </c>
      <c r="F104" s="307">
        <f t="shared" si="23"/>
        <v>0.13</v>
      </c>
      <c r="G104" s="394">
        <f t="shared" si="23"/>
        <v>0.13500000000000001</v>
      </c>
    </row>
    <row r="105" spans="1:10" ht="3" customHeight="1">
      <c r="A105" s="388"/>
      <c r="B105" s="715"/>
      <c r="C105" s="715"/>
      <c r="D105" s="715"/>
      <c r="E105" s="729"/>
      <c r="F105" s="715"/>
      <c r="G105" s="734"/>
    </row>
    <row r="106" spans="1:10">
      <c r="A106" s="717" t="s">
        <v>8</v>
      </c>
      <c r="B106" s="719">
        <f>MIN(B102:B104)</f>
        <v>0.12</v>
      </c>
      <c r="C106" s="719">
        <f t="shared" ref="C106:G106" si="24">MIN(C102:C104)</f>
        <v>0.122</v>
      </c>
      <c r="D106" s="719">
        <f t="shared" si="24"/>
        <v>0.124</v>
      </c>
      <c r="E106" s="731">
        <f t="shared" si="24"/>
        <v>0.125</v>
      </c>
      <c r="F106" s="719">
        <f t="shared" si="24"/>
        <v>0.13</v>
      </c>
      <c r="G106" s="735">
        <f t="shared" si="24"/>
        <v>0.13500000000000001</v>
      </c>
    </row>
    <row r="107" spans="1:10">
      <c r="A107" s="721" t="s">
        <v>7</v>
      </c>
      <c r="B107" s="723">
        <f>MAX(B102:B104)</f>
        <v>0.2</v>
      </c>
      <c r="C107" s="723">
        <f t="shared" ref="C107:G107" si="25">MAX(C102:C104)</f>
        <v>0.20499999999999999</v>
      </c>
      <c r="D107" s="723">
        <f t="shared" si="25"/>
        <v>0.21</v>
      </c>
      <c r="E107" s="732">
        <f t="shared" si="25"/>
        <v>0.215</v>
      </c>
      <c r="F107" s="723">
        <f t="shared" si="25"/>
        <v>0.22</v>
      </c>
      <c r="G107" s="736">
        <f t="shared" si="25"/>
        <v>0.22500000000000001</v>
      </c>
    </row>
    <row r="108" spans="1:10" ht="12" thickBot="1">
      <c r="A108" s="725" t="s">
        <v>24</v>
      </c>
      <c r="B108" s="727">
        <f t="shared" ref="B108:G108" si="26">AVERAGE(B102:B104)</f>
        <v>0.16333333333333333</v>
      </c>
      <c r="C108" s="727">
        <f t="shared" si="26"/>
        <v>0.16733333333333333</v>
      </c>
      <c r="D108" s="727">
        <f t="shared" si="26"/>
        <v>0.17133333333333334</v>
      </c>
      <c r="E108" s="733">
        <f t="shared" si="26"/>
        <v>0.17466666666666666</v>
      </c>
      <c r="F108" s="727">
        <f t="shared" si="26"/>
        <v>0.17966666666666667</v>
      </c>
      <c r="G108" s="737">
        <f t="shared" si="26"/>
        <v>0.18500000000000003</v>
      </c>
      <c r="I108" s="67">
        <f>(D108/B108)^(1/2)-1</f>
        <v>2.4197047367709779E-2</v>
      </c>
      <c r="J108" s="67">
        <f>(G108/E108)^(1/2)-1</f>
        <v>2.9155141532855477E-2</v>
      </c>
    </row>
    <row r="109" spans="1:10">
      <c r="A109" s="10"/>
      <c r="B109" s="10"/>
      <c r="C109" s="10"/>
      <c r="D109" s="10"/>
      <c r="E109" s="10"/>
      <c r="F109" s="10"/>
      <c r="G109" s="10"/>
    </row>
    <row r="110" spans="1:10">
      <c r="A110" s="10"/>
      <c r="B110" s="10"/>
      <c r="C110" s="10"/>
      <c r="D110" s="10"/>
      <c r="E110" s="10"/>
      <c r="F110" s="10"/>
      <c r="G110" s="10"/>
    </row>
    <row r="111" spans="1:10">
      <c r="A111" s="11" t="s">
        <v>9</v>
      </c>
      <c r="B111" s="10"/>
      <c r="C111" s="10"/>
      <c r="D111" s="10"/>
      <c r="E111" s="10"/>
      <c r="F111" s="10"/>
      <c r="G111" s="10"/>
    </row>
    <row r="117" spans="1:7" s="357" customFormat="1" ht="20.25" customHeight="1">
      <c r="A117" s="358" t="s">
        <v>107</v>
      </c>
    </row>
    <row r="119" spans="1:7">
      <c r="A119" s="9" t="s">
        <v>93</v>
      </c>
      <c r="B119" s="16"/>
      <c r="C119" s="16"/>
      <c r="D119" s="16"/>
      <c r="E119" s="16"/>
      <c r="F119" s="16"/>
      <c r="G119" s="16"/>
    </row>
    <row r="120" spans="1:7">
      <c r="A120" s="27" t="str">
        <f>Input!E3</f>
        <v>XXX AG</v>
      </c>
      <c r="B120" s="16"/>
      <c r="C120" s="16"/>
      <c r="D120" s="16"/>
      <c r="E120" s="16"/>
      <c r="F120" s="16"/>
      <c r="G120" s="16"/>
    </row>
    <row r="121" spans="1:7">
      <c r="A121" s="9"/>
      <c r="B121" s="28">
        <f>Input!E12</f>
        <v>2010</v>
      </c>
      <c r="C121" s="28">
        <f>Input!F12</f>
        <v>2011</v>
      </c>
      <c r="D121" s="28">
        <f>Input!G12</f>
        <v>2012</v>
      </c>
      <c r="E121" s="28">
        <f>Input!H12</f>
        <v>2013</v>
      </c>
      <c r="F121" s="28">
        <f>Input!I12</f>
        <v>2014</v>
      </c>
      <c r="G121" s="28">
        <f>Input!J12</f>
        <v>2015</v>
      </c>
    </row>
    <row r="122" spans="1:7">
      <c r="A122" s="9"/>
      <c r="B122" s="28" t="str">
        <f>Input!E13</f>
        <v>Actual</v>
      </c>
      <c r="C122" s="28" t="str">
        <f>Input!F13</f>
        <v>Actual</v>
      </c>
      <c r="D122" s="28" t="str">
        <f>Input!G13</f>
        <v>Actual</v>
      </c>
      <c r="E122" s="28" t="str">
        <f>Input!H13</f>
        <v>Plan</v>
      </c>
      <c r="F122" s="28" t="str">
        <f>Input!I13</f>
        <v>Plan</v>
      </c>
      <c r="G122" s="28" t="str">
        <f>Input!J13</f>
        <v>Plan</v>
      </c>
    </row>
    <row r="123" spans="1:7">
      <c r="A123" s="27" t="str">
        <f>Input!D76</f>
        <v>Depreciation ratio</v>
      </c>
      <c r="B123" s="65">
        <f>Input!E76</f>
        <v>0.1</v>
      </c>
      <c r="C123" s="65">
        <f>Input!F76</f>
        <v>9.2592592592592587E-2</v>
      </c>
      <c r="D123" s="65">
        <f>Input!G76</f>
        <v>8.9285714285714288E-2</v>
      </c>
      <c r="E123" s="65">
        <f>Input!H76</f>
        <v>8.4745762711864403E-2</v>
      </c>
      <c r="F123" s="65">
        <f>Input!I76</f>
        <v>8.1967213114754092E-2</v>
      </c>
      <c r="G123" s="65">
        <f>Input!J76</f>
        <v>7.4626865671641784E-2</v>
      </c>
    </row>
    <row r="124" spans="1:7">
      <c r="A124" s="9"/>
      <c r="B124" s="16"/>
      <c r="C124" s="16"/>
      <c r="D124" s="16"/>
      <c r="E124" s="16"/>
      <c r="F124" s="16"/>
      <c r="G124" s="16"/>
    </row>
    <row r="125" spans="1:7">
      <c r="A125" s="92" t="s">
        <v>67</v>
      </c>
      <c r="B125" s="93">
        <v>0.06</v>
      </c>
      <c r="C125" s="93">
        <v>5.8999999999999997E-2</v>
      </c>
      <c r="D125" s="93">
        <v>5.8000000000000003E-2</v>
      </c>
      <c r="E125" s="93">
        <v>6.8000000000000005E-2</v>
      </c>
      <c r="F125" s="93">
        <v>8.4000000000000005E-2</v>
      </c>
      <c r="G125" s="93">
        <v>0.08</v>
      </c>
    </row>
    <row r="126" spans="1:7">
      <c r="A126" s="92" t="s">
        <v>4</v>
      </c>
      <c r="B126" s="93">
        <v>7.0000000000000007E-2</v>
      </c>
      <c r="C126" s="93">
        <v>7.4999999999999997E-2</v>
      </c>
      <c r="D126" s="93">
        <v>7.9000000000000001E-2</v>
      </c>
      <c r="E126" s="93">
        <v>8.8999999999999996E-2</v>
      </c>
      <c r="F126" s="93">
        <v>9.5000000000000001E-2</v>
      </c>
      <c r="G126" s="93">
        <v>0.105</v>
      </c>
    </row>
    <row r="127" spans="1:7">
      <c r="A127" s="92" t="s">
        <v>5</v>
      </c>
      <c r="B127" s="93">
        <v>5.8999999999999997E-2</v>
      </c>
      <c r="C127" s="93">
        <v>5.7000000000000002E-2</v>
      </c>
      <c r="D127" s="93">
        <v>5.8999999999999997E-2</v>
      </c>
      <c r="E127" s="93">
        <v>5.6000000000000001E-2</v>
      </c>
      <c r="F127" s="93">
        <v>5.5E-2</v>
      </c>
      <c r="G127" s="93">
        <v>5.3999999999999999E-2</v>
      </c>
    </row>
    <row r="128" spans="1:7">
      <c r="A128" s="92" t="s">
        <v>6</v>
      </c>
      <c r="B128" s="93">
        <v>0.04</v>
      </c>
      <c r="C128" s="93">
        <v>4.1000000000000002E-2</v>
      </c>
      <c r="D128" s="93">
        <v>4.4999999999999998E-2</v>
      </c>
      <c r="E128" s="93">
        <v>0.05</v>
      </c>
      <c r="F128" s="93">
        <v>5.3999999999999999E-2</v>
      </c>
      <c r="G128" s="93">
        <v>0.06</v>
      </c>
    </row>
    <row r="130" spans="1:10">
      <c r="A130" s="12"/>
      <c r="B130" s="16"/>
      <c r="C130" s="16"/>
      <c r="D130" s="16"/>
      <c r="E130" s="16"/>
      <c r="F130" s="16"/>
      <c r="G130" s="16"/>
    </row>
    <row r="131" spans="1:10">
      <c r="A131" s="27" t="s">
        <v>115</v>
      </c>
      <c r="B131" s="16"/>
      <c r="C131" s="16"/>
      <c r="D131" s="16"/>
      <c r="E131" s="16"/>
      <c r="F131" s="16"/>
      <c r="G131" s="16"/>
    </row>
    <row r="132" spans="1:10">
      <c r="A132" s="11" t="s">
        <v>9</v>
      </c>
      <c r="B132" s="16"/>
      <c r="C132" s="16"/>
      <c r="D132" s="16"/>
      <c r="E132" s="16"/>
      <c r="F132" s="16"/>
      <c r="G132" s="16"/>
    </row>
    <row r="137" spans="1:10">
      <c r="A137" s="9" t="s">
        <v>93</v>
      </c>
      <c r="B137"/>
      <c r="C137"/>
      <c r="D137"/>
      <c r="E137"/>
      <c r="F137"/>
      <c r="G137"/>
    </row>
    <row r="138" spans="1:10" ht="19.5" customHeight="1">
      <c r="A138" s="377" t="str">
        <f>CONCATENATE(A123, " in comparison to peer group")</f>
        <v>Depreciation ratio in comparison to peer group</v>
      </c>
      <c r="B138" s="377"/>
      <c r="C138" s="377"/>
      <c r="D138" s="377"/>
      <c r="E138" s="377"/>
      <c r="F138" s="377"/>
      <c r="G138" s="377"/>
    </row>
    <row r="139" spans="1:10">
      <c r="A139" s="387"/>
      <c r="B139" s="23">
        <f>B121</f>
        <v>2010</v>
      </c>
      <c r="C139" s="23">
        <f t="shared" ref="C139:G139" si="27">C121</f>
        <v>2011</v>
      </c>
      <c r="D139" s="23">
        <f t="shared" si="27"/>
        <v>2012</v>
      </c>
      <c r="E139" s="406">
        <f t="shared" si="27"/>
        <v>2013</v>
      </c>
      <c r="F139" s="407">
        <f t="shared" si="27"/>
        <v>2014</v>
      </c>
      <c r="G139" s="440">
        <f t="shared" si="27"/>
        <v>2015</v>
      </c>
    </row>
    <row r="140" spans="1:10">
      <c r="A140" s="397"/>
      <c r="B140" s="793" t="str">
        <f>C122</f>
        <v>Actual</v>
      </c>
      <c r="C140" s="793"/>
      <c r="D140" s="793"/>
      <c r="E140" s="790" t="str">
        <f>F122</f>
        <v>Plan</v>
      </c>
      <c r="F140" s="791"/>
      <c r="G140" s="792"/>
      <c r="I140" s="68" t="str">
        <f>CONCATENATE("CAGR ",RIGHT(B139,2),"-",RIGHT(D139,2))</f>
        <v>CAGR 10-12</v>
      </c>
      <c r="J140" s="68" t="str">
        <f>CONCATENATE("CAGR ",RIGHT(E139,2),"-",RIGHT(G139,2))</f>
        <v>CAGR 13-15</v>
      </c>
    </row>
    <row r="141" spans="1:10">
      <c r="A141" s="388" t="s">
        <v>3</v>
      </c>
      <c r="B141" s="307">
        <f>B123</f>
        <v>0.1</v>
      </c>
      <c r="C141" s="307">
        <f t="shared" ref="C141:G141" si="28">C123</f>
        <v>9.2592592592592587E-2</v>
      </c>
      <c r="D141" s="307">
        <f t="shared" si="28"/>
        <v>8.9285714285714288E-2</v>
      </c>
      <c r="E141" s="402">
        <f t="shared" si="28"/>
        <v>8.4745762711864403E-2</v>
      </c>
      <c r="F141" s="307">
        <f t="shared" si="28"/>
        <v>8.1967213114754092E-2</v>
      </c>
      <c r="G141" s="716">
        <f t="shared" si="28"/>
        <v>7.4626865671641784E-2</v>
      </c>
      <c r="I141" s="67">
        <f>(D141/B141)^(1/2)-1</f>
        <v>-5.5088817476931951E-2</v>
      </c>
      <c r="J141" s="67">
        <f>(G141/E141)^(1/2)-1</f>
        <v>-6.1598691963095642E-2</v>
      </c>
    </row>
    <row r="142" spans="1:10">
      <c r="A142" s="388" t="str">
        <f>A125</f>
        <v>Market study YYY</v>
      </c>
      <c r="B142" s="307">
        <f>B125</f>
        <v>0.06</v>
      </c>
      <c r="C142" s="307">
        <f t="shared" ref="C142:G142" si="29">C125</f>
        <v>5.8999999999999997E-2</v>
      </c>
      <c r="D142" s="307">
        <f t="shared" si="29"/>
        <v>5.8000000000000003E-2</v>
      </c>
      <c r="E142" s="402">
        <f t="shared" si="29"/>
        <v>6.8000000000000005E-2</v>
      </c>
      <c r="F142" s="307">
        <f t="shared" si="29"/>
        <v>8.4000000000000005E-2</v>
      </c>
      <c r="G142" s="716">
        <f t="shared" si="29"/>
        <v>0.08</v>
      </c>
      <c r="I142" s="67">
        <f>(D142/B142)^(1/2)-1</f>
        <v>-1.6807919749824873E-2</v>
      </c>
      <c r="J142" s="67">
        <f>(G142/E142)^(1/2)-1</f>
        <v>8.4652289093280819E-2</v>
      </c>
    </row>
    <row r="143" spans="1:10">
      <c r="A143" s="388" t="str">
        <f t="shared" ref="A143:A145" si="30">A126</f>
        <v>Peer 1</v>
      </c>
      <c r="B143" s="307">
        <f t="shared" ref="B143" si="31">B126</f>
        <v>7.0000000000000007E-2</v>
      </c>
      <c r="C143" s="307">
        <f t="shared" ref="C143:G143" si="32">C126</f>
        <v>7.4999999999999997E-2</v>
      </c>
      <c r="D143" s="307">
        <f t="shared" si="32"/>
        <v>7.9000000000000001E-2</v>
      </c>
      <c r="E143" s="402">
        <f t="shared" si="32"/>
        <v>8.8999999999999996E-2</v>
      </c>
      <c r="F143" s="307">
        <f t="shared" si="32"/>
        <v>9.5000000000000001E-2</v>
      </c>
      <c r="G143" s="716">
        <f t="shared" si="32"/>
        <v>0.105</v>
      </c>
    </row>
    <row r="144" spans="1:10">
      <c r="A144" s="388" t="str">
        <f t="shared" si="30"/>
        <v>Peer 2</v>
      </c>
      <c r="B144" s="307">
        <f t="shared" ref="B144" si="33">B127</f>
        <v>5.8999999999999997E-2</v>
      </c>
      <c r="C144" s="307">
        <f t="shared" ref="C144:G144" si="34">C127</f>
        <v>5.7000000000000002E-2</v>
      </c>
      <c r="D144" s="307">
        <f t="shared" si="34"/>
        <v>5.8999999999999997E-2</v>
      </c>
      <c r="E144" s="402">
        <f t="shared" si="34"/>
        <v>5.6000000000000001E-2</v>
      </c>
      <c r="F144" s="307">
        <f t="shared" si="34"/>
        <v>5.5E-2</v>
      </c>
      <c r="G144" s="716">
        <f t="shared" si="34"/>
        <v>5.3999999999999999E-2</v>
      </c>
    </row>
    <row r="145" spans="1:10">
      <c r="A145" s="388" t="str">
        <f t="shared" si="30"/>
        <v>Peer 3</v>
      </c>
      <c r="B145" s="307">
        <f t="shared" ref="B145" si="35">B128</f>
        <v>0.04</v>
      </c>
      <c r="C145" s="307">
        <f t="shared" ref="C145:G145" si="36">C128</f>
        <v>4.1000000000000002E-2</v>
      </c>
      <c r="D145" s="307">
        <f t="shared" si="36"/>
        <v>4.4999999999999998E-2</v>
      </c>
      <c r="E145" s="402">
        <f t="shared" si="36"/>
        <v>0.05</v>
      </c>
      <c r="F145" s="307">
        <f t="shared" si="36"/>
        <v>5.3999999999999999E-2</v>
      </c>
      <c r="G145" s="716">
        <f t="shared" si="36"/>
        <v>0.06</v>
      </c>
    </row>
    <row r="146" spans="1:10" ht="3" customHeight="1">
      <c r="A146" s="388"/>
      <c r="B146" s="715"/>
      <c r="C146" s="715"/>
      <c r="D146" s="715"/>
      <c r="E146" s="729"/>
      <c r="F146" s="715"/>
      <c r="G146" s="730"/>
    </row>
    <row r="147" spans="1:10">
      <c r="A147" s="717" t="s">
        <v>8</v>
      </c>
      <c r="B147" s="719">
        <f>MIN(B143:B145)</f>
        <v>0.04</v>
      </c>
      <c r="C147" s="719">
        <f t="shared" ref="C147:G147" si="37">MIN(C143:C145)</f>
        <v>4.1000000000000002E-2</v>
      </c>
      <c r="D147" s="719">
        <f t="shared" si="37"/>
        <v>4.4999999999999998E-2</v>
      </c>
      <c r="E147" s="731">
        <f t="shared" si="37"/>
        <v>0.05</v>
      </c>
      <c r="F147" s="719">
        <f t="shared" si="37"/>
        <v>5.3999999999999999E-2</v>
      </c>
      <c r="G147" s="720">
        <f t="shared" si="37"/>
        <v>5.3999999999999999E-2</v>
      </c>
    </row>
    <row r="148" spans="1:10">
      <c r="A148" s="721" t="s">
        <v>7</v>
      </c>
      <c r="B148" s="723">
        <f>MAX(B143:B145)</f>
        <v>7.0000000000000007E-2</v>
      </c>
      <c r="C148" s="723">
        <f t="shared" ref="C148:G148" si="38">MAX(C143:C145)</f>
        <v>7.4999999999999997E-2</v>
      </c>
      <c r="D148" s="723">
        <f t="shared" si="38"/>
        <v>7.9000000000000001E-2</v>
      </c>
      <c r="E148" s="732">
        <f t="shared" si="38"/>
        <v>8.8999999999999996E-2</v>
      </c>
      <c r="F148" s="723">
        <f t="shared" si="38"/>
        <v>9.5000000000000001E-2</v>
      </c>
      <c r="G148" s="724">
        <f t="shared" si="38"/>
        <v>0.105</v>
      </c>
    </row>
    <row r="149" spans="1:10" ht="12" thickBot="1">
      <c r="A149" s="725" t="s">
        <v>24</v>
      </c>
      <c r="B149" s="727">
        <f t="shared" ref="B149:G149" si="39">AVERAGE(B143:B145)</f>
        <v>5.6333333333333339E-2</v>
      </c>
      <c r="C149" s="727">
        <f t="shared" si="39"/>
        <v>5.7666666666666672E-2</v>
      </c>
      <c r="D149" s="727">
        <f t="shared" si="39"/>
        <v>6.0999999999999999E-2</v>
      </c>
      <c r="E149" s="733">
        <f t="shared" si="39"/>
        <v>6.5000000000000002E-2</v>
      </c>
      <c r="F149" s="727">
        <f t="shared" si="39"/>
        <v>6.7999999999999991E-2</v>
      </c>
      <c r="G149" s="728">
        <f t="shared" si="39"/>
        <v>7.2999999999999995E-2</v>
      </c>
      <c r="I149" s="67">
        <f>(D149/B149)^(1/2)-1</f>
        <v>4.0596096805283199E-2</v>
      </c>
      <c r="J149" s="67">
        <f>(G149/E149)^(1/2)-1</f>
        <v>5.9753236879662941E-2</v>
      </c>
    </row>
    <row r="150" spans="1:10">
      <c r="A150" s="10"/>
      <c r="B150" s="10"/>
      <c r="C150" s="10"/>
      <c r="D150" s="10"/>
      <c r="E150" s="10"/>
      <c r="F150" s="10"/>
      <c r="G150" s="10"/>
    </row>
    <row r="151" spans="1:10">
      <c r="A151" s="10"/>
      <c r="B151" s="10"/>
      <c r="C151" s="10"/>
      <c r="D151" s="10"/>
      <c r="E151" s="10"/>
      <c r="F151" s="10"/>
      <c r="G151" s="10"/>
    </row>
    <row r="152" spans="1:10">
      <c r="A152" s="11"/>
      <c r="B152" s="10"/>
      <c r="C152" s="10"/>
      <c r="D152" s="10"/>
      <c r="E152" s="10"/>
      <c r="F152" s="10"/>
      <c r="G152" s="10"/>
    </row>
    <row r="153" spans="1:10">
      <c r="A153" s="10"/>
      <c r="B153" s="10"/>
      <c r="C153" s="10"/>
      <c r="D153" s="10"/>
      <c r="E153" s="10"/>
      <c r="F153" s="10"/>
      <c r="G153" s="10"/>
    </row>
    <row r="155" spans="1:10" s="357" customFormat="1" ht="20.25" customHeight="1">
      <c r="A155" s="358" t="s">
        <v>108</v>
      </c>
    </row>
    <row r="157" spans="1:10">
      <c r="A157" s="9" t="s">
        <v>93</v>
      </c>
      <c r="B157" s="16"/>
      <c r="C157" s="16"/>
      <c r="D157" s="16"/>
      <c r="E157" s="16"/>
      <c r="F157" s="16"/>
      <c r="G157" s="16"/>
    </row>
    <row r="158" spans="1:10">
      <c r="A158" s="27" t="str">
        <f>Input!E3</f>
        <v>XXX AG</v>
      </c>
      <c r="B158" s="16"/>
      <c r="C158" s="16"/>
      <c r="D158" s="16"/>
      <c r="E158" s="16"/>
      <c r="F158" s="16"/>
      <c r="G158" s="16"/>
    </row>
    <row r="159" spans="1:10">
      <c r="A159" s="9"/>
      <c r="B159" s="28">
        <f>Input!E12</f>
        <v>2010</v>
      </c>
      <c r="C159" s="28">
        <f>Input!F12</f>
        <v>2011</v>
      </c>
      <c r="D159" s="28">
        <f>Input!G12</f>
        <v>2012</v>
      </c>
      <c r="E159" s="28">
        <f>Input!H12</f>
        <v>2013</v>
      </c>
      <c r="F159" s="28">
        <f>Input!I12</f>
        <v>2014</v>
      </c>
      <c r="G159" s="28">
        <f>Input!J12</f>
        <v>2015</v>
      </c>
      <c r="H159" s="27" t="s">
        <v>424</v>
      </c>
    </row>
    <row r="160" spans="1:10">
      <c r="A160" s="9"/>
      <c r="B160" s="28" t="str">
        <f>Input!E13</f>
        <v>Actual</v>
      </c>
      <c r="C160" s="28" t="str">
        <f>Input!F13</f>
        <v>Actual</v>
      </c>
      <c r="D160" s="28" t="str">
        <f>Input!G13</f>
        <v>Actual</v>
      </c>
      <c r="E160" s="28" t="str">
        <f>Input!H13</f>
        <v>Plan</v>
      </c>
      <c r="F160" s="28" t="str">
        <f>Input!I13</f>
        <v>Plan</v>
      </c>
      <c r="G160" s="28" t="str">
        <f>Input!J13</f>
        <v>Plan</v>
      </c>
    </row>
    <row r="161" spans="1:10">
      <c r="A161" s="2" t="s">
        <v>597</v>
      </c>
      <c r="B161" s="65">
        <f>Input!E81</f>
        <v>0.06</v>
      </c>
      <c r="C161" s="65">
        <f>Input!F81</f>
        <v>7.407407407407407E-2</v>
      </c>
      <c r="D161" s="65">
        <f>Input!G81</f>
        <v>8.0357142857142863E-2</v>
      </c>
      <c r="E161" s="65">
        <f>Input!H81</f>
        <v>0.13559322033898305</v>
      </c>
      <c r="F161" s="65">
        <f>Input!I81</f>
        <v>0.14754098360655737</v>
      </c>
      <c r="G161" s="65">
        <f>Input!J81</f>
        <v>0.14925373134328357</v>
      </c>
      <c r="H161" s="93">
        <v>0.09</v>
      </c>
    </row>
    <row r="162" spans="1:10">
      <c r="A162" s="9"/>
      <c r="B162" s="16"/>
      <c r="C162" s="16"/>
      <c r="D162" s="16"/>
      <c r="E162" s="16"/>
      <c r="F162" s="16"/>
      <c r="G162" s="16"/>
    </row>
    <row r="163" spans="1:10">
      <c r="A163" s="92" t="s">
        <v>67</v>
      </c>
      <c r="B163" s="93">
        <v>0.06</v>
      </c>
      <c r="C163" s="93">
        <v>5.8999999999999997E-2</v>
      </c>
      <c r="D163" s="93">
        <v>5.8000000000000003E-2</v>
      </c>
      <c r="E163" s="93">
        <v>6.8000000000000005E-2</v>
      </c>
      <c r="F163" s="93">
        <v>8.4000000000000005E-2</v>
      </c>
      <c r="G163" s="93">
        <v>0.08</v>
      </c>
      <c r="H163" s="93">
        <v>0.05</v>
      </c>
    </row>
    <row r="164" spans="1:10">
      <c r="A164" s="92" t="s">
        <v>4</v>
      </c>
      <c r="B164" s="93">
        <v>0.1</v>
      </c>
      <c r="C164" s="93">
        <v>0.11</v>
      </c>
      <c r="D164" s="93">
        <v>0.12</v>
      </c>
      <c r="E164" s="93">
        <v>0.14000000000000001</v>
      </c>
      <c r="F164" s="93">
        <v>0.16</v>
      </c>
      <c r="G164" s="93">
        <v>0.18</v>
      </c>
      <c r="H164" s="93">
        <v>0.11</v>
      </c>
    </row>
    <row r="165" spans="1:10">
      <c r="A165" s="92" t="s">
        <v>5</v>
      </c>
      <c r="B165" s="93">
        <v>7.0000000000000007E-2</v>
      </c>
      <c r="C165" s="93">
        <v>0.08</v>
      </c>
      <c r="D165" s="93">
        <v>0.09</v>
      </c>
      <c r="E165" s="93">
        <v>0.1</v>
      </c>
      <c r="F165" s="93">
        <v>0.11</v>
      </c>
      <c r="G165" s="93">
        <v>0.12</v>
      </c>
      <c r="H165" s="93">
        <v>7.0000000000000007E-2</v>
      </c>
    </row>
    <row r="166" spans="1:10">
      <c r="A166" s="92" t="s">
        <v>6</v>
      </c>
      <c r="B166" s="93">
        <v>0.05</v>
      </c>
      <c r="C166" s="93">
        <v>0.06</v>
      </c>
      <c r="D166" s="93">
        <v>7.0000000000000007E-2</v>
      </c>
      <c r="E166" s="93">
        <v>0.08</v>
      </c>
      <c r="F166" s="93">
        <v>0.09</v>
      </c>
      <c r="G166" s="93">
        <v>0.1</v>
      </c>
      <c r="H166" s="93">
        <v>0.06</v>
      </c>
    </row>
    <row r="168" spans="1:10">
      <c r="A168" s="12"/>
      <c r="B168" s="16"/>
      <c r="C168" s="16"/>
      <c r="D168" s="16"/>
      <c r="E168" s="16"/>
      <c r="F168" s="16"/>
      <c r="G168" s="16"/>
    </row>
    <row r="169" spans="1:10">
      <c r="A169" s="27" t="s">
        <v>115</v>
      </c>
      <c r="B169" s="16"/>
      <c r="C169" s="16"/>
      <c r="D169" s="16"/>
      <c r="E169" s="16"/>
      <c r="F169" s="16"/>
      <c r="G169" s="16"/>
    </row>
    <row r="170" spans="1:10">
      <c r="A170" s="11" t="s">
        <v>9</v>
      </c>
      <c r="B170" s="16"/>
      <c r="C170" s="16"/>
      <c r="D170" s="16"/>
      <c r="E170" s="16"/>
      <c r="F170" s="16"/>
      <c r="G170" s="16"/>
    </row>
    <row r="173" spans="1:10">
      <c r="A173" s="9"/>
      <c r="B173" s="10"/>
      <c r="C173" s="10"/>
      <c r="D173" s="10"/>
      <c r="E173" s="10"/>
      <c r="F173" s="10"/>
      <c r="G173" s="10"/>
    </row>
    <row r="174" spans="1:10" ht="19.5" customHeight="1">
      <c r="A174" s="377" t="str">
        <f>CONCATENATE(A161, " in comparison to peer group")</f>
        <v>Investment ratio in comparison to peer group</v>
      </c>
      <c r="B174" s="377"/>
      <c r="C174" s="377"/>
      <c r="D174" s="377"/>
      <c r="E174" s="377"/>
      <c r="F174" s="377"/>
      <c r="G174" s="377"/>
    </row>
    <row r="175" spans="1:10">
      <c r="A175" s="387"/>
      <c r="B175" s="23">
        <f>B159</f>
        <v>2010</v>
      </c>
      <c r="C175" s="23">
        <f t="shared" ref="C175:H175" si="40">C159</f>
        <v>2011</v>
      </c>
      <c r="D175" s="23">
        <f t="shared" si="40"/>
        <v>2012</v>
      </c>
      <c r="E175" s="406">
        <f t="shared" si="40"/>
        <v>2013</v>
      </c>
      <c r="F175" s="407">
        <f t="shared" si="40"/>
        <v>2014</v>
      </c>
      <c r="G175" s="440">
        <f t="shared" si="40"/>
        <v>2015</v>
      </c>
      <c r="H175" s="54" t="str">
        <f t="shared" si="40"/>
        <v>TV</v>
      </c>
    </row>
    <row r="176" spans="1:10">
      <c r="A176" s="397"/>
      <c r="B176" s="793" t="str">
        <f>C160</f>
        <v>Actual</v>
      </c>
      <c r="C176" s="793"/>
      <c r="D176" s="793"/>
      <c r="E176" s="790" t="str">
        <f>F160</f>
        <v>Plan</v>
      </c>
      <c r="F176" s="791"/>
      <c r="G176" s="792"/>
      <c r="I176" s="68" t="str">
        <f>CONCATENATE("CAGR ",RIGHT(B175,2),"-",RIGHT(D175,2))</f>
        <v>CAGR 10-12</v>
      </c>
      <c r="J176" s="68" t="str">
        <f>CONCATENATE("CAGR ",RIGHT(E175,2),"-",RIGHT(G175,2))</f>
        <v>CAGR 13-15</v>
      </c>
    </row>
    <row r="177" spans="1:10">
      <c r="A177" s="388" t="s">
        <v>3</v>
      </c>
      <c r="B177" s="307">
        <f>B161</f>
        <v>0.06</v>
      </c>
      <c r="C177" s="307">
        <f t="shared" ref="C177:G177" si="41">C161</f>
        <v>7.407407407407407E-2</v>
      </c>
      <c r="D177" s="307">
        <f t="shared" si="41"/>
        <v>8.0357142857142863E-2</v>
      </c>
      <c r="E177" s="402">
        <f t="shared" si="41"/>
        <v>0.13559322033898305</v>
      </c>
      <c r="F177" s="307">
        <f t="shared" si="41"/>
        <v>0.14754098360655737</v>
      </c>
      <c r="G177" s="716">
        <f t="shared" si="41"/>
        <v>0.14925373134328357</v>
      </c>
      <c r="H177" s="65">
        <f t="shared" ref="H177" si="42">H161</f>
        <v>0.09</v>
      </c>
      <c r="I177" s="67">
        <f>(D177/B177)^(1/2)-1</f>
        <v>0.15727512471568939</v>
      </c>
      <c r="J177" s="67">
        <f>(G177/E177)^(1/2)-1</f>
        <v>4.9164557472618942E-2</v>
      </c>
    </row>
    <row r="178" spans="1:10">
      <c r="A178" s="388" t="str">
        <f>A163</f>
        <v>Market study YYY</v>
      </c>
      <c r="B178" s="307">
        <f>B163</f>
        <v>0.06</v>
      </c>
      <c r="C178" s="307">
        <f t="shared" ref="C178:G178" si="43">C163</f>
        <v>5.8999999999999997E-2</v>
      </c>
      <c r="D178" s="307">
        <f t="shared" si="43"/>
        <v>5.8000000000000003E-2</v>
      </c>
      <c r="E178" s="402">
        <f t="shared" si="43"/>
        <v>6.8000000000000005E-2</v>
      </c>
      <c r="F178" s="307">
        <f t="shared" si="43"/>
        <v>8.4000000000000005E-2</v>
      </c>
      <c r="G178" s="716">
        <f t="shared" si="43"/>
        <v>0.08</v>
      </c>
      <c r="H178" s="65">
        <f t="shared" ref="H178" si="44">H163</f>
        <v>0.05</v>
      </c>
      <c r="I178" s="67">
        <f>(D178/B178)^(1/2)-1</f>
        <v>-1.6807919749824873E-2</v>
      </c>
      <c r="J178" s="67">
        <f>(G178/E178)^(1/2)-1</f>
        <v>8.4652289093280819E-2</v>
      </c>
    </row>
    <row r="179" spans="1:10">
      <c r="A179" s="388" t="str">
        <f t="shared" ref="A179:B181" si="45">A164</f>
        <v>Peer 1</v>
      </c>
      <c r="B179" s="307">
        <f t="shared" si="45"/>
        <v>0.1</v>
      </c>
      <c r="C179" s="307">
        <f t="shared" ref="C179:G179" si="46">C164</f>
        <v>0.11</v>
      </c>
      <c r="D179" s="307">
        <f t="shared" si="46"/>
        <v>0.12</v>
      </c>
      <c r="E179" s="402">
        <f t="shared" si="46"/>
        <v>0.14000000000000001</v>
      </c>
      <c r="F179" s="307">
        <f t="shared" si="46"/>
        <v>0.16</v>
      </c>
      <c r="G179" s="716">
        <f t="shared" si="46"/>
        <v>0.18</v>
      </c>
      <c r="H179" s="65">
        <f t="shared" ref="H179" si="47">H164</f>
        <v>0.11</v>
      </c>
    </row>
    <row r="180" spans="1:10">
      <c r="A180" s="388" t="str">
        <f t="shared" si="45"/>
        <v>Peer 2</v>
      </c>
      <c r="B180" s="307">
        <f t="shared" si="45"/>
        <v>7.0000000000000007E-2</v>
      </c>
      <c r="C180" s="307">
        <f t="shared" ref="C180:G180" si="48">C165</f>
        <v>0.08</v>
      </c>
      <c r="D180" s="307">
        <f t="shared" si="48"/>
        <v>0.09</v>
      </c>
      <c r="E180" s="402">
        <f t="shared" si="48"/>
        <v>0.1</v>
      </c>
      <c r="F180" s="307">
        <f t="shared" si="48"/>
        <v>0.11</v>
      </c>
      <c r="G180" s="716">
        <f t="shared" si="48"/>
        <v>0.12</v>
      </c>
      <c r="H180" s="65">
        <f t="shared" ref="H180" si="49">H165</f>
        <v>7.0000000000000007E-2</v>
      </c>
    </row>
    <row r="181" spans="1:10">
      <c r="A181" s="388" t="str">
        <f t="shared" si="45"/>
        <v>Peer 3</v>
      </c>
      <c r="B181" s="307">
        <f t="shared" si="45"/>
        <v>0.05</v>
      </c>
      <c r="C181" s="307">
        <f t="shared" ref="C181:G181" si="50">C166</f>
        <v>0.06</v>
      </c>
      <c r="D181" s="307">
        <f t="shared" si="50"/>
        <v>7.0000000000000007E-2</v>
      </c>
      <c r="E181" s="402">
        <f t="shared" si="50"/>
        <v>0.08</v>
      </c>
      <c r="F181" s="307">
        <f t="shared" si="50"/>
        <v>0.09</v>
      </c>
      <c r="G181" s="716">
        <f t="shared" si="50"/>
        <v>0.1</v>
      </c>
      <c r="H181" s="65">
        <f t="shared" ref="H181" si="51">H166</f>
        <v>0.06</v>
      </c>
    </row>
    <row r="182" spans="1:10" ht="3" customHeight="1">
      <c r="A182" s="388"/>
      <c r="B182" s="715"/>
      <c r="C182" s="715"/>
      <c r="D182" s="715"/>
      <c r="E182" s="729"/>
      <c r="F182" s="715"/>
      <c r="G182" s="730"/>
      <c r="H182" s="65"/>
    </row>
    <row r="183" spans="1:10">
      <c r="A183" s="717" t="s">
        <v>8</v>
      </c>
      <c r="B183" s="719">
        <f>MIN(B179:B181)</f>
        <v>0.05</v>
      </c>
      <c r="C183" s="719">
        <f t="shared" ref="C183:G183" si="52">MIN(C179:C181)</f>
        <v>0.06</v>
      </c>
      <c r="D183" s="719">
        <f t="shared" si="52"/>
        <v>7.0000000000000007E-2</v>
      </c>
      <c r="E183" s="731">
        <f t="shared" si="52"/>
        <v>0.08</v>
      </c>
      <c r="F183" s="719">
        <f t="shared" si="52"/>
        <v>0.09</v>
      </c>
      <c r="G183" s="720">
        <f t="shared" si="52"/>
        <v>0.1</v>
      </c>
      <c r="H183" s="65">
        <f t="shared" ref="H183" si="53">MIN(H179:H181)</f>
        <v>0.06</v>
      </c>
    </row>
    <row r="184" spans="1:10">
      <c r="A184" s="721" t="s">
        <v>7</v>
      </c>
      <c r="B184" s="723">
        <f>MAX(B179:B181)</f>
        <v>0.1</v>
      </c>
      <c r="C184" s="723">
        <f t="shared" ref="C184:G184" si="54">MAX(C179:C181)</f>
        <v>0.11</v>
      </c>
      <c r="D184" s="723">
        <f t="shared" si="54"/>
        <v>0.12</v>
      </c>
      <c r="E184" s="732">
        <f t="shared" si="54"/>
        <v>0.14000000000000001</v>
      </c>
      <c r="F184" s="723">
        <f t="shared" si="54"/>
        <v>0.16</v>
      </c>
      <c r="G184" s="724">
        <f t="shared" si="54"/>
        <v>0.18</v>
      </c>
      <c r="H184" s="65">
        <f t="shared" ref="H184" si="55">MAX(H179:H181)</f>
        <v>0.11</v>
      </c>
    </row>
    <row r="185" spans="1:10" ht="12" thickBot="1">
      <c r="A185" s="725" t="s">
        <v>24</v>
      </c>
      <c r="B185" s="727">
        <f t="shared" ref="B185:G185" si="56">AVERAGE(B179:B181)</f>
        <v>7.3333333333333348E-2</v>
      </c>
      <c r="C185" s="727">
        <f t="shared" si="56"/>
        <v>8.3333333333333329E-2</v>
      </c>
      <c r="D185" s="727">
        <f t="shared" si="56"/>
        <v>9.3333333333333338E-2</v>
      </c>
      <c r="E185" s="733">
        <f t="shared" si="56"/>
        <v>0.10666666666666667</v>
      </c>
      <c r="F185" s="727">
        <f t="shared" si="56"/>
        <v>0.12</v>
      </c>
      <c r="G185" s="728">
        <f t="shared" si="56"/>
        <v>0.13333333333333333</v>
      </c>
      <c r="H185" s="65">
        <f t="shared" ref="H185" si="57">AVERAGE(H179:H181)</f>
        <v>0.08</v>
      </c>
      <c r="I185" s="67">
        <f>(D185/B185)^(1/2)-1</f>
        <v>0.12815214963553223</v>
      </c>
      <c r="J185" s="67">
        <f>(G185/E185)^(1/2)-1</f>
        <v>0.1180339887498949</v>
      </c>
    </row>
    <row r="189" spans="1:10" s="357" customFormat="1" ht="20.25" customHeight="1">
      <c r="A189" s="358" t="s">
        <v>128</v>
      </c>
    </row>
    <row r="191" spans="1:10">
      <c r="A191" s="9" t="s">
        <v>93</v>
      </c>
      <c r="B191" s="16"/>
      <c r="C191" s="16"/>
      <c r="D191" s="16"/>
      <c r="E191" s="16"/>
      <c r="F191" s="16"/>
      <c r="G191" s="16"/>
    </row>
    <row r="192" spans="1:10">
      <c r="A192" s="27" t="str">
        <f>Input!E3</f>
        <v>XXX AG</v>
      </c>
    </row>
    <row r="193" spans="1:7">
      <c r="E193" s="27">
        <f>Input!H12</f>
        <v>2013</v>
      </c>
      <c r="F193" s="27">
        <f>Input!I12</f>
        <v>2014</v>
      </c>
      <c r="G193" s="27">
        <f>Input!J12</f>
        <v>2015</v>
      </c>
    </row>
    <row r="194" spans="1:7">
      <c r="A194" s="27" t="str">
        <f>Input!D76</f>
        <v>Depreciation ratio</v>
      </c>
      <c r="E194" s="65">
        <f>Input!H76</f>
        <v>8.4745762711864403E-2</v>
      </c>
      <c r="F194" s="65">
        <f>Input!I76</f>
        <v>8.1967213114754092E-2</v>
      </c>
      <c r="G194" s="65">
        <f>Input!J76</f>
        <v>7.4626865671641784E-2</v>
      </c>
    </row>
    <row r="195" spans="1:7">
      <c r="E195" s="65"/>
      <c r="F195" s="65"/>
      <c r="G195" s="65"/>
    </row>
    <row r="196" spans="1:7">
      <c r="A196" s="92" t="s">
        <v>10</v>
      </c>
      <c r="E196" s="93">
        <v>8.8999999999999996E-2</v>
      </c>
      <c r="F196" s="93">
        <v>9.5000000000000001E-2</v>
      </c>
      <c r="G196" s="93">
        <v>0.105</v>
      </c>
    </row>
    <row r="197" spans="1:7">
      <c r="A197" s="92" t="s">
        <v>11</v>
      </c>
      <c r="E197" s="93">
        <v>5.6000000000000001E-2</v>
      </c>
      <c r="F197" s="93">
        <v>5.5E-2</v>
      </c>
      <c r="G197" s="93">
        <v>5.3999999999999999E-2</v>
      </c>
    </row>
    <row r="198" spans="1:7">
      <c r="A198" s="92" t="s">
        <v>12</v>
      </c>
      <c r="E198" s="93">
        <v>0.05</v>
      </c>
      <c r="F198" s="93">
        <v>5.3999999999999999E-2</v>
      </c>
      <c r="G198" s="93">
        <v>0.06</v>
      </c>
    </row>
    <row r="201" spans="1:7">
      <c r="A201" s="27" t="s">
        <v>115</v>
      </c>
    </row>
    <row r="202" spans="1:7">
      <c r="A202" s="27" t="s">
        <v>14</v>
      </c>
    </row>
    <row r="205" spans="1:7" ht="19.5" customHeight="1">
      <c r="A205" s="377" t="str">
        <f>CONCATENATE(A194," in comparison to analysts' expectations")</f>
        <v>Depreciation ratio in comparison to analysts' expectations</v>
      </c>
      <c r="B205" s="377"/>
      <c r="C205" s="377"/>
      <c r="D205" s="377"/>
      <c r="E205" s="377"/>
      <c r="F205" s="377"/>
      <c r="G205" s="377"/>
    </row>
    <row r="206" spans="1:7">
      <c r="A206" s="376"/>
      <c r="B206" s="713"/>
      <c r="C206" s="713"/>
      <c r="D206" s="713"/>
      <c r="E206" s="713">
        <f t="shared" ref="E206:G207" si="58">E193</f>
        <v>2013</v>
      </c>
      <c r="F206" s="713">
        <f t="shared" si="58"/>
        <v>2014</v>
      </c>
      <c r="G206" s="714">
        <f t="shared" si="58"/>
        <v>2015</v>
      </c>
    </row>
    <row r="207" spans="1:7">
      <c r="A207" s="388" t="s">
        <v>3</v>
      </c>
      <c r="B207" s="715"/>
      <c r="C207" s="715"/>
      <c r="D207" s="715"/>
      <c r="E207" s="307">
        <f t="shared" si="58"/>
        <v>8.4745762711864403E-2</v>
      </c>
      <c r="F207" s="307">
        <f t="shared" si="58"/>
        <v>8.1967213114754092E-2</v>
      </c>
      <c r="G207" s="716">
        <f t="shared" si="58"/>
        <v>7.4626865671641784E-2</v>
      </c>
    </row>
    <row r="208" spans="1:7">
      <c r="A208" s="388" t="s">
        <v>10</v>
      </c>
      <c r="B208" s="715"/>
      <c r="C208" s="715"/>
      <c r="D208" s="715"/>
      <c r="E208" s="307">
        <f t="shared" ref="E208:G210" si="59">E196</f>
        <v>8.8999999999999996E-2</v>
      </c>
      <c r="F208" s="307">
        <f t="shared" si="59"/>
        <v>9.5000000000000001E-2</v>
      </c>
      <c r="G208" s="716">
        <f t="shared" si="59"/>
        <v>0.105</v>
      </c>
    </row>
    <row r="209" spans="1:7">
      <c r="A209" s="388" t="s">
        <v>11</v>
      </c>
      <c r="B209" s="715"/>
      <c r="C209" s="715"/>
      <c r="D209" s="715"/>
      <c r="E209" s="307">
        <f t="shared" si="59"/>
        <v>5.6000000000000001E-2</v>
      </c>
      <c r="F209" s="307">
        <f t="shared" si="59"/>
        <v>5.5E-2</v>
      </c>
      <c r="G209" s="716">
        <f t="shared" si="59"/>
        <v>5.3999999999999999E-2</v>
      </c>
    </row>
    <row r="210" spans="1:7">
      <c r="A210" s="388" t="s">
        <v>12</v>
      </c>
      <c r="B210" s="715"/>
      <c r="C210" s="715"/>
      <c r="D210" s="715"/>
      <c r="E210" s="307">
        <f t="shared" si="59"/>
        <v>0.05</v>
      </c>
      <c r="F210" s="307">
        <f t="shared" si="59"/>
        <v>5.3999999999999999E-2</v>
      </c>
      <c r="G210" s="716">
        <f t="shared" si="59"/>
        <v>0.06</v>
      </c>
    </row>
    <row r="211" spans="1:7" ht="3" customHeight="1">
      <c r="A211" s="388"/>
      <c r="B211" s="715"/>
      <c r="C211" s="715"/>
      <c r="D211" s="715"/>
      <c r="E211" s="307"/>
      <c r="F211" s="307"/>
      <c r="G211" s="716"/>
    </row>
    <row r="212" spans="1:7">
      <c r="A212" s="717" t="s">
        <v>13</v>
      </c>
      <c r="B212" s="718"/>
      <c r="C212" s="718"/>
      <c r="D212" s="718"/>
      <c r="E212" s="719">
        <f>MIN(E208:E210)</f>
        <v>0.05</v>
      </c>
      <c r="F212" s="719">
        <f t="shared" ref="F212:G212" si="60">MIN(F208:F210)</f>
        <v>5.3999999999999999E-2</v>
      </c>
      <c r="G212" s="720">
        <f t="shared" si="60"/>
        <v>5.3999999999999999E-2</v>
      </c>
    </row>
    <row r="213" spans="1:7">
      <c r="A213" s="721" t="s">
        <v>116</v>
      </c>
      <c r="B213" s="722"/>
      <c r="C213" s="722"/>
      <c r="D213" s="722"/>
      <c r="E213" s="723">
        <f>MAX(E208:E210)</f>
        <v>8.8999999999999996E-2</v>
      </c>
      <c r="F213" s="723">
        <f t="shared" ref="F213:G213" si="61">MAX(F208:F210)</f>
        <v>9.5000000000000001E-2</v>
      </c>
      <c r="G213" s="724">
        <f t="shared" si="61"/>
        <v>0.105</v>
      </c>
    </row>
    <row r="214" spans="1:7" ht="12" thickBot="1">
      <c r="A214" s="725" t="s">
        <v>15</v>
      </c>
      <c r="B214" s="726"/>
      <c r="C214" s="726"/>
      <c r="D214" s="726"/>
      <c r="E214" s="727">
        <f>AVERAGE(E208:E210)</f>
        <v>6.5000000000000002E-2</v>
      </c>
      <c r="F214" s="727">
        <f>AVERAGE(F208:F210)</f>
        <v>6.7999999999999991E-2</v>
      </c>
      <c r="G214" s="728">
        <f>AVERAGE(G208:G210)</f>
        <v>7.2999999999999995E-2</v>
      </c>
    </row>
    <row r="218" spans="1:7" s="357" customFormat="1" ht="20.25" customHeight="1">
      <c r="A218" s="358" t="s">
        <v>129</v>
      </c>
    </row>
    <row r="220" spans="1:7">
      <c r="A220" s="9" t="s">
        <v>93</v>
      </c>
      <c r="B220" s="16"/>
      <c r="C220" s="16"/>
      <c r="D220" s="16"/>
      <c r="E220" s="16"/>
      <c r="F220" s="16"/>
      <c r="G220" s="16"/>
    </row>
    <row r="221" spans="1:7">
      <c r="A221" s="27" t="str">
        <f>Input!E3</f>
        <v>XXX AG</v>
      </c>
    </row>
    <row r="222" spans="1:7">
      <c r="E222" s="27">
        <f>Input!H12</f>
        <v>2013</v>
      </c>
      <c r="F222" s="27">
        <f>Input!I12</f>
        <v>2014</v>
      </c>
      <c r="G222" s="27">
        <f>Input!J12</f>
        <v>2015</v>
      </c>
    </row>
    <row r="223" spans="1:7">
      <c r="A223" s="27" t="s">
        <v>597</v>
      </c>
      <c r="E223" s="65">
        <f>Input!H81</f>
        <v>0.13559322033898305</v>
      </c>
      <c r="F223" s="65">
        <f>Input!I81</f>
        <v>0.14754098360655737</v>
      </c>
      <c r="G223" s="65">
        <f>Input!J81</f>
        <v>0.14925373134328357</v>
      </c>
    </row>
    <row r="224" spans="1:7">
      <c r="E224" s="65"/>
      <c r="F224" s="65"/>
      <c r="G224" s="65"/>
    </row>
    <row r="225" spans="1:7">
      <c r="A225" s="92" t="s">
        <v>10</v>
      </c>
      <c r="E225" s="93">
        <v>0.14000000000000001</v>
      </c>
      <c r="F225" s="93">
        <v>0.16</v>
      </c>
      <c r="G225" s="93">
        <v>0.18</v>
      </c>
    </row>
    <row r="226" spans="1:7">
      <c r="A226" s="92" t="s">
        <v>11</v>
      </c>
      <c r="E226" s="93">
        <v>0.1</v>
      </c>
      <c r="F226" s="93">
        <v>0.11</v>
      </c>
      <c r="G226" s="93">
        <v>0.12</v>
      </c>
    </row>
    <row r="227" spans="1:7">
      <c r="A227" s="92" t="s">
        <v>12</v>
      </c>
      <c r="E227" s="93">
        <v>0.08</v>
      </c>
      <c r="F227" s="93">
        <v>0.09</v>
      </c>
      <c r="G227" s="93">
        <v>0.1</v>
      </c>
    </row>
    <row r="230" spans="1:7">
      <c r="A230" s="27" t="s">
        <v>115</v>
      </c>
    </row>
    <row r="231" spans="1:7">
      <c r="A231" s="27" t="s">
        <v>14</v>
      </c>
    </row>
    <row r="235" spans="1:7">
      <c r="A235" s="9"/>
      <c r="B235" s="10"/>
      <c r="C235" s="10"/>
      <c r="D235" s="10"/>
    </row>
    <row r="236" spans="1:7" ht="19.5" customHeight="1">
      <c r="A236" s="377" t="str">
        <f>CONCATENATE(A223," in comparison to analysts' expectations")</f>
        <v>Investment ratio in comparison to analysts' expectations</v>
      </c>
      <c r="B236" s="377"/>
      <c r="C236" s="377"/>
      <c r="D236" s="377"/>
      <c r="E236" s="377"/>
      <c r="F236" s="377"/>
      <c r="G236" s="377"/>
    </row>
    <row r="237" spans="1:7">
      <c r="A237" s="376"/>
      <c r="B237" s="713"/>
      <c r="C237" s="713"/>
      <c r="D237" s="713"/>
      <c r="E237" s="713">
        <f>E222</f>
        <v>2013</v>
      </c>
      <c r="F237" s="713">
        <f t="shared" ref="F237:G237" si="62">F222</f>
        <v>2014</v>
      </c>
      <c r="G237" s="714">
        <f t="shared" si="62"/>
        <v>2015</v>
      </c>
    </row>
    <row r="238" spans="1:7">
      <c r="A238" s="388" t="str">
        <f>A221</f>
        <v>XXX AG</v>
      </c>
      <c r="B238" s="715"/>
      <c r="C238" s="715"/>
      <c r="D238" s="715"/>
      <c r="E238" s="307">
        <f>E223</f>
        <v>0.13559322033898305</v>
      </c>
      <c r="F238" s="307">
        <f t="shared" ref="F238:G238" si="63">F223</f>
        <v>0.14754098360655737</v>
      </c>
      <c r="G238" s="716">
        <f t="shared" si="63"/>
        <v>0.14925373134328357</v>
      </c>
    </row>
    <row r="239" spans="1:7">
      <c r="A239" s="388" t="str">
        <f>A225</f>
        <v>Analyst A</v>
      </c>
      <c r="B239" s="715"/>
      <c r="C239" s="715"/>
      <c r="D239" s="715"/>
      <c r="E239" s="307">
        <f>E225</f>
        <v>0.14000000000000001</v>
      </c>
      <c r="F239" s="307">
        <f t="shared" ref="F239:G239" si="64">F225</f>
        <v>0.16</v>
      </c>
      <c r="G239" s="716">
        <f t="shared" si="64"/>
        <v>0.18</v>
      </c>
    </row>
    <row r="240" spans="1:7">
      <c r="A240" s="388" t="str">
        <f t="shared" ref="A240:A241" si="65">A226</f>
        <v>Analyst B</v>
      </c>
      <c r="B240" s="715"/>
      <c r="C240" s="715"/>
      <c r="D240" s="715"/>
      <c r="E240" s="307">
        <f t="shared" ref="E240:G241" si="66">E226</f>
        <v>0.1</v>
      </c>
      <c r="F240" s="307">
        <f t="shared" si="66"/>
        <v>0.11</v>
      </c>
      <c r="G240" s="716">
        <f t="shared" si="66"/>
        <v>0.12</v>
      </c>
    </row>
    <row r="241" spans="1:7">
      <c r="A241" s="388" t="str">
        <f t="shared" si="65"/>
        <v>Analyst C</v>
      </c>
      <c r="B241" s="715"/>
      <c r="C241" s="715"/>
      <c r="D241" s="715"/>
      <c r="E241" s="307">
        <f t="shared" si="66"/>
        <v>0.08</v>
      </c>
      <c r="F241" s="307">
        <f t="shared" si="66"/>
        <v>0.09</v>
      </c>
      <c r="G241" s="716">
        <f t="shared" si="66"/>
        <v>0.1</v>
      </c>
    </row>
    <row r="242" spans="1:7" ht="3" customHeight="1">
      <c r="A242" s="388"/>
      <c r="B242" s="715"/>
      <c r="C242" s="715"/>
      <c r="D242" s="715"/>
      <c r="E242" s="307"/>
      <c r="F242" s="307"/>
      <c r="G242" s="716"/>
    </row>
    <row r="243" spans="1:7">
      <c r="A243" s="717" t="s">
        <v>13</v>
      </c>
      <c r="B243" s="718"/>
      <c r="C243" s="718"/>
      <c r="D243" s="718"/>
      <c r="E243" s="719">
        <f>MIN(E239:E241)</f>
        <v>0.08</v>
      </c>
      <c r="F243" s="719">
        <f t="shared" ref="F243:G243" si="67">MIN(F239:F241)</f>
        <v>0.09</v>
      </c>
      <c r="G243" s="720">
        <f t="shared" si="67"/>
        <v>0.1</v>
      </c>
    </row>
    <row r="244" spans="1:7">
      <c r="A244" s="721" t="s">
        <v>116</v>
      </c>
      <c r="B244" s="722"/>
      <c r="C244" s="722"/>
      <c r="D244" s="722"/>
      <c r="E244" s="723">
        <f>MAX(E239:E241)</f>
        <v>0.14000000000000001</v>
      </c>
      <c r="F244" s="723">
        <f t="shared" ref="F244:G244" si="68">MAX(F239:F241)</f>
        <v>0.16</v>
      </c>
      <c r="G244" s="724">
        <f t="shared" si="68"/>
        <v>0.18</v>
      </c>
    </row>
    <row r="245" spans="1:7" ht="12" thickBot="1">
      <c r="A245" s="725" t="s">
        <v>15</v>
      </c>
      <c r="B245" s="726"/>
      <c r="C245" s="726"/>
      <c r="D245" s="726"/>
      <c r="E245" s="727">
        <f>AVERAGE(E239:E241)</f>
        <v>0.10666666666666667</v>
      </c>
      <c r="F245" s="727">
        <f t="shared" ref="F245:G245" si="69">AVERAGE(F239:F241)</f>
        <v>0.12</v>
      </c>
      <c r="G245" s="728">
        <f t="shared" si="69"/>
        <v>0.13333333333333333</v>
      </c>
    </row>
    <row r="249" spans="1:7" s="357" customFormat="1" ht="20.25" customHeight="1">
      <c r="A249" s="358" t="s">
        <v>188</v>
      </c>
    </row>
    <row r="251" spans="1:7">
      <c r="A251" s="9" t="s">
        <v>93</v>
      </c>
      <c r="B251" s="16"/>
      <c r="C251" s="16"/>
      <c r="D251" s="16"/>
      <c r="E251" s="16"/>
      <c r="F251" s="16"/>
      <c r="G251" s="16"/>
    </row>
    <row r="252" spans="1:7">
      <c r="A252" s="27" t="str">
        <f>Input!E3</f>
        <v>XXX AG</v>
      </c>
      <c r="B252" s="16"/>
      <c r="C252" s="16"/>
      <c r="D252" s="16"/>
      <c r="E252" s="16"/>
      <c r="F252" s="16"/>
      <c r="G252" s="16"/>
    </row>
    <row r="253" spans="1:7">
      <c r="A253" s="9"/>
      <c r="B253" s="28">
        <f>Input!E42</f>
        <v>2010</v>
      </c>
      <c r="C253" s="28">
        <f>Input!F42</f>
        <v>2011</v>
      </c>
      <c r="D253" s="28">
        <f>Input!G42</f>
        <v>2012</v>
      </c>
      <c r="E253" s="28">
        <f>Input!H42</f>
        <v>2013</v>
      </c>
      <c r="F253" s="28">
        <f>Input!I42</f>
        <v>2014</v>
      </c>
      <c r="G253" s="28">
        <f>Input!J42</f>
        <v>2015</v>
      </c>
    </row>
    <row r="254" spans="1:7">
      <c r="A254" s="9" t="str">
        <f>Input!E4</f>
        <v>€m</v>
      </c>
      <c r="B254" s="28" t="str">
        <f>Input!E43</f>
        <v>Actual</v>
      </c>
      <c r="C254" s="28" t="str">
        <f>Input!F43</f>
        <v>Actual</v>
      </c>
      <c r="D254" s="28" t="str">
        <f>Input!G43</f>
        <v>Actual</v>
      </c>
      <c r="E254" s="28" t="str">
        <f>Input!H43</f>
        <v>Plan</v>
      </c>
      <c r="F254" s="28" t="str">
        <f>Input!I43</f>
        <v>Plan</v>
      </c>
      <c r="G254" s="28" t="str">
        <f>Input!J43</f>
        <v>Plan</v>
      </c>
    </row>
    <row r="255" spans="1:7">
      <c r="A255" s="2" t="str">
        <f>Input!D70</f>
        <v>Sales</v>
      </c>
      <c r="B255" s="28">
        <f>Input!E70</f>
        <v>50</v>
      </c>
      <c r="C255" s="28">
        <f>Input!F70</f>
        <v>54</v>
      </c>
      <c r="D255" s="28">
        <f>Input!G70</f>
        <v>56</v>
      </c>
      <c r="E255" s="28">
        <f>Input!H70</f>
        <v>59</v>
      </c>
      <c r="F255" s="28">
        <f>Input!I70</f>
        <v>61</v>
      </c>
      <c r="G255" s="28">
        <f>Input!J70</f>
        <v>67</v>
      </c>
    </row>
    <row r="256" spans="1:7">
      <c r="A256" s="2" t="s">
        <v>189</v>
      </c>
      <c r="B256" s="28">
        <f>Input!E82</f>
        <v>395</v>
      </c>
      <c r="C256" s="28">
        <f>Input!F82</f>
        <v>417</v>
      </c>
      <c r="D256" s="28">
        <f>Input!G82</f>
        <v>439</v>
      </c>
      <c r="E256" s="28">
        <f>Input!H82</f>
        <v>462</v>
      </c>
      <c r="F256" s="28">
        <f>Input!I82</f>
        <v>484</v>
      </c>
      <c r="G256" s="28">
        <f>Input!J82</f>
        <v>506</v>
      </c>
    </row>
    <row r="257" spans="1:7">
      <c r="A257" s="9"/>
      <c r="B257" s="28"/>
      <c r="C257" s="28"/>
      <c r="D257" s="28"/>
      <c r="E257" s="28"/>
      <c r="F257" s="28"/>
      <c r="G257" s="28"/>
    </row>
    <row r="258" spans="1:7">
      <c r="A258" s="9" t="s">
        <v>190</v>
      </c>
      <c r="B258" s="28"/>
      <c r="C258" s="146" t="s">
        <v>98</v>
      </c>
      <c r="D258" s="28"/>
      <c r="E258" s="28"/>
      <c r="F258" s="28"/>
      <c r="G258" s="28"/>
    </row>
    <row r="259" spans="1:7">
      <c r="A259" s="9" t="s">
        <v>191</v>
      </c>
      <c r="B259" s="28"/>
      <c r="C259" s="146">
        <v>1000</v>
      </c>
      <c r="D259" s="28"/>
      <c r="E259" s="28"/>
      <c r="F259" s="28"/>
      <c r="G259" s="28"/>
    </row>
    <row r="260" spans="1:7">
      <c r="A260" s="9"/>
      <c r="B260" s="28"/>
      <c r="C260" s="28"/>
      <c r="D260" s="28"/>
      <c r="E260" s="28"/>
      <c r="F260" s="28"/>
      <c r="G260" s="28"/>
    </row>
    <row r="261" spans="1:7">
      <c r="A261" s="9"/>
      <c r="B261" s="28"/>
      <c r="C261" s="28"/>
      <c r="D261" s="28"/>
      <c r="E261" s="28"/>
      <c r="F261" s="28"/>
      <c r="G261" s="28"/>
    </row>
    <row r="262" spans="1:7">
      <c r="A262" s="9"/>
      <c r="B262" s="28"/>
      <c r="C262" s="28"/>
      <c r="D262" s="28"/>
      <c r="E262" s="28"/>
      <c r="F262" s="28"/>
      <c r="G262" s="28"/>
    </row>
    <row r="263" spans="1:7">
      <c r="A263" s="2" t="s">
        <v>601</v>
      </c>
      <c r="B263" s="147">
        <f>B255/B256*$C$259</f>
        <v>126.58227848101266</v>
      </c>
      <c r="C263" s="147">
        <f t="shared" ref="C263:G263" si="70">C255/C256*$C$259</f>
        <v>129.49640287769785</v>
      </c>
      <c r="D263" s="147">
        <f t="shared" si="70"/>
        <v>127.56264236902051</v>
      </c>
      <c r="E263" s="147">
        <f t="shared" si="70"/>
        <v>127.70562770562771</v>
      </c>
      <c r="F263" s="147">
        <f t="shared" si="70"/>
        <v>126.03305785123966</v>
      </c>
      <c r="G263" s="147">
        <f t="shared" si="70"/>
        <v>132.4110671936759</v>
      </c>
    </row>
    <row r="264" spans="1:7">
      <c r="A264" s="9"/>
      <c r="B264" s="101"/>
      <c r="C264" s="101"/>
      <c r="D264" s="101"/>
      <c r="E264" s="101"/>
      <c r="F264" s="101"/>
      <c r="G264" s="101"/>
    </row>
    <row r="265" spans="1:7">
      <c r="A265" s="92" t="s">
        <v>67</v>
      </c>
      <c r="B265" s="141">
        <v>120</v>
      </c>
      <c r="C265" s="141">
        <v>122</v>
      </c>
      <c r="D265" s="141">
        <v>122</v>
      </c>
      <c r="E265" s="141">
        <v>123</v>
      </c>
      <c r="F265" s="141">
        <v>123</v>
      </c>
      <c r="G265" s="141">
        <v>124</v>
      </c>
    </row>
    <row r="266" spans="1:7">
      <c r="A266" s="92" t="s">
        <v>4</v>
      </c>
      <c r="B266" s="141">
        <v>129</v>
      </c>
      <c r="C266" s="141">
        <v>131</v>
      </c>
      <c r="D266" s="141">
        <v>132</v>
      </c>
      <c r="E266" s="141">
        <v>131</v>
      </c>
      <c r="F266" s="141">
        <v>131.5</v>
      </c>
      <c r="G266" s="141">
        <v>136</v>
      </c>
    </row>
    <row r="267" spans="1:7">
      <c r="A267" s="92" t="s">
        <v>5</v>
      </c>
      <c r="B267" s="141">
        <v>122</v>
      </c>
      <c r="C267" s="141">
        <v>123</v>
      </c>
      <c r="D267" s="141">
        <v>123.5</v>
      </c>
      <c r="E267" s="141">
        <v>124</v>
      </c>
      <c r="F267" s="141">
        <v>124.5</v>
      </c>
      <c r="G267" s="141">
        <v>126</v>
      </c>
    </row>
    <row r="268" spans="1:7">
      <c r="A268" s="92" t="s">
        <v>6</v>
      </c>
      <c r="B268" s="141">
        <v>112</v>
      </c>
      <c r="C268" s="141">
        <v>113</v>
      </c>
      <c r="D268" s="141">
        <v>113.5</v>
      </c>
      <c r="E268" s="141">
        <v>114.8</v>
      </c>
      <c r="F268" s="141">
        <v>115.9</v>
      </c>
      <c r="G268" s="141">
        <v>117.8</v>
      </c>
    </row>
    <row r="270" spans="1:7">
      <c r="A270" s="12"/>
      <c r="B270" s="16"/>
      <c r="C270" s="16"/>
      <c r="D270" s="16"/>
      <c r="E270" s="16"/>
      <c r="F270" s="16"/>
      <c r="G270" s="16"/>
    </row>
    <row r="271" spans="1:7">
      <c r="A271" s="27" t="s">
        <v>115</v>
      </c>
      <c r="B271" s="16"/>
      <c r="C271" s="16"/>
      <c r="D271" s="16"/>
      <c r="E271" s="16"/>
      <c r="F271" s="16"/>
      <c r="G271" s="16"/>
    </row>
    <row r="272" spans="1:7">
      <c r="A272" s="11" t="s">
        <v>9</v>
      </c>
      <c r="B272" s="16"/>
      <c r="C272" s="16"/>
      <c r="D272" s="16"/>
      <c r="E272" s="16"/>
      <c r="F272" s="16"/>
      <c r="G272" s="16"/>
    </row>
    <row r="273" spans="1:10">
      <c r="A273" s="27" t="str">
        <f>CONCATENATE(A263," (in ",C258,")")</f>
        <v>Sales per FTE (in €'000)</v>
      </c>
    </row>
    <row r="275" spans="1:10">
      <c r="A275" s="9"/>
      <c r="B275" s="16"/>
      <c r="C275" s="16"/>
      <c r="D275" s="16"/>
      <c r="E275" s="16"/>
      <c r="F275" s="16"/>
      <c r="G275" s="16"/>
    </row>
    <row r="276" spans="1:10" ht="19.5" customHeight="1">
      <c r="A276" s="377" t="str">
        <f>CONCATENATE(A263, " in comparison to peer group")</f>
        <v>Sales per FTE in comparison to peer group</v>
      </c>
      <c r="B276" s="377"/>
      <c r="C276" s="377"/>
      <c r="D276" s="377"/>
      <c r="E276" s="377"/>
      <c r="F276" s="377"/>
      <c r="G276" s="377"/>
    </row>
    <row r="277" spans="1:10">
      <c r="A277" s="739"/>
      <c r="B277" s="23">
        <v>2010</v>
      </c>
      <c r="C277" s="23">
        <v>2011</v>
      </c>
      <c r="D277" s="23">
        <v>2012</v>
      </c>
      <c r="E277" s="406">
        <v>2013</v>
      </c>
      <c r="F277" s="407">
        <v>2014</v>
      </c>
      <c r="G277" s="440">
        <v>2015</v>
      </c>
    </row>
    <row r="278" spans="1:10">
      <c r="A278" s="397"/>
      <c r="B278" s="793" t="s">
        <v>51</v>
      </c>
      <c r="C278" s="793"/>
      <c r="D278" s="793"/>
      <c r="E278" s="790" t="s">
        <v>2</v>
      </c>
      <c r="F278" s="791"/>
      <c r="G278" s="792"/>
      <c r="I278" s="68" t="str">
        <f>CONCATENATE("CAGR ",RIGHT(B277,2),"-",RIGHT(D277,2))</f>
        <v>CAGR 10-12</v>
      </c>
      <c r="J278" s="68" t="str">
        <f>CONCATENATE("CAGR ",RIGHT(E277,2),"-",RIGHT(G277,2))</f>
        <v>CAGR 13-15</v>
      </c>
    </row>
    <row r="279" spans="1:10">
      <c r="A279" s="365" t="s">
        <v>3</v>
      </c>
      <c r="B279" s="7">
        <f>B263</f>
        <v>126.58227848101266</v>
      </c>
      <c r="C279" s="7">
        <f t="shared" ref="C279:G279" si="71">C263</f>
        <v>129.49640287769785</v>
      </c>
      <c r="D279" s="7">
        <f>D263</f>
        <v>127.56264236902051</v>
      </c>
      <c r="E279" s="530">
        <f t="shared" si="71"/>
        <v>127.70562770562771</v>
      </c>
      <c r="F279" s="7">
        <f t="shared" si="71"/>
        <v>126.03305785123966</v>
      </c>
      <c r="G279" s="143">
        <f t="shared" si="71"/>
        <v>132.4110671936759</v>
      </c>
      <c r="I279" s="67">
        <f>(D279/B279)^(1/2)-1</f>
        <v>3.8649683673905866E-3</v>
      </c>
      <c r="J279" s="67">
        <f>(G279/E279)^(1/2)-1</f>
        <v>1.8256344830596793E-2</v>
      </c>
    </row>
    <row r="280" spans="1:10">
      <c r="A280" s="365" t="str">
        <f>A265</f>
        <v>Market study YYY</v>
      </c>
      <c r="B280" s="7">
        <f>B265</f>
        <v>120</v>
      </c>
      <c r="C280" s="7">
        <f t="shared" ref="C280:G280" si="72">C265</f>
        <v>122</v>
      </c>
      <c r="D280" s="7">
        <f t="shared" si="72"/>
        <v>122</v>
      </c>
      <c r="E280" s="530">
        <f t="shared" si="72"/>
        <v>123</v>
      </c>
      <c r="F280" s="7">
        <f t="shared" si="72"/>
        <v>123</v>
      </c>
      <c r="G280" s="143">
        <f t="shared" si="72"/>
        <v>124</v>
      </c>
      <c r="I280" s="67">
        <f>(D280/B280)^(1/2)-1</f>
        <v>8.298897483611567E-3</v>
      </c>
      <c r="J280" s="67">
        <f>(G280/E280)^(1/2)-1</f>
        <v>4.0568117894588251E-3</v>
      </c>
    </row>
    <row r="281" spans="1:10">
      <c r="A281" s="365" t="str">
        <f t="shared" ref="A281:G281" si="73">A266</f>
        <v>Peer 1</v>
      </c>
      <c r="B281" s="7">
        <f t="shared" si="73"/>
        <v>129</v>
      </c>
      <c r="C281" s="7">
        <f>C266</f>
        <v>131</v>
      </c>
      <c r="D281" s="7">
        <f t="shared" si="73"/>
        <v>132</v>
      </c>
      <c r="E281" s="530">
        <f t="shared" si="73"/>
        <v>131</v>
      </c>
      <c r="F281" s="7">
        <f t="shared" si="73"/>
        <v>131.5</v>
      </c>
      <c r="G281" s="143">
        <f t="shared" si="73"/>
        <v>136</v>
      </c>
    </row>
    <row r="282" spans="1:10">
      <c r="A282" s="365" t="str">
        <f t="shared" ref="A282:G282" si="74">A267</f>
        <v>Peer 2</v>
      </c>
      <c r="B282" s="7">
        <f t="shared" si="74"/>
        <v>122</v>
      </c>
      <c r="C282" s="7">
        <f t="shared" si="74"/>
        <v>123</v>
      </c>
      <c r="D282" s="7">
        <f t="shared" si="74"/>
        <v>123.5</v>
      </c>
      <c r="E282" s="530">
        <f t="shared" si="74"/>
        <v>124</v>
      </c>
      <c r="F282" s="7">
        <f t="shared" si="74"/>
        <v>124.5</v>
      </c>
      <c r="G282" s="143">
        <f t="shared" si="74"/>
        <v>126</v>
      </c>
    </row>
    <row r="283" spans="1:10">
      <c r="A283" s="365" t="str">
        <f t="shared" ref="A283:G283" si="75">A268</f>
        <v>Peer 3</v>
      </c>
      <c r="B283" s="7">
        <f t="shared" si="75"/>
        <v>112</v>
      </c>
      <c r="C283" s="7">
        <f t="shared" si="75"/>
        <v>113</v>
      </c>
      <c r="D283" s="7">
        <f t="shared" si="75"/>
        <v>113.5</v>
      </c>
      <c r="E283" s="530">
        <f t="shared" si="75"/>
        <v>114.8</v>
      </c>
      <c r="F283" s="7">
        <f t="shared" si="75"/>
        <v>115.9</v>
      </c>
      <c r="G283" s="143">
        <f t="shared" si="75"/>
        <v>117.8</v>
      </c>
    </row>
    <row r="284" spans="1:10" ht="3" customHeight="1">
      <c r="A284" s="365"/>
      <c r="B284" s="7"/>
      <c r="C284" s="7"/>
      <c r="D284" s="7"/>
      <c r="E284" s="530"/>
      <c r="F284" s="7"/>
      <c r="G284" s="143"/>
    </row>
    <row r="285" spans="1:10">
      <c r="A285" s="709" t="s">
        <v>8</v>
      </c>
      <c r="B285" s="140">
        <f>MIN(B281:B283)</f>
        <v>112</v>
      </c>
      <c r="C285" s="140">
        <f t="shared" ref="C285:G285" si="76">MIN(C281:C283)</f>
        <v>113</v>
      </c>
      <c r="D285" s="140">
        <f t="shared" si="76"/>
        <v>113.5</v>
      </c>
      <c r="E285" s="532">
        <f t="shared" si="76"/>
        <v>114.8</v>
      </c>
      <c r="F285" s="140">
        <f t="shared" si="76"/>
        <v>115.9</v>
      </c>
      <c r="G285" s="145">
        <f t="shared" si="76"/>
        <v>117.8</v>
      </c>
    </row>
    <row r="286" spans="1:10">
      <c r="A286" s="710" t="s">
        <v>7</v>
      </c>
      <c r="B286" s="139">
        <f>MAX(B281:B283)</f>
        <v>129</v>
      </c>
      <c r="C286" s="139">
        <f t="shared" ref="C286:G286" si="77">MAX(C281:C283)</f>
        <v>131</v>
      </c>
      <c r="D286" s="139">
        <f t="shared" si="77"/>
        <v>132</v>
      </c>
      <c r="E286" s="531">
        <f t="shared" si="77"/>
        <v>131</v>
      </c>
      <c r="F286" s="139">
        <f t="shared" si="77"/>
        <v>131.5</v>
      </c>
      <c r="G286" s="144">
        <f t="shared" si="77"/>
        <v>136</v>
      </c>
    </row>
    <row r="287" spans="1:10" ht="12" thickBot="1">
      <c r="A287" s="711" t="s">
        <v>24</v>
      </c>
      <c r="B287" s="148">
        <f t="shared" ref="B287:G287" si="78">AVERAGE(B281:B283)</f>
        <v>121</v>
      </c>
      <c r="C287" s="148">
        <f t="shared" si="78"/>
        <v>122.33333333333333</v>
      </c>
      <c r="D287" s="148">
        <f t="shared" si="78"/>
        <v>123</v>
      </c>
      <c r="E287" s="740">
        <f t="shared" si="78"/>
        <v>123.26666666666667</v>
      </c>
      <c r="F287" s="148">
        <f t="shared" si="78"/>
        <v>123.96666666666665</v>
      </c>
      <c r="G287" s="149">
        <f t="shared" si="78"/>
        <v>126.60000000000001</v>
      </c>
      <c r="I287" s="67">
        <f>(D287/B287)^(1/2)-1</f>
        <v>8.2305914917650824E-3</v>
      </c>
      <c r="J287" s="67">
        <f>(G287/E287)^(1/2)-1</f>
        <v>1.3430631139577986E-2</v>
      </c>
    </row>
    <row r="292" spans="1:30">
      <c r="A292" s="150"/>
      <c r="B292" s="150"/>
      <c r="C292" s="150">
        <f>B253</f>
        <v>2010</v>
      </c>
      <c r="D292" s="150"/>
      <c r="E292" s="150"/>
      <c r="F292" s="150"/>
      <c r="G292" s="150"/>
      <c r="H292" s="150">
        <f>C253</f>
        <v>2011</v>
      </c>
      <c r="I292" s="150"/>
      <c r="J292" s="150"/>
      <c r="K292" s="150"/>
      <c r="L292" s="150"/>
      <c r="M292" s="150">
        <f>D253</f>
        <v>2012</v>
      </c>
      <c r="N292" s="150"/>
      <c r="O292" s="150"/>
      <c r="P292" s="150"/>
      <c r="Q292" s="150"/>
      <c r="R292" s="150">
        <f>E253</f>
        <v>2013</v>
      </c>
      <c r="S292" s="150"/>
      <c r="T292" s="150"/>
      <c r="U292" s="150"/>
      <c r="V292" s="150"/>
      <c r="W292" s="150">
        <f>F253</f>
        <v>2014</v>
      </c>
      <c r="X292" s="150"/>
      <c r="Y292" s="150"/>
      <c r="Z292" s="150"/>
      <c r="AA292" s="150"/>
      <c r="AB292" s="150">
        <f>G253</f>
        <v>2015</v>
      </c>
      <c r="AC292" s="150"/>
      <c r="AD292" s="150"/>
    </row>
    <row r="293" spans="1:30">
      <c r="A293" s="150"/>
      <c r="B293" s="150" t="str">
        <f>A252</f>
        <v>XXX AG</v>
      </c>
      <c r="C293" s="150" t="str">
        <f>A266</f>
        <v>Peer 1</v>
      </c>
      <c r="D293" s="150" t="str">
        <f>A267</f>
        <v>Peer 2</v>
      </c>
      <c r="E293" s="150" t="str">
        <f>A268</f>
        <v>Peer 3</v>
      </c>
      <c r="F293" s="150"/>
      <c r="G293" s="150" t="str">
        <f>B293</f>
        <v>XXX AG</v>
      </c>
      <c r="H293" s="150" t="str">
        <f t="shared" ref="H293" si="79">C293</f>
        <v>Peer 1</v>
      </c>
      <c r="I293" s="150" t="str">
        <f t="shared" ref="I293" si="80">D293</f>
        <v>Peer 2</v>
      </c>
      <c r="J293" s="150" t="str">
        <f t="shared" ref="J293" si="81">E293</f>
        <v>Peer 3</v>
      </c>
      <c r="K293" s="150"/>
      <c r="L293" s="150" t="str">
        <f>G293</f>
        <v>XXX AG</v>
      </c>
      <c r="M293" s="150" t="str">
        <f t="shared" ref="M293" si="82">H293</f>
        <v>Peer 1</v>
      </c>
      <c r="N293" s="150" t="str">
        <f t="shared" ref="N293" si="83">I293</f>
        <v>Peer 2</v>
      </c>
      <c r="O293" s="150" t="str">
        <f t="shared" ref="O293" si="84">J293</f>
        <v>Peer 3</v>
      </c>
      <c r="P293" s="150"/>
      <c r="Q293" s="150" t="str">
        <f>L293</f>
        <v>XXX AG</v>
      </c>
      <c r="R293" s="150" t="str">
        <f t="shared" ref="R293" si="85">M293</f>
        <v>Peer 1</v>
      </c>
      <c r="S293" s="150" t="str">
        <f t="shared" ref="S293" si="86">N293</f>
        <v>Peer 2</v>
      </c>
      <c r="T293" s="150" t="str">
        <f t="shared" ref="T293" si="87">O293</f>
        <v>Peer 3</v>
      </c>
      <c r="U293" s="150"/>
      <c r="V293" s="150" t="str">
        <f>Q293</f>
        <v>XXX AG</v>
      </c>
      <c r="W293" s="150" t="str">
        <f t="shared" ref="W293" si="88">R293</f>
        <v>Peer 1</v>
      </c>
      <c r="X293" s="150" t="str">
        <f t="shared" ref="X293" si="89">S293</f>
        <v>Peer 2</v>
      </c>
      <c r="Y293" s="150" t="str">
        <f t="shared" ref="Y293" si="90">T293</f>
        <v>Peer 3</v>
      </c>
      <c r="Z293" s="150"/>
      <c r="AA293" s="150" t="str">
        <f>V293</f>
        <v>XXX AG</v>
      </c>
      <c r="AB293" s="150" t="str">
        <f t="shared" ref="AB293" si="91">W293</f>
        <v>Peer 1</v>
      </c>
      <c r="AC293" s="150" t="str">
        <f t="shared" ref="AC293" si="92">X293</f>
        <v>Peer 2</v>
      </c>
      <c r="AD293" s="150" t="str">
        <f t="shared" ref="AD293" si="93">Y293</f>
        <v>Peer 3</v>
      </c>
    </row>
    <row r="294" spans="1:30">
      <c r="A294" s="150" t="str">
        <f>A273</f>
        <v>Sales per FTE (in €'000)</v>
      </c>
      <c r="B294" s="151">
        <f>B279</f>
        <v>126.58227848101266</v>
      </c>
      <c r="C294" s="151">
        <f>B281</f>
        <v>129</v>
      </c>
      <c r="D294" s="151">
        <f>B282</f>
        <v>122</v>
      </c>
      <c r="E294" s="151">
        <f>B283</f>
        <v>112</v>
      </c>
      <c r="F294" s="151"/>
      <c r="G294" s="151">
        <f>C279</f>
        <v>129.49640287769785</v>
      </c>
      <c r="H294" s="151">
        <f>C281</f>
        <v>131</v>
      </c>
      <c r="I294" s="151">
        <f>C282</f>
        <v>123</v>
      </c>
      <c r="J294" s="151">
        <f>C283</f>
        <v>113</v>
      </c>
      <c r="K294" s="151"/>
      <c r="L294" s="151">
        <f>D279</f>
        <v>127.56264236902051</v>
      </c>
      <c r="M294" s="151">
        <f>D281</f>
        <v>132</v>
      </c>
      <c r="N294" s="151">
        <f>D282</f>
        <v>123.5</v>
      </c>
      <c r="O294" s="151">
        <f>D283</f>
        <v>113.5</v>
      </c>
      <c r="P294" s="151"/>
      <c r="Q294" s="151">
        <f>E279</f>
        <v>127.70562770562771</v>
      </c>
      <c r="R294" s="151">
        <f>E281</f>
        <v>131</v>
      </c>
      <c r="S294" s="151">
        <f>E282</f>
        <v>124</v>
      </c>
      <c r="T294" s="151">
        <f>E283</f>
        <v>114.8</v>
      </c>
      <c r="U294" s="151"/>
      <c r="V294" s="151">
        <f>F279</f>
        <v>126.03305785123966</v>
      </c>
      <c r="W294" s="151">
        <f>F281</f>
        <v>131.5</v>
      </c>
      <c r="X294" s="151">
        <f>F282</f>
        <v>124.5</v>
      </c>
      <c r="Y294" s="151">
        <f>F283</f>
        <v>115.9</v>
      </c>
      <c r="Z294" s="151"/>
      <c r="AA294" s="151">
        <f>G279</f>
        <v>132.4110671936759</v>
      </c>
      <c r="AB294" s="151">
        <f>G281</f>
        <v>136</v>
      </c>
      <c r="AC294" s="151">
        <f>G282</f>
        <v>126</v>
      </c>
      <c r="AD294" s="151">
        <f>G283</f>
        <v>117.8</v>
      </c>
    </row>
    <row r="297" spans="1:30" s="357" customFormat="1" ht="20.25" customHeight="1">
      <c r="A297" s="358" t="s">
        <v>192</v>
      </c>
    </row>
    <row r="299" spans="1:30">
      <c r="A299" s="9" t="s">
        <v>93</v>
      </c>
      <c r="B299" s="16"/>
      <c r="C299" s="16"/>
      <c r="D299" s="16"/>
      <c r="E299" s="16"/>
      <c r="F299" s="16"/>
      <c r="G299" s="16"/>
    </row>
    <row r="300" spans="1:30">
      <c r="A300" s="27" t="str">
        <f>Input!E3</f>
        <v>XXX AG</v>
      </c>
      <c r="B300" s="16"/>
      <c r="C300" s="16"/>
      <c r="D300" s="16"/>
      <c r="E300" s="16"/>
      <c r="F300" s="16"/>
      <c r="G300" s="16"/>
    </row>
    <row r="301" spans="1:30">
      <c r="A301" s="9"/>
      <c r="B301" s="28">
        <f>Input!E42</f>
        <v>2010</v>
      </c>
      <c r="C301" s="28">
        <f>Input!F42</f>
        <v>2011</v>
      </c>
      <c r="D301" s="28">
        <f>Input!G42</f>
        <v>2012</v>
      </c>
      <c r="E301" s="28">
        <f>Input!H42</f>
        <v>2013</v>
      </c>
      <c r="F301" s="28">
        <f>Input!I42</f>
        <v>2014</v>
      </c>
      <c r="G301" s="28">
        <f>Input!J42</f>
        <v>2015</v>
      </c>
    </row>
    <row r="302" spans="1:30">
      <c r="A302" s="9" t="str">
        <f>Input!E4</f>
        <v>€m</v>
      </c>
      <c r="B302" s="28" t="str">
        <f>Input!E43</f>
        <v>Actual</v>
      </c>
      <c r="C302" s="28" t="str">
        <f>Input!F43</f>
        <v>Actual</v>
      </c>
      <c r="D302" s="28" t="str">
        <f>Input!G43</f>
        <v>Actual</v>
      </c>
      <c r="E302" s="28" t="str">
        <f>Input!H43</f>
        <v>Plan</v>
      </c>
      <c r="F302" s="28" t="str">
        <f>Input!I43</f>
        <v>Plan</v>
      </c>
      <c r="G302" s="28" t="str">
        <f>Input!J43</f>
        <v>Plan</v>
      </c>
    </row>
    <row r="303" spans="1:30">
      <c r="A303" s="2" t="str">
        <f>Input!D50</f>
        <v>Personnel expenses</v>
      </c>
      <c r="B303" s="28">
        <f>Input!E50</f>
        <v>15</v>
      </c>
      <c r="C303" s="28">
        <f>Input!F50</f>
        <v>16</v>
      </c>
      <c r="D303" s="28">
        <f>Input!G50</f>
        <v>17</v>
      </c>
      <c r="E303" s="28">
        <f>Input!H50</f>
        <v>18</v>
      </c>
      <c r="F303" s="28">
        <f>Input!I50</f>
        <v>19</v>
      </c>
      <c r="G303" s="28">
        <f>Input!J50</f>
        <v>20</v>
      </c>
    </row>
    <row r="304" spans="1:30">
      <c r="A304" s="2" t="s">
        <v>189</v>
      </c>
      <c r="B304" s="28">
        <f>Input!E82</f>
        <v>395</v>
      </c>
      <c r="C304" s="28">
        <f>Input!F82</f>
        <v>417</v>
      </c>
      <c r="D304" s="28">
        <f>Input!G82</f>
        <v>439</v>
      </c>
      <c r="E304" s="28">
        <f>Input!H82</f>
        <v>462</v>
      </c>
      <c r="F304" s="28">
        <f>Input!I82</f>
        <v>484</v>
      </c>
      <c r="G304" s="28">
        <f>Input!J82</f>
        <v>506</v>
      </c>
    </row>
    <row r="305" spans="1:7">
      <c r="A305" s="9"/>
      <c r="B305" s="28"/>
      <c r="C305" s="28"/>
      <c r="D305" s="28"/>
      <c r="E305" s="28"/>
      <c r="F305" s="28"/>
      <c r="G305" s="28"/>
    </row>
    <row r="306" spans="1:7">
      <c r="A306" s="9" t="s">
        <v>190</v>
      </c>
      <c r="B306" s="28"/>
      <c r="C306" s="146" t="s">
        <v>98</v>
      </c>
      <c r="D306" s="28"/>
      <c r="E306" s="28"/>
      <c r="F306" s="28"/>
      <c r="G306" s="28"/>
    </row>
    <row r="307" spans="1:7">
      <c r="A307" s="9" t="s">
        <v>191</v>
      </c>
      <c r="B307" s="28"/>
      <c r="C307" s="146">
        <v>1000</v>
      </c>
      <c r="D307" s="28"/>
      <c r="E307" s="28"/>
      <c r="F307" s="28"/>
      <c r="G307" s="28"/>
    </row>
    <row r="308" spans="1:7">
      <c r="A308" s="9"/>
      <c r="B308" s="28"/>
      <c r="C308" s="28"/>
      <c r="D308" s="28"/>
      <c r="E308" s="28"/>
      <c r="F308" s="28"/>
      <c r="G308" s="28"/>
    </row>
    <row r="309" spans="1:7">
      <c r="A309" s="9"/>
      <c r="B309" s="28"/>
      <c r="C309" s="28"/>
      <c r="D309" s="28"/>
      <c r="E309" s="28"/>
      <c r="F309" s="28"/>
      <c r="G309" s="28"/>
    </row>
    <row r="310" spans="1:7">
      <c r="A310" s="9"/>
      <c r="B310" s="28"/>
      <c r="C310" s="28"/>
      <c r="D310" s="28"/>
      <c r="E310" s="28"/>
      <c r="F310" s="28"/>
      <c r="G310" s="28"/>
    </row>
    <row r="311" spans="1:7">
      <c r="A311" s="2" t="s">
        <v>602</v>
      </c>
      <c r="B311" s="147">
        <f>B303/B304*$C$259</f>
        <v>37.974683544303801</v>
      </c>
      <c r="C311" s="147">
        <f t="shared" ref="C311:G311" si="94">C303/C304*$C$259</f>
        <v>38.369304556354912</v>
      </c>
      <c r="D311" s="147">
        <f t="shared" si="94"/>
        <v>38.724373576309794</v>
      </c>
      <c r="E311" s="147">
        <f t="shared" si="94"/>
        <v>38.961038961038959</v>
      </c>
      <c r="F311" s="147">
        <f t="shared" si="94"/>
        <v>39.256198347107436</v>
      </c>
      <c r="G311" s="147">
        <f t="shared" si="94"/>
        <v>39.525691699604742</v>
      </c>
    </row>
    <row r="312" spans="1:7">
      <c r="A312" s="9"/>
      <c r="B312" s="101"/>
      <c r="C312" s="101"/>
      <c r="D312" s="101"/>
      <c r="E312" s="101"/>
      <c r="F312" s="101"/>
      <c r="G312" s="101"/>
    </row>
    <row r="313" spans="1:7">
      <c r="A313" s="92" t="s">
        <v>67</v>
      </c>
      <c r="B313" s="141">
        <v>40</v>
      </c>
      <c r="C313" s="141">
        <v>40</v>
      </c>
      <c r="D313" s="141">
        <v>40</v>
      </c>
      <c r="E313" s="141">
        <v>41</v>
      </c>
      <c r="F313" s="141">
        <v>41</v>
      </c>
      <c r="G313" s="141">
        <v>42</v>
      </c>
    </row>
    <row r="314" spans="1:7">
      <c r="A314" s="92" t="s">
        <v>4</v>
      </c>
      <c r="B314" s="141">
        <v>42</v>
      </c>
      <c r="C314" s="141">
        <v>42</v>
      </c>
      <c r="D314" s="141">
        <v>42</v>
      </c>
      <c r="E314" s="141">
        <v>43</v>
      </c>
      <c r="F314" s="141">
        <v>43</v>
      </c>
      <c r="G314" s="141">
        <v>43</v>
      </c>
    </row>
    <row r="315" spans="1:7">
      <c r="A315" s="92" t="s">
        <v>5</v>
      </c>
      <c r="B315" s="141">
        <v>39</v>
      </c>
      <c r="C315" s="141">
        <v>39</v>
      </c>
      <c r="D315" s="141">
        <v>39</v>
      </c>
      <c r="E315" s="141">
        <v>39</v>
      </c>
      <c r="F315" s="141">
        <v>39</v>
      </c>
      <c r="G315" s="141">
        <v>39</v>
      </c>
    </row>
    <row r="316" spans="1:7">
      <c r="A316" s="92" t="s">
        <v>6</v>
      </c>
      <c r="B316" s="141">
        <v>35</v>
      </c>
      <c r="C316" s="141">
        <v>35</v>
      </c>
      <c r="D316" s="141">
        <v>36</v>
      </c>
      <c r="E316" s="141">
        <v>36</v>
      </c>
      <c r="F316" s="141">
        <v>36</v>
      </c>
      <c r="G316" s="141">
        <v>36</v>
      </c>
    </row>
    <row r="318" spans="1:7">
      <c r="A318" s="12"/>
      <c r="B318" s="16"/>
      <c r="C318" s="16"/>
      <c r="D318" s="16"/>
      <c r="E318" s="16"/>
      <c r="F318" s="16"/>
      <c r="G318" s="16"/>
    </row>
    <row r="319" spans="1:7">
      <c r="A319" s="27" t="s">
        <v>115</v>
      </c>
      <c r="B319" s="16"/>
      <c r="C319" s="16"/>
      <c r="D319" s="16"/>
      <c r="E319" s="16"/>
      <c r="F319" s="16"/>
      <c r="G319" s="16"/>
    </row>
    <row r="320" spans="1:7">
      <c r="A320" s="11" t="s">
        <v>9</v>
      </c>
      <c r="B320" s="16"/>
      <c r="C320" s="16"/>
      <c r="D320" s="16"/>
      <c r="E320" s="16"/>
      <c r="F320" s="16"/>
      <c r="G320" s="16"/>
    </row>
    <row r="321" spans="1:10">
      <c r="A321" s="27" t="str">
        <f>CONCATENATE(A311," (in ",C306,")")</f>
        <v>Personnel expenses per FTE (in €'000)</v>
      </c>
    </row>
    <row r="323" spans="1:10">
      <c r="A323" s="9"/>
      <c r="B323" s="16"/>
      <c r="C323" s="16"/>
      <c r="D323" s="16"/>
      <c r="E323" s="16"/>
      <c r="F323" s="16"/>
      <c r="G323" s="16"/>
    </row>
    <row r="324" spans="1:10" ht="19.5" customHeight="1">
      <c r="A324" s="377" t="str">
        <f>CONCATENATE(A311, " in comparison to peer group")</f>
        <v>Personnel expenses per FTE in comparison to peer group</v>
      </c>
      <c r="B324" s="377"/>
      <c r="C324" s="377"/>
      <c r="D324" s="377"/>
      <c r="E324" s="377"/>
      <c r="F324" s="377"/>
      <c r="G324" s="377"/>
    </row>
    <row r="325" spans="1:10">
      <c r="A325" s="387"/>
      <c r="B325" s="23">
        <v>2010</v>
      </c>
      <c r="C325" s="23">
        <v>2011</v>
      </c>
      <c r="D325" s="23">
        <v>2012</v>
      </c>
      <c r="E325" s="742">
        <v>2013</v>
      </c>
      <c r="F325" s="435">
        <v>2014</v>
      </c>
      <c r="G325" s="436">
        <v>2015</v>
      </c>
    </row>
    <row r="326" spans="1:10">
      <c r="A326" s="397"/>
      <c r="B326" s="793" t="s">
        <v>51</v>
      </c>
      <c r="C326" s="793"/>
      <c r="D326" s="793"/>
      <c r="E326" s="790" t="s">
        <v>2</v>
      </c>
      <c r="F326" s="791"/>
      <c r="G326" s="792"/>
      <c r="I326" s="68" t="str">
        <f>CONCATENATE("CAGR ",RIGHT(B325,2),"-",RIGHT(D325,2))</f>
        <v>CAGR 10-12</v>
      </c>
      <c r="J326" s="68" t="str">
        <f>CONCATENATE("CAGR ",RIGHT(E325,2),"-",RIGHT(G325,2))</f>
        <v>CAGR 13-15</v>
      </c>
    </row>
    <row r="327" spans="1:10">
      <c r="A327" s="365" t="s">
        <v>3</v>
      </c>
      <c r="B327" s="7">
        <f>B311</f>
        <v>37.974683544303801</v>
      </c>
      <c r="C327" s="7">
        <f t="shared" ref="C327" si="95">C311</f>
        <v>38.369304556354912</v>
      </c>
      <c r="D327" s="7">
        <f>D311</f>
        <v>38.724373576309794</v>
      </c>
      <c r="E327" s="530">
        <f t="shared" ref="E327:G327" si="96">E311</f>
        <v>38.961038961038959</v>
      </c>
      <c r="F327" s="7">
        <f t="shared" si="96"/>
        <v>39.256198347107436</v>
      </c>
      <c r="G327" s="143">
        <f t="shared" si="96"/>
        <v>39.525691699604742</v>
      </c>
      <c r="I327" s="67">
        <f>(D327/B327)^(1/2)-1</f>
        <v>9.8226762701909553E-3</v>
      </c>
      <c r="J327" s="67">
        <f>(G327/E327)^(1/2)-1</f>
        <v>7.2203103706698357E-3</v>
      </c>
    </row>
    <row r="328" spans="1:10">
      <c r="A328" s="365" t="str">
        <f>A313</f>
        <v>Market study YYY</v>
      </c>
      <c r="B328" s="7">
        <f>B313</f>
        <v>40</v>
      </c>
      <c r="C328" s="7">
        <f t="shared" ref="C328:G328" si="97">C313</f>
        <v>40</v>
      </c>
      <c r="D328" s="7">
        <f t="shared" si="97"/>
        <v>40</v>
      </c>
      <c r="E328" s="530">
        <f t="shared" si="97"/>
        <v>41</v>
      </c>
      <c r="F328" s="7">
        <f t="shared" si="97"/>
        <v>41</v>
      </c>
      <c r="G328" s="143">
        <f t="shared" si="97"/>
        <v>42</v>
      </c>
      <c r="I328" s="67">
        <f>(D328/B328)^(1/2)-1</f>
        <v>0</v>
      </c>
      <c r="J328" s="67">
        <f>(G328/E328)^(1/2)-1</f>
        <v>1.2121654694947859E-2</v>
      </c>
    </row>
    <row r="329" spans="1:10">
      <c r="A329" s="365" t="str">
        <f t="shared" ref="A329:B329" si="98">A314</f>
        <v>Peer 1</v>
      </c>
      <c r="B329" s="7">
        <f t="shared" si="98"/>
        <v>42</v>
      </c>
      <c r="C329" s="7">
        <f>C314</f>
        <v>42</v>
      </c>
      <c r="D329" s="7">
        <f t="shared" ref="D329:G329" si="99">D314</f>
        <v>42</v>
      </c>
      <c r="E329" s="530">
        <f t="shared" si="99"/>
        <v>43</v>
      </c>
      <c r="F329" s="7">
        <f t="shared" si="99"/>
        <v>43</v>
      </c>
      <c r="G329" s="143">
        <f t="shared" si="99"/>
        <v>43</v>
      </c>
    </row>
    <row r="330" spans="1:10">
      <c r="A330" s="365" t="str">
        <f t="shared" ref="A330:G330" si="100">A315</f>
        <v>Peer 2</v>
      </c>
      <c r="B330" s="7">
        <f t="shared" si="100"/>
        <v>39</v>
      </c>
      <c r="C330" s="7">
        <f t="shared" si="100"/>
        <v>39</v>
      </c>
      <c r="D330" s="7">
        <f t="shared" si="100"/>
        <v>39</v>
      </c>
      <c r="E330" s="530">
        <f t="shared" si="100"/>
        <v>39</v>
      </c>
      <c r="F330" s="7">
        <f t="shared" si="100"/>
        <v>39</v>
      </c>
      <c r="G330" s="143">
        <f t="shared" si="100"/>
        <v>39</v>
      </c>
    </row>
    <row r="331" spans="1:10">
      <c r="A331" s="365" t="str">
        <f t="shared" ref="A331:G331" si="101">A316</f>
        <v>Peer 3</v>
      </c>
      <c r="B331" s="7">
        <f t="shared" si="101"/>
        <v>35</v>
      </c>
      <c r="C331" s="7">
        <f t="shared" si="101"/>
        <v>35</v>
      </c>
      <c r="D331" s="7">
        <f t="shared" si="101"/>
        <v>36</v>
      </c>
      <c r="E331" s="530">
        <f t="shared" si="101"/>
        <v>36</v>
      </c>
      <c r="F331" s="7">
        <f t="shared" si="101"/>
        <v>36</v>
      </c>
      <c r="G331" s="143">
        <f t="shared" si="101"/>
        <v>36</v>
      </c>
    </row>
    <row r="332" spans="1:10" ht="3" customHeight="1">
      <c r="A332" s="365"/>
      <c r="B332" s="7"/>
      <c r="C332" s="7"/>
      <c r="D332" s="7"/>
      <c r="E332" s="530"/>
      <c r="F332" s="7"/>
      <c r="G332" s="143"/>
    </row>
    <row r="333" spans="1:10">
      <c r="A333" s="709" t="s">
        <v>8</v>
      </c>
      <c r="B333" s="140">
        <f>MIN(B329:B331)</f>
        <v>35</v>
      </c>
      <c r="C333" s="140">
        <f t="shared" ref="C333:G333" si="102">MIN(C329:C331)</f>
        <v>35</v>
      </c>
      <c r="D333" s="140">
        <f t="shared" si="102"/>
        <v>36</v>
      </c>
      <c r="E333" s="532">
        <f t="shared" si="102"/>
        <v>36</v>
      </c>
      <c r="F333" s="140">
        <f t="shared" si="102"/>
        <v>36</v>
      </c>
      <c r="G333" s="145">
        <f t="shared" si="102"/>
        <v>36</v>
      </c>
    </row>
    <row r="334" spans="1:10">
      <c r="A334" s="710" t="s">
        <v>7</v>
      </c>
      <c r="B334" s="139">
        <f>MAX(B329:B331)</f>
        <v>42</v>
      </c>
      <c r="C334" s="139">
        <f t="shared" ref="C334:G334" si="103">MAX(C329:C331)</f>
        <v>42</v>
      </c>
      <c r="D334" s="139">
        <f t="shared" si="103"/>
        <v>42</v>
      </c>
      <c r="E334" s="531">
        <f t="shared" si="103"/>
        <v>43</v>
      </c>
      <c r="F334" s="139">
        <f t="shared" si="103"/>
        <v>43</v>
      </c>
      <c r="G334" s="144">
        <f t="shared" si="103"/>
        <v>43</v>
      </c>
    </row>
    <row r="335" spans="1:10" ht="12" thickBot="1">
      <c r="A335" s="711" t="s">
        <v>24</v>
      </c>
      <c r="B335" s="148">
        <f t="shared" ref="B335:G335" si="104">AVERAGE(B329:B331)</f>
        <v>38.666666666666664</v>
      </c>
      <c r="C335" s="148">
        <f t="shared" si="104"/>
        <v>38.666666666666664</v>
      </c>
      <c r="D335" s="148">
        <f t="shared" si="104"/>
        <v>39</v>
      </c>
      <c r="E335" s="740">
        <f t="shared" si="104"/>
        <v>39.333333333333336</v>
      </c>
      <c r="F335" s="148">
        <f t="shared" si="104"/>
        <v>39.333333333333336</v>
      </c>
      <c r="G335" s="149">
        <f t="shared" si="104"/>
        <v>39.333333333333336</v>
      </c>
      <c r="I335" s="67">
        <f>(D335/B335)^(1/2)-1</f>
        <v>4.301095117979159E-3</v>
      </c>
      <c r="J335" s="67">
        <f>(G335/E335)^(1/2)-1</f>
        <v>0</v>
      </c>
    </row>
    <row r="340" spans="1:30">
      <c r="A340" s="150"/>
      <c r="B340" s="150"/>
      <c r="C340" s="150">
        <f>B301</f>
        <v>2010</v>
      </c>
      <c r="D340" s="150"/>
      <c r="E340" s="150"/>
      <c r="F340" s="150"/>
      <c r="G340" s="150"/>
      <c r="H340" s="150">
        <f>C301</f>
        <v>2011</v>
      </c>
      <c r="I340" s="150"/>
      <c r="J340" s="150"/>
      <c r="K340" s="150"/>
      <c r="L340" s="150"/>
      <c r="M340" s="150">
        <f>D301</f>
        <v>2012</v>
      </c>
      <c r="N340" s="150"/>
      <c r="O340" s="150"/>
      <c r="P340" s="150"/>
      <c r="Q340" s="150"/>
      <c r="R340" s="150">
        <f>E301</f>
        <v>2013</v>
      </c>
      <c r="S340" s="150"/>
      <c r="T340" s="150"/>
      <c r="U340" s="150"/>
      <c r="V340" s="150"/>
      <c r="W340" s="150">
        <f>F301</f>
        <v>2014</v>
      </c>
      <c r="X340" s="150"/>
      <c r="Y340" s="150"/>
      <c r="Z340" s="150"/>
      <c r="AA340" s="150"/>
      <c r="AB340" s="150">
        <f>G301</f>
        <v>2015</v>
      </c>
      <c r="AC340" s="150"/>
      <c r="AD340" s="150"/>
    </row>
    <row r="341" spans="1:30">
      <c r="A341" s="150"/>
      <c r="B341" s="150" t="str">
        <f>A300</f>
        <v>XXX AG</v>
      </c>
      <c r="C341" s="150" t="str">
        <f>A314</f>
        <v>Peer 1</v>
      </c>
      <c r="D341" s="150" t="str">
        <f>A315</f>
        <v>Peer 2</v>
      </c>
      <c r="E341" s="150" t="str">
        <f>A316</f>
        <v>Peer 3</v>
      </c>
      <c r="F341" s="150"/>
      <c r="G341" s="150" t="str">
        <f>B341</f>
        <v>XXX AG</v>
      </c>
      <c r="H341" s="150" t="str">
        <f t="shared" ref="H341:J341" si="105">C341</f>
        <v>Peer 1</v>
      </c>
      <c r="I341" s="150" t="str">
        <f t="shared" si="105"/>
        <v>Peer 2</v>
      </c>
      <c r="J341" s="150" t="str">
        <f t="shared" si="105"/>
        <v>Peer 3</v>
      </c>
      <c r="K341" s="150"/>
      <c r="L341" s="150" t="str">
        <f>G341</f>
        <v>XXX AG</v>
      </c>
      <c r="M341" s="150" t="str">
        <f t="shared" ref="M341" si="106">H341</f>
        <v>Peer 1</v>
      </c>
      <c r="N341" s="150" t="str">
        <f t="shared" ref="N341" si="107">I341</f>
        <v>Peer 2</v>
      </c>
      <c r="O341" s="150" t="str">
        <f t="shared" ref="O341" si="108">J341</f>
        <v>Peer 3</v>
      </c>
      <c r="P341" s="150"/>
      <c r="Q341" s="150" t="str">
        <f>L341</f>
        <v>XXX AG</v>
      </c>
      <c r="R341" s="150" t="str">
        <f t="shared" ref="R341" si="109">M341</f>
        <v>Peer 1</v>
      </c>
      <c r="S341" s="150" t="str">
        <f t="shared" ref="S341" si="110">N341</f>
        <v>Peer 2</v>
      </c>
      <c r="T341" s="150" t="str">
        <f t="shared" ref="T341" si="111">O341</f>
        <v>Peer 3</v>
      </c>
      <c r="U341" s="150"/>
      <c r="V341" s="150" t="str">
        <f>Q341</f>
        <v>XXX AG</v>
      </c>
      <c r="W341" s="150" t="str">
        <f t="shared" ref="W341" si="112">R341</f>
        <v>Peer 1</v>
      </c>
      <c r="X341" s="150" t="str">
        <f t="shared" ref="X341" si="113">S341</f>
        <v>Peer 2</v>
      </c>
      <c r="Y341" s="150" t="str">
        <f t="shared" ref="Y341" si="114">T341</f>
        <v>Peer 3</v>
      </c>
      <c r="Z341" s="150"/>
      <c r="AA341" s="150" t="str">
        <f>V341</f>
        <v>XXX AG</v>
      </c>
      <c r="AB341" s="150" t="str">
        <f t="shared" ref="AB341" si="115">W341</f>
        <v>Peer 1</v>
      </c>
      <c r="AC341" s="150" t="str">
        <f t="shared" ref="AC341" si="116">X341</f>
        <v>Peer 2</v>
      </c>
      <c r="AD341" s="150" t="str">
        <f t="shared" ref="AD341" si="117">Y341</f>
        <v>Peer 3</v>
      </c>
    </row>
    <row r="342" spans="1:30">
      <c r="A342" s="150" t="str">
        <f>A321</f>
        <v>Personnel expenses per FTE (in €'000)</v>
      </c>
      <c r="B342" s="151">
        <f>B327</f>
        <v>37.974683544303801</v>
      </c>
      <c r="C342" s="151">
        <f>B329</f>
        <v>42</v>
      </c>
      <c r="D342" s="151">
        <f>B330</f>
        <v>39</v>
      </c>
      <c r="E342" s="151">
        <f>B331</f>
        <v>35</v>
      </c>
      <c r="F342" s="151"/>
      <c r="G342" s="151">
        <f>C327</f>
        <v>38.369304556354912</v>
      </c>
      <c r="H342" s="151">
        <f>C329</f>
        <v>42</v>
      </c>
      <c r="I342" s="151">
        <f>C330</f>
        <v>39</v>
      </c>
      <c r="J342" s="151">
        <f>C331</f>
        <v>35</v>
      </c>
      <c r="K342" s="151"/>
      <c r="L342" s="151">
        <f>D327</f>
        <v>38.724373576309794</v>
      </c>
      <c r="M342" s="151">
        <f>D329</f>
        <v>42</v>
      </c>
      <c r="N342" s="151">
        <f>D330</f>
        <v>39</v>
      </c>
      <c r="O342" s="151">
        <f>D331</f>
        <v>36</v>
      </c>
      <c r="P342" s="151"/>
      <c r="Q342" s="151">
        <f>E327</f>
        <v>38.961038961038959</v>
      </c>
      <c r="R342" s="151">
        <f>E329</f>
        <v>43</v>
      </c>
      <c r="S342" s="151">
        <f>E330</f>
        <v>39</v>
      </c>
      <c r="T342" s="151">
        <f>E331</f>
        <v>36</v>
      </c>
      <c r="U342" s="151"/>
      <c r="V342" s="151">
        <f>F327</f>
        <v>39.256198347107436</v>
      </c>
      <c r="W342" s="151">
        <f>F329</f>
        <v>43</v>
      </c>
      <c r="X342" s="151">
        <f>F330</f>
        <v>39</v>
      </c>
      <c r="Y342" s="151">
        <f>F331</f>
        <v>36</v>
      </c>
      <c r="Z342" s="151"/>
      <c r="AA342" s="151">
        <f>G327</f>
        <v>39.525691699604742</v>
      </c>
      <c r="AB342" s="151">
        <f>G329</f>
        <v>43</v>
      </c>
      <c r="AC342" s="151">
        <f>G330</f>
        <v>39</v>
      </c>
      <c r="AD342" s="151">
        <f>G331</f>
        <v>36</v>
      </c>
    </row>
    <row r="345" spans="1:30" s="357" customFormat="1" ht="20.25" customHeight="1">
      <c r="A345" s="358" t="s">
        <v>286</v>
      </c>
    </row>
    <row r="347" spans="1:30">
      <c r="A347" s="9" t="s">
        <v>93</v>
      </c>
      <c r="B347" s="16"/>
      <c r="C347" s="16"/>
      <c r="D347" s="16"/>
      <c r="E347" s="16"/>
      <c r="F347" s="16"/>
      <c r="G347" s="16"/>
    </row>
    <row r="348" spans="1:30">
      <c r="A348" s="27" t="str">
        <f>Input!E3</f>
        <v>XXX AG</v>
      </c>
      <c r="B348" s="16"/>
      <c r="C348" s="16"/>
      <c r="D348" s="16"/>
      <c r="E348" s="16"/>
      <c r="F348" s="16"/>
      <c r="G348" s="16"/>
    </row>
    <row r="349" spans="1:30">
      <c r="A349" s="9"/>
      <c r="B349" s="28">
        <f>Input!E68</f>
        <v>2010</v>
      </c>
      <c r="C349" s="28">
        <f>Input!F68</f>
        <v>2011</v>
      </c>
      <c r="D349" s="28">
        <f>Input!G68</f>
        <v>2012</v>
      </c>
      <c r="E349" s="28">
        <f>Input!H68</f>
        <v>2013</v>
      </c>
      <c r="F349" s="28">
        <f>Input!I68</f>
        <v>2014</v>
      </c>
      <c r="G349" s="28">
        <f>Input!J68</f>
        <v>2015</v>
      </c>
    </row>
    <row r="350" spans="1:30">
      <c r="A350" s="9"/>
      <c r="B350" s="28" t="str">
        <f>Input!E69</f>
        <v>Actual</v>
      </c>
      <c r="C350" s="28" t="str">
        <f>Input!F69</f>
        <v>Actual</v>
      </c>
      <c r="D350" s="28" t="str">
        <f>Input!G69</f>
        <v>Actual</v>
      </c>
      <c r="E350" s="28" t="str">
        <f>Input!H69</f>
        <v>Plan</v>
      </c>
      <c r="F350" s="28" t="str">
        <f>Input!I69</f>
        <v>Plan</v>
      </c>
      <c r="G350" s="28" t="str">
        <f>Input!J69</f>
        <v>Plan</v>
      </c>
    </row>
    <row r="351" spans="1:30">
      <c r="A351" s="2" t="s">
        <v>583</v>
      </c>
      <c r="B351" s="93">
        <v>0.6</v>
      </c>
      <c r="C351" s="93">
        <v>0.60909090909090913</v>
      </c>
      <c r="D351" s="93">
        <v>0.61739130434782608</v>
      </c>
      <c r="E351" s="93">
        <v>0.64406779661016944</v>
      </c>
      <c r="F351" s="93">
        <v>0.64166666666666672</v>
      </c>
      <c r="G351" s="93">
        <v>0.66393442622950816</v>
      </c>
    </row>
    <row r="352" spans="1:30">
      <c r="A352" s="9"/>
      <c r="B352" s="16"/>
      <c r="C352" s="16"/>
      <c r="D352" s="16"/>
      <c r="E352" s="16"/>
      <c r="F352" s="16"/>
      <c r="G352" s="16"/>
    </row>
    <row r="354" spans="1:10">
      <c r="A354" s="92" t="s">
        <v>4</v>
      </c>
      <c r="B354" s="93">
        <v>0.65</v>
      </c>
      <c r="C354" s="93">
        <v>0.66</v>
      </c>
      <c r="D354" s="93">
        <v>0.67</v>
      </c>
      <c r="E354" s="93">
        <v>0.68</v>
      </c>
      <c r="F354" s="93">
        <v>0.7</v>
      </c>
      <c r="G354" s="93">
        <v>0.72</v>
      </c>
    </row>
    <row r="355" spans="1:10">
      <c r="A355" s="92" t="s">
        <v>5</v>
      </c>
      <c r="B355" s="93">
        <v>0.54</v>
      </c>
      <c r="C355" s="93">
        <v>0.55000000000000004</v>
      </c>
      <c r="D355" s="93">
        <v>0.56000000000000005</v>
      </c>
      <c r="E355" s="93">
        <v>0.56999999999999995</v>
      </c>
      <c r="F355" s="93">
        <v>0.59</v>
      </c>
      <c r="G355" s="93">
        <v>0.6</v>
      </c>
    </row>
    <row r="356" spans="1:10">
      <c r="A356" s="92" t="s">
        <v>6</v>
      </c>
      <c r="B356" s="93">
        <v>0.55000000000000004</v>
      </c>
      <c r="C356" s="93">
        <v>0.56000000000000005</v>
      </c>
      <c r="D356" s="93">
        <v>0.57999999999999996</v>
      </c>
      <c r="E356" s="93">
        <v>0.59</v>
      </c>
      <c r="F356" s="93">
        <v>0.61</v>
      </c>
      <c r="G356" s="93">
        <v>0.65</v>
      </c>
    </row>
    <row r="358" spans="1:10">
      <c r="A358" s="12"/>
      <c r="B358" s="16"/>
      <c r="C358" s="16"/>
      <c r="D358" s="16"/>
      <c r="E358" s="16"/>
      <c r="F358" s="16"/>
      <c r="G358" s="16"/>
    </row>
    <row r="359" spans="1:10">
      <c r="A359" s="27" t="s">
        <v>115</v>
      </c>
      <c r="B359" s="16"/>
      <c r="C359" s="16"/>
      <c r="D359" s="16"/>
      <c r="E359" s="16"/>
      <c r="F359" s="16"/>
      <c r="G359" s="16"/>
    </row>
    <row r="360" spans="1:10">
      <c r="A360" s="11" t="s">
        <v>9</v>
      </c>
      <c r="B360" s="16"/>
      <c r="C360" s="16"/>
      <c r="D360" s="16"/>
      <c r="E360" s="16"/>
      <c r="F360" s="16"/>
      <c r="G360" s="16"/>
    </row>
    <row r="363" spans="1:10">
      <c r="A363" s="9"/>
      <c r="B363" s="16"/>
      <c r="C363" s="16"/>
      <c r="D363" s="16"/>
      <c r="E363" s="16"/>
      <c r="F363" s="16"/>
      <c r="G363" s="16"/>
    </row>
    <row r="364" spans="1:10" ht="19.5" customHeight="1">
      <c r="A364" s="377" t="str">
        <f>CONCATENATE(A351, " in comparison to peer group")</f>
        <v>EBIT to free cash flow conversion in comparison to peer group</v>
      </c>
      <c r="B364" s="377"/>
      <c r="C364" s="377"/>
      <c r="D364" s="377"/>
      <c r="E364" s="377"/>
      <c r="F364" s="377"/>
      <c r="G364" s="377"/>
    </row>
    <row r="365" spans="1:10">
      <c r="A365" s="387"/>
      <c r="B365" s="23">
        <v>2010</v>
      </c>
      <c r="C365" s="23">
        <v>2011</v>
      </c>
      <c r="D365" s="23">
        <v>2012</v>
      </c>
      <c r="E365" s="742">
        <v>2013</v>
      </c>
      <c r="F365" s="435">
        <v>2014</v>
      </c>
      <c r="G365" s="436">
        <v>2015</v>
      </c>
    </row>
    <row r="366" spans="1:10">
      <c r="A366" s="397"/>
      <c r="B366" s="793" t="s">
        <v>51</v>
      </c>
      <c r="C366" s="793"/>
      <c r="D366" s="793"/>
      <c r="E366" s="790" t="s">
        <v>2</v>
      </c>
      <c r="F366" s="791"/>
      <c r="G366" s="792"/>
      <c r="I366" s="68" t="str">
        <f>CONCATENATE("CAGR ",RIGHT(B365,2),"-",RIGHT(D365,2))</f>
        <v>CAGR 10-12</v>
      </c>
      <c r="J366" s="68" t="str">
        <f>CONCATENATE("CAGR ",RIGHT(E365,2),"-",RIGHT(G365,2))</f>
        <v>CAGR 13-15</v>
      </c>
    </row>
    <row r="367" spans="1:10">
      <c r="A367" s="388" t="s">
        <v>3</v>
      </c>
      <c r="B367" s="307">
        <f>B351</f>
        <v>0.6</v>
      </c>
      <c r="C367" s="307">
        <f t="shared" ref="C367:G367" si="118">C351</f>
        <v>0.60909090909090913</v>
      </c>
      <c r="D367" s="307">
        <f t="shared" si="118"/>
        <v>0.61739130434782608</v>
      </c>
      <c r="E367" s="402">
        <f t="shared" si="118"/>
        <v>0.64406779661016944</v>
      </c>
      <c r="F367" s="307">
        <f t="shared" si="118"/>
        <v>0.64166666666666672</v>
      </c>
      <c r="G367" s="716">
        <f t="shared" si="118"/>
        <v>0.66393442622950816</v>
      </c>
      <c r="I367" s="67">
        <f>(D367/B367)^(1/2)-1</f>
        <v>1.4389228672296639E-2</v>
      </c>
      <c r="J367" s="67">
        <f>(G367/E367)^(1/2)-1</f>
        <v>1.5305646844454568E-2</v>
      </c>
    </row>
    <row r="368" spans="1:10">
      <c r="A368" s="388" t="str">
        <f t="shared" ref="A368:G368" si="119">A354</f>
        <v>Peer 1</v>
      </c>
      <c r="B368" s="307">
        <f t="shared" si="119"/>
        <v>0.65</v>
      </c>
      <c r="C368" s="307">
        <f t="shared" si="119"/>
        <v>0.66</v>
      </c>
      <c r="D368" s="307">
        <f t="shared" si="119"/>
        <v>0.67</v>
      </c>
      <c r="E368" s="402">
        <f t="shared" si="119"/>
        <v>0.68</v>
      </c>
      <c r="F368" s="307">
        <f t="shared" si="119"/>
        <v>0.7</v>
      </c>
      <c r="G368" s="716">
        <f t="shared" si="119"/>
        <v>0.72</v>
      </c>
    </row>
    <row r="369" spans="1:10">
      <c r="A369" s="388" t="str">
        <f t="shared" ref="A369:G369" si="120">A355</f>
        <v>Peer 2</v>
      </c>
      <c r="B369" s="307">
        <f t="shared" si="120"/>
        <v>0.54</v>
      </c>
      <c r="C369" s="307">
        <f t="shared" si="120"/>
        <v>0.55000000000000004</v>
      </c>
      <c r="D369" s="307">
        <f t="shared" si="120"/>
        <v>0.56000000000000005</v>
      </c>
      <c r="E369" s="402">
        <f t="shared" si="120"/>
        <v>0.56999999999999995</v>
      </c>
      <c r="F369" s="307">
        <f t="shared" si="120"/>
        <v>0.59</v>
      </c>
      <c r="G369" s="716">
        <f t="shared" si="120"/>
        <v>0.6</v>
      </c>
    </row>
    <row r="370" spans="1:10">
      <c r="A370" s="388" t="str">
        <f t="shared" ref="A370:G370" si="121">A356</f>
        <v>Peer 3</v>
      </c>
      <c r="B370" s="307">
        <f t="shared" si="121"/>
        <v>0.55000000000000004</v>
      </c>
      <c r="C370" s="307">
        <f t="shared" si="121"/>
        <v>0.56000000000000005</v>
      </c>
      <c r="D370" s="307">
        <f t="shared" si="121"/>
        <v>0.57999999999999996</v>
      </c>
      <c r="E370" s="402">
        <f t="shared" si="121"/>
        <v>0.59</v>
      </c>
      <c r="F370" s="307">
        <f t="shared" si="121"/>
        <v>0.61</v>
      </c>
      <c r="G370" s="716">
        <f t="shared" si="121"/>
        <v>0.65</v>
      </c>
    </row>
    <row r="371" spans="1:10" ht="3" customHeight="1">
      <c r="A371" s="388"/>
      <c r="B371" s="715"/>
      <c r="C371" s="715"/>
      <c r="D371" s="715"/>
      <c r="E371" s="729"/>
      <c r="F371" s="715"/>
      <c r="G371" s="730"/>
    </row>
    <row r="372" spans="1:10">
      <c r="A372" s="717" t="s">
        <v>8</v>
      </c>
      <c r="B372" s="719">
        <f>MIN(B368:B370)</f>
        <v>0.54</v>
      </c>
      <c r="C372" s="719">
        <f t="shared" ref="C372:G372" si="122">MIN(C368:C370)</f>
        <v>0.55000000000000004</v>
      </c>
      <c r="D372" s="719">
        <f t="shared" si="122"/>
        <v>0.56000000000000005</v>
      </c>
      <c r="E372" s="731">
        <f t="shared" si="122"/>
        <v>0.56999999999999995</v>
      </c>
      <c r="F372" s="719">
        <f t="shared" si="122"/>
        <v>0.59</v>
      </c>
      <c r="G372" s="720">
        <f t="shared" si="122"/>
        <v>0.6</v>
      </c>
    </row>
    <row r="373" spans="1:10">
      <c r="A373" s="721" t="s">
        <v>7</v>
      </c>
      <c r="B373" s="723">
        <f>MAX(B368:B370)</f>
        <v>0.65</v>
      </c>
      <c r="C373" s="723">
        <f t="shared" ref="C373:G373" si="123">MAX(C368:C370)</f>
        <v>0.66</v>
      </c>
      <c r="D373" s="723">
        <f t="shared" si="123"/>
        <v>0.67</v>
      </c>
      <c r="E373" s="732">
        <f t="shared" si="123"/>
        <v>0.68</v>
      </c>
      <c r="F373" s="723">
        <f t="shared" si="123"/>
        <v>0.7</v>
      </c>
      <c r="G373" s="724">
        <f t="shared" si="123"/>
        <v>0.72</v>
      </c>
    </row>
    <row r="374" spans="1:10" ht="12" thickBot="1">
      <c r="A374" s="725" t="s">
        <v>24</v>
      </c>
      <c r="B374" s="727">
        <f t="shared" ref="B374:G374" si="124">AVERAGE(B368:B370)</f>
        <v>0.57999999999999996</v>
      </c>
      <c r="C374" s="727">
        <f t="shared" si="124"/>
        <v>0.59</v>
      </c>
      <c r="D374" s="727">
        <f t="shared" si="124"/>
        <v>0.60333333333333339</v>
      </c>
      <c r="E374" s="733">
        <f t="shared" si="124"/>
        <v>0.61333333333333329</v>
      </c>
      <c r="F374" s="727">
        <f t="shared" si="124"/>
        <v>0.6333333333333333</v>
      </c>
      <c r="G374" s="728">
        <f t="shared" si="124"/>
        <v>0.65666666666666662</v>
      </c>
      <c r="I374" s="67">
        <f>(D374/B374)^(1/2)-1</f>
        <v>1.9916606913266799E-2</v>
      </c>
      <c r="J374" s="67">
        <f>(G374/E374)^(1/2)-1</f>
        <v>3.4723235417589038E-2</v>
      </c>
    </row>
    <row r="378" spans="1:10" s="357" customFormat="1" ht="20.25" customHeight="1">
      <c r="A378" s="358" t="s">
        <v>287</v>
      </c>
    </row>
    <row r="380" spans="1:10">
      <c r="A380" s="9" t="s">
        <v>93</v>
      </c>
      <c r="B380" s="16"/>
      <c r="C380" s="16"/>
      <c r="D380" s="16"/>
      <c r="E380" s="16"/>
      <c r="F380" s="16"/>
      <c r="G380" s="16"/>
    </row>
    <row r="381" spans="1:10">
      <c r="A381" s="27" t="str">
        <f>Input!E3</f>
        <v>XXX AG</v>
      </c>
    </row>
    <row r="382" spans="1:10">
      <c r="E382" s="27">
        <f>Input!H68</f>
        <v>2013</v>
      </c>
      <c r="F382" s="27">
        <f>Input!I68</f>
        <v>2014</v>
      </c>
      <c r="G382" s="27">
        <f>Input!J68</f>
        <v>2015</v>
      </c>
    </row>
    <row r="383" spans="1:10">
      <c r="A383" s="27" t="str">
        <f>A351</f>
        <v>EBIT to free cash flow conversion</v>
      </c>
      <c r="E383" s="65">
        <f>E351</f>
        <v>0.64406779661016944</v>
      </c>
      <c r="F383" s="65">
        <f t="shared" ref="F383:G383" si="125">F351</f>
        <v>0.64166666666666672</v>
      </c>
      <c r="G383" s="65">
        <f t="shared" si="125"/>
        <v>0.66393442622950816</v>
      </c>
    </row>
    <row r="384" spans="1:10">
      <c r="E384" s="65"/>
      <c r="F384" s="65"/>
      <c r="G384" s="65"/>
    </row>
    <row r="385" spans="1:7">
      <c r="A385" s="92" t="s">
        <v>10</v>
      </c>
      <c r="E385" s="93">
        <v>0.68</v>
      </c>
      <c r="F385" s="93">
        <v>0.7</v>
      </c>
      <c r="G385" s="93">
        <v>0.72</v>
      </c>
    </row>
    <row r="386" spans="1:7">
      <c r="A386" s="92" t="s">
        <v>11</v>
      </c>
      <c r="E386" s="93">
        <v>0.56999999999999995</v>
      </c>
      <c r="F386" s="93">
        <v>0.59</v>
      </c>
      <c r="G386" s="93">
        <v>0.6</v>
      </c>
    </row>
    <row r="387" spans="1:7">
      <c r="A387" s="92" t="s">
        <v>12</v>
      </c>
      <c r="E387" s="93">
        <v>0.59</v>
      </c>
      <c r="F387" s="93">
        <v>0.61</v>
      </c>
      <c r="G387" s="93">
        <v>0.65</v>
      </c>
    </row>
    <row r="390" spans="1:7">
      <c r="A390" s="27" t="s">
        <v>115</v>
      </c>
    </row>
    <row r="391" spans="1:7">
      <c r="A391" s="27" t="s">
        <v>14</v>
      </c>
    </row>
    <row r="395" spans="1:7">
      <c r="A395" s="9"/>
      <c r="B395" s="16"/>
      <c r="C395" s="16"/>
      <c r="D395" s="16"/>
    </row>
    <row r="396" spans="1:7" ht="19.5" customHeight="1">
      <c r="A396" s="377" t="str">
        <f>CONCATENATE(A383," in comparison to analysts' expectations")</f>
        <v>EBIT to free cash flow conversion in comparison to analysts' expectations</v>
      </c>
      <c r="B396" s="377"/>
      <c r="C396" s="377"/>
      <c r="D396" s="377"/>
      <c r="E396" s="377"/>
      <c r="F396" s="377"/>
      <c r="G396" s="377"/>
    </row>
    <row r="397" spans="1:7">
      <c r="A397" s="376"/>
      <c r="B397" s="713"/>
      <c r="C397" s="713"/>
      <c r="D397" s="713"/>
      <c r="E397" s="713">
        <f>E382</f>
        <v>2013</v>
      </c>
      <c r="F397" s="713">
        <f t="shared" ref="F397:G397" si="126">F382</f>
        <v>2014</v>
      </c>
      <c r="G397" s="714">
        <f t="shared" si="126"/>
        <v>2015</v>
      </c>
    </row>
    <row r="398" spans="1:7">
      <c r="A398" s="388" t="str">
        <f>A381</f>
        <v>XXX AG</v>
      </c>
      <c r="B398" s="715"/>
      <c r="C398" s="715"/>
      <c r="D398" s="715"/>
      <c r="E398" s="307">
        <f>E383</f>
        <v>0.64406779661016944</v>
      </c>
      <c r="F398" s="307">
        <f t="shared" ref="F398:G398" si="127">F383</f>
        <v>0.64166666666666672</v>
      </c>
      <c r="G398" s="716">
        <f t="shared" si="127"/>
        <v>0.66393442622950816</v>
      </c>
    </row>
    <row r="399" spans="1:7">
      <c r="A399" s="388" t="str">
        <f>A385</f>
        <v>Analyst A</v>
      </c>
      <c r="B399" s="715"/>
      <c r="C399" s="743"/>
      <c r="D399" s="715"/>
      <c r="E399" s="307">
        <f>E385</f>
        <v>0.68</v>
      </c>
      <c r="F399" s="307">
        <f t="shared" ref="F399:G399" si="128">F385</f>
        <v>0.7</v>
      </c>
      <c r="G399" s="716">
        <f t="shared" si="128"/>
        <v>0.72</v>
      </c>
    </row>
    <row r="400" spans="1:7">
      <c r="A400" s="388" t="str">
        <f t="shared" ref="A400:A401" si="129">A386</f>
        <v>Analyst B</v>
      </c>
      <c r="B400" s="715"/>
      <c r="C400" s="743"/>
      <c r="D400" s="715"/>
      <c r="E400" s="307">
        <f t="shared" ref="E400:G400" si="130">E386</f>
        <v>0.56999999999999995</v>
      </c>
      <c r="F400" s="307">
        <f t="shared" si="130"/>
        <v>0.59</v>
      </c>
      <c r="G400" s="716">
        <f t="shared" si="130"/>
        <v>0.6</v>
      </c>
    </row>
    <row r="401" spans="1:7">
      <c r="A401" s="388" t="str">
        <f t="shared" si="129"/>
        <v>Analyst C</v>
      </c>
      <c r="B401" s="715"/>
      <c r="C401" s="743"/>
      <c r="D401" s="715"/>
      <c r="E401" s="307">
        <f t="shared" ref="E401:G401" si="131">E387</f>
        <v>0.59</v>
      </c>
      <c r="F401" s="307">
        <f t="shared" si="131"/>
        <v>0.61</v>
      </c>
      <c r="G401" s="716">
        <f t="shared" si="131"/>
        <v>0.65</v>
      </c>
    </row>
    <row r="402" spans="1:7" ht="3" customHeight="1">
      <c r="A402" s="388"/>
      <c r="B402" s="715"/>
      <c r="C402" s="715"/>
      <c r="D402" s="715"/>
      <c r="E402" s="307"/>
      <c r="F402" s="307"/>
      <c r="G402" s="716"/>
    </row>
    <row r="403" spans="1:7">
      <c r="A403" s="717" t="s">
        <v>13</v>
      </c>
      <c r="B403" s="718"/>
      <c r="C403" s="718"/>
      <c r="D403" s="718"/>
      <c r="E403" s="719">
        <f>MIN(E399:E401)</f>
        <v>0.56999999999999995</v>
      </c>
      <c r="F403" s="719">
        <f t="shared" ref="F403:G403" si="132">MIN(F399:F401)</f>
        <v>0.59</v>
      </c>
      <c r="G403" s="720">
        <f t="shared" si="132"/>
        <v>0.6</v>
      </c>
    </row>
    <row r="404" spans="1:7">
      <c r="A404" s="721" t="s">
        <v>116</v>
      </c>
      <c r="B404" s="722"/>
      <c r="C404" s="722"/>
      <c r="D404" s="722"/>
      <c r="E404" s="723">
        <f>MAX(E399:E401)</f>
        <v>0.68</v>
      </c>
      <c r="F404" s="723">
        <f t="shared" ref="F404:G404" si="133">MAX(F399:F401)</f>
        <v>0.7</v>
      </c>
      <c r="G404" s="724">
        <f t="shared" si="133"/>
        <v>0.72</v>
      </c>
    </row>
    <row r="405" spans="1:7" ht="12" thickBot="1">
      <c r="A405" s="725" t="s">
        <v>15</v>
      </c>
      <c r="B405" s="726"/>
      <c r="C405" s="726"/>
      <c r="D405" s="726"/>
      <c r="E405" s="727">
        <f>AVERAGE(E399:E401)</f>
        <v>0.61333333333333329</v>
      </c>
      <c r="F405" s="727">
        <f t="shared" ref="F405:G405" si="134">AVERAGE(F399:F401)</f>
        <v>0.6333333333333333</v>
      </c>
      <c r="G405" s="728">
        <f t="shared" si="134"/>
        <v>0.65666666666666662</v>
      </c>
    </row>
    <row r="408" spans="1:7" s="357" customFormat="1" ht="20.25" customHeight="1">
      <c r="A408" s="358" t="s">
        <v>340</v>
      </c>
    </row>
    <row r="410" spans="1:7">
      <c r="A410" s="9" t="s">
        <v>93</v>
      </c>
      <c r="B410" s="16"/>
      <c r="C410" s="16"/>
      <c r="D410" s="16"/>
      <c r="E410" s="16"/>
      <c r="F410" s="16"/>
      <c r="G410" s="16"/>
    </row>
    <row r="411" spans="1:7">
      <c r="A411" s="27" t="str">
        <f>Input!E3</f>
        <v>XXX AG</v>
      </c>
      <c r="B411" s="16"/>
      <c r="C411" s="16"/>
      <c r="D411" s="16"/>
      <c r="E411" s="16"/>
      <c r="F411" s="16"/>
      <c r="G411" s="16"/>
    </row>
    <row r="412" spans="1:7">
      <c r="A412" s="9"/>
      <c r="B412" s="28">
        <f>Input!E68</f>
        <v>2010</v>
      </c>
      <c r="C412" s="28">
        <f>Input!F68</f>
        <v>2011</v>
      </c>
      <c r="D412" s="28">
        <f>Input!G68</f>
        <v>2012</v>
      </c>
      <c r="E412" s="28">
        <f>Input!H68</f>
        <v>2013</v>
      </c>
      <c r="F412" s="28">
        <f>Input!I68</f>
        <v>2014</v>
      </c>
      <c r="G412" s="28">
        <f>Input!J68</f>
        <v>2015</v>
      </c>
    </row>
    <row r="413" spans="1:7">
      <c r="A413" s="9"/>
      <c r="B413" s="28" t="str">
        <f>Input!E69</f>
        <v>Actual</v>
      </c>
      <c r="C413" s="28" t="str">
        <f>Input!F69</f>
        <v>Actual</v>
      </c>
      <c r="D413" s="28" t="str">
        <f>Input!G69</f>
        <v>Actual</v>
      </c>
      <c r="E413" s="28" t="str">
        <f>Input!H69</f>
        <v>Plan</v>
      </c>
      <c r="F413" s="28" t="str">
        <f>Input!I69</f>
        <v>Plan</v>
      </c>
      <c r="G413" s="28" t="str">
        <f>Input!J69</f>
        <v>Plan</v>
      </c>
    </row>
    <row r="414" spans="1:7">
      <c r="A414" s="2" t="s">
        <v>341</v>
      </c>
      <c r="B414" s="93">
        <v>0.5</v>
      </c>
      <c r="C414" s="93">
        <v>0.49</v>
      </c>
      <c r="D414" s="93">
        <v>0.48</v>
      </c>
      <c r="E414" s="93">
        <v>0.48499999999999999</v>
      </c>
      <c r="F414" s="93">
        <v>0.49</v>
      </c>
      <c r="G414" s="93">
        <v>0.48</v>
      </c>
    </row>
    <row r="415" spans="1:7">
      <c r="A415" s="9"/>
      <c r="B415" s="16"/>
      <c r="C415" s="16"/>
      <c r="D415" s="16"/>
      <c r="E415" s="16"/>
      <c r="F415" s="16"/>
      <c r="G415" s="16"/>
    </row>
    <row r="417" spans="1:10">
      <c r="A417" s="92" t="s">
        <v>4</v>
      </c>
      <c r="B417" s="93">
        <v>0.55000000000000004</v>
      </c>
      <c r="C417" s="93">
        <v>0.56000000000000005</v>
      </c>
      <c r="D417" s="93">
        <v>0.55000000000000004</v>
      </c>
      <c r="E417" s="93">
        <v>0.55500000000000005</v>
      </c>
      <c r="F417" s="93">
        <v>0.56999999999999995</v>
      </c>
      <c r="G417" s="93">
        <v>0.57999999999999996</v>
      </c>
    </row>
    <row r="418" spans="1:10">
      <c r="A418" s="92" t="s">
        <v>5</v>
      </c>
      <c r="B418" s="93">
        <v>0.45</v>
      </c>
      <c r="C418" s="93">
        <v>0.46</v>
      </c>
      <c r="D418" s="93">
        <v>0.45</v>
      </c>
      <c r="E418" s="93">
        <v>0.45</v>
      </c>
      <c r="F418" s="93">
        <v>0.46</v>
      </c>
      <c r="G418" s="93">
        <v>0.45</v>
      </c>
    </row>
    <row r="419" spans="1:10">
      <c r="A419" s="92" t="s">
        <v>6</v>
      </c>
      <c r="B419" s="93">
        <v>0.4</v>
      </c>
      <c r="C419" s="93">
        <v>0.41</v>
      </c>
      <c r="D419" s="93">
        <v>0.41</v>
      </c>
      <c r="E419" s="93">
        <v>0.4</v>
      </c>
      <c r="F419" s="93">
        <v>0.42</v>
      </c>
      <c r="G419" s="93">
        <v>0.43</v>
      </c>
    </row>
    <row r="421" spans="1:10">
      <c r="A421" s="12"/>
      <c r="B421" s="16"/>
      <c r="C421" s="16"/>
      <c r="D421" s="16"/>
      <c r="E421" s="16"/>
      <c r="F421" s="16"/>
      <c r="G421" s="16"/>
    </row>
    <row r="422" spans="1:10">
      <c r="A422" s="27" t="s">
        <v>115</v>
      </c>
      <c r="B422" s="16"/>
      <c r="C422" s="16"/>
      <c r="D422" s="16"/>
      <c r="E422" s="16"/>
      <c r="F422" s="16"/>
      <c r="G422" s="16"/>
    </row>
    <row r="423" spans="1:10">
      <c r="A423" s="11" t="s">
        <v>9</v>
      </c>
      <c r="B423" s="16"/>
      <c r="C423" s="16"/>
      <c r="D423" s="16"/>
      <c r="E423" s="16"/>
      <c r="F423" s="16"/>
      <c r="G423" s="16"/>
    </row>
    <row r="426" spans="1:10">
      <c r="A426" s="9"/>
      <c r="B426" s="16"/>
      <c r="C426" s="16"/>
      <c r="D426" s="16"/>
      <c r="E426" s="16"/>
      <c r="F426" s="16"/>
      <c r="G426" s="16"/>
    </row>
    <row r="427" spans="1:10" ht="19.5" customHeight="1">
      <c r="A427" s="377" t="str">
        <f>CONCATENATE(A414, " in comparison to peer group")</f>
        <v>Debt ratio in comparison to peer group</v>
      </c>
      <c r="B427" s="377"/>
      <c r="C427" s="377"/>
      <c r="D427" s="377"/>
      <c r="E427" s="377"/>
      <c r="F427" s="377"/>
      <c r="G427" s="377"/>
    </row>
    <row r="428" spans="1:10">
      <c r="A428" s="387"/>
      <c r="B428" s="23">
        <v>2010</v>
      </c>
      <c r="C428" s="23">
        <v>2011</v>
      </c>
      <c r="D428" s="23">
        <v>2012</v>
      </c>
      <c r="E428" s="742">
        <v>2013</v>
      </c>
      <c r="F428" s="435">
        <v>2014</v>
      </c>
      <c r="G428" s="436">
        <v>2015</v>
      </c>
    </row>
    <row r="429" spans="1:10">
      <c r="A429" s="397"/>
      <c r="B429" s="793" t="s">
        <v>51</v>
      </c>
      <c r="C429" s="793"/>
      <c r="D429" s="793"/>
      <c r="E429" s="790" t="s">
        <v>2</v>
      </c>
      <c r="F429" s="791"/>
      <c r="G429" s="792"/>
      <c r="I429" s="68" t="str">
        <f>CONCATENATE("CAGR ",RIGHT(B428,2),"-",RIGHT(D428,2))</f>
        <v>CAGR 10-12</v>
      </c>
      <c r="J429" s="68" t="str">
        <f>CONCATENATE("CAGR ",RIGHT(E428,2),"-",RIGHT(G428,2))</f>
        <v>CAGR 13-15</v>
      </c>
    </row>
    <row r="430" spans="1:10">
      <c r="A430" s="388" t="s">
        <v>3</v>
      </c>
      <c r="B430" s="307">
        <f>B414</f>
        <v>0.5</v>
      </c>
      <c r="C430" s="307">
        <f t="shared" ref="C430:G430" si="135">C414</f>
        <v>0.49</v>
      </c>
      <c r="D430" s="307">
        <f t="shared" si="135"/>
        <v>0.48</v>
      </c>
      <c r="E430" s="402">
        <f t="shared" si="135"/>
        <v>0.48499999999999999</v>
      </c>
      <c r="F430" s="307">
        <f t="shared" si="135"/>
        <v>0.49</v>
      </c>
      <c r="G430" s="716">
        <f t="shared" si="135"/>
        <v>0.48</v>
      </c>
      <c r="I430" s="67">
        <f>(D430/B430)^(1/2)-1</f>
        <v>-2.0204102886728803E-2</v>
      </c>
      <c r="J430" s="67">
        <f>(G430/E430)^(1/2)-1</f>
        <v>-5.1679932523860383E-3</v>
      </c>
    </row>
    <row r="431" spans="1:10">
      <c r="A431" s="388" t="str">
        <f t="shared" ref="A431:G431" si="136">A417</f>
        <v>Peer 1</v>
      </c>
      <c r="B431" s="307">
        <f t="shared" si="136"/>
        <v>0.55000000000000004</v>
      </c>
      <c r="C431" s="307">
        <f t="shared" si="136"/>
        <v>0.56000000000000005</v>
      </c>
      <c r="D431" s="307">
        <f t="shared" si="136"/>
        <v>0.55000000000000004</v>
      </c>
      <c r="E431" s="402">
        <f t="shared" si="136"/>
        <v>0.55500000000000005</v>
      </c>
      <c r="F431" s="307">
        <f t="shared" si="136"/>
        <v>0.56999999999999995</v>
      </c>
      <c r="G431" s="716">
        <f t="shared" si="136"/>
        <v>0.57999999999999996</v>
      </c>
    </row>
    <row r="432" spans="1:10">
      <c r="A432" s="388" t="str">
        <f t="shared" ref="A432:G432" si="137">A418</f>
        <v>Peer 2</v>
      </c>
      <c r="B432" s="307">
        <f t="shared" si="137"/>
        <v>0.45</v>
      </c>
      <c r="C432" s="307">
        <f t="shared" si="137"/>
        <v>0.46</v>
      </c>
      <c r="D432" s="307">
        <f t="shared" si="137"/>
        <v>0.45</v>
      </c>
      <c r="E432" s="402">
        <f t="shared" si="137"/>
        <v>0.45</v>
      </c>
      <c r="F432" s="307">
        <f t="shared" si="137"/>
        <v>0.46</v>
      </c>
      <c r="G432" s="716">
        <f t="shared" si="137"/>
        <v>0.45</v>
      </c>
    </row>
    <row r="433" spans="1:10">
      <c r="A433" s="388" t="str">
        <f t="shared" ref="A433:G433" si="138">A419</f>
        <v>Peer 3</v>
      </c>
      <c r="B433" s="307">
        <f t="shared" si="138"/>
        <v>0.4</v>
      </c>
      <c r="C433" s="307">
        <f t="shared" si="138"/>
        <v>0.41</v>
      </c>
      <c r="D433" s="307">
        <f t="shared" si="138"/>
        <v>0.41</v>
      </c>
      <c r="E433" s="402">
        <f t="shared" si="138"/>
        <v>0.4</v>
      </c>
      <c r="F433" s="307">
        <f t="shared" si="138"/>
        <v>0.42</v>
      </c>
      <c r="G433" s="716">
        <f t="shared" si="138"/>
        <v>0.43</v>
      </c>
    </row>
    <row r="434" spans="1:10" ht="3" customHeight="1">
      <c r="A434" s="388"/>
      <c r="B434" s="715"/>
      <c r="C434" s="715"/>
      <c r="D434" s="715"/>
      <c r="E434" s="729"/>
      <c r="F434" s="715"/>
      <c r="G434" s="730"/>
    </row>
    <row r="435" spans="1:10">
      <c r="A435" s="717" t="s">
        <v>8</v>
      </c>
      <c r="B435" s="719">
        <f>MIN(B431:B433)</f>
        <v>0.4</v>
      </c>
      <c r="C435" s="719">
        <f t="shared" ref="C435:G435" si="139">MIN(C431:C433)</f>
        <v>0.41</v>
      </c>
      <c r="D435" s="719">
        <f t="shared" si="139"/>
        <v>0.41</v>
      </c>
      <c r="E435" s="731">
        <f t="shared" si="139"/>
        <v>0.4</v>
      </c>
      <c r="F435" s="719">
        <f t="shared" si="139"/>
        <v>0.42</v>
      </c>
      <c r="G435" s="720">
        <f t="shared" si="139"/>
        <v>0.43</v>
      </c>
    </row>
    <row r="436" spans="1:10">
      <c r="A436" s="721" t="s">
        <v>7</v>
      </c>
      <c r="B436" s="723">
        <f>MAX(B431:B433)</f>
        <v>0.55000000000000004</v>
      </c>
      <c r="C436" s="723">
        <f t="shared" ref="C436:G436" si="140">MAX(C431:C433)</f>
        <v>0.56000000000000005</v>
      </c>
      <c r="D436" s="723">
        <f t="shared" si="140"/>
        <v>0.55000000000000004</v>
      </c>
      <c r="E436" s="732">
        <f t="shared" si="140"/>
        <v>0.55500000000000005</v>
      </c>
      <c r="F436" s="723">
        <f t="shared" si="140"/>
        <v>0.56999999999999995</v>
      </c>
      <c r="G436" s="724">
        <f t="shared" si="140"/>
        <v>0.57999999999999996</v>
      </c>
    </row>
    <row r="437" spans="1:10" ht="12" thickBot="1">
      <c r="A437" s="725" t="s">
        <v>24</v>
      </c>
      <c r="B437" s="727">
        <f t="shared" ref="B437:G437" si="141">AVERAGE(B431:B433)</f>
        <v>0.46666666666666662</v>
      </c>
      <c r="C437" s="727">
        <f t="shared" si="141"/>
        <v>0.47666666666666663</v>
      </c>
      <c r="D437" s="727">
        <f t="shared" si="141"/>
        <v>0.47</v>
      </c>
      <c r="E437" s="733">
        <f t="shared" si="141"/>
        <v>0.46833333333333343</v>
      </c>
      <c r="F437" s="727">
        <f t="shared" si="141"/>
        <v>0.48333333333333334</v>
      </c>
      <c r="G437" s="728">
        <f t="shared" si="141"/>
        <v>0.48666666666666664</v>
      </c>
      <c r="I437" s="67">
        <f>(D437/B437)^(1/2)-1</f>
        <v>3.5650736961989615E-3</v>
      </c>
      <c r="J437" s="67">
        <f>(G437/E437)^(1/2)-1</f>
        <v>1.9385063395235935E-2</v>
      </c>
    </row>
    <row r="440" spans="1:10" s="357" customFormat="1" ht="20.25" customHeight="1">
      <c r="A440" s="358" t="s">
        <v>342</v>
      </c>
    </row>
    <row r="442" spans="1:10">
      <c r="A442" s="9" t="s">
        <v>93</v>
      </c>
      <c r="B442" s="16"/>
      <c r="C442" s="16"/>
      <c r="D442" s="16"/>
      <c r="E442" s="16"/>
      <c r="F442" s="16"/>
      <c r="G442" s="16"/>
    </row>
    <row r="443" spans="1:10">
      <c r="A443" s="27" t="str">
        <f>Input!E3</f>
        <v>XXX AG</v>
      </c>
    </row>
    <row r="444" spans="1:10">
      <c r="E444" s="27">
        <f>Input!H68</f>
        <v>2013</v>
      </c>
      <c r="F444" s="27">
        <f>Input!I68</f>
        <v>2014</v>
      </c>
      <c r="G444" s="27">
        <f>Input!J68</f>
        <v>2015</v>
      </c>
    </row>
    <row r="445" spans="1:10">
      <c r="A445" s="27" t="str">
        <f>A414</f>
        <v>Debt ratio</v>
      </c>
      <c r="E445" s="65">
        <f>E414</f>
        <v>0.48499999999999999</v>
      </c>
      <c r="F445" s="65">
        <f t="shared" ref="F445:G445" si="142">F414</f>
        <v>0.49</v>
      </c>
      <c r="G445" s="65">
        <f t="shared" si="142"/>
        <v>0.48</v>
      </c>
    </row>
    <row r="446" spans="1:10">
      <c r="E446" s="65"/>
      <c r="F446" s="65"/>
      <c r="G446" s="65"/>
    </row>
    <row r="447" spans="1:10">
      <c r="A447" s="92" t="s">
        <v>10</v>
      </c>
      <c r="E447" s="93">
        <v>0.55500000000000005</v>
      </c>
      <c r="F447" s="93">
        <v>0.56999999999999995</v>
      </c>
      <c r="G447" s="93">
        <v>0.56000000000000005</v>
      </c>
    </row>
    <row r="448" spans="1:10">
      <c r="A448" s="92" t="s">
        <v>11</v>
      </c>
      <c r="E448" s="93">
        <v>0.45</v>
      </c>
      <c r="F448" s="93">
        <v>0.46</v>
      </c>
      <c r="G448" s="93">
        <v>0.45</v>
      </c>
    </row>
    <row r="449" spans="1:7">
      <c r="A449" s="92" t="s">
        <v>12</v>
      </c>
      <c r="E449" s="93">
        <v>0.4</v>
      </c>
      <c r="F449" s="93">
        <v>0.42</v>
      </c>
      <c r="G449" s="93">
        <v>0.43</v>
      </c>
    </row>
    <row r="452" spans="1:7">
      <c r="A452" s="27" t="s">
        <v>115</v>
      </c>
    </row>
    <row r="453" spans="1:7">
      <c r="A453" s="27" t="s">
        <v>14</v>
      </c>
    </row>
    <row r="457" spans="1:7">
      <c r="A457" s="9"/>
      <c r="B457" s="16"/>
      <c r="C457" s="16"/>
      <c r="D457" s="16"/>
    </row>
    <row r="458" spans="1:7" ht="19.5" customHeight="1">
      <c r="A458" s="377" t="str">
        <f>CONCATENATE(A445," in comparison to analysts' expectations")</f>
        <v>Debt ratio in comparison to analysts' expectations</v>
      </c>
      <c r="B458" s="377"/>
      <c r="C458" s="377"/>
      <c r="D458" s="377"/>
      <c r="E458" s="377"/>
      <c r="F458" s="377"/>
      <c r="G458" s="377"/>
    </row>
    <row r="459" spans="1:7">
      <c r="A459" s="376"/>
      <c r="B459" s="713"/>
      <c r="C459" s="713"/>
      <c r="D459" s="713"/>
      <c r="E459" s="713">
        <f>E444</f>
        <v>2013</v>
      </c>
      <c r="F459" s="713">
        <f t="shared" ref="F459:G459" si="143">F444</f>
        <v>2014</v>
      </c>
      <c r="G459" s="714">
        <f t="shared" si="143"/>
        <v>2015</v>
      </c>
    </row>
    <row r="460" spans="1:7">
      <c r="A460" s="388" t="str">
        <f>A443</f>
        <v>XXX AG</v>
      </c>
      <c r="B460" s="715"/>
      <c r="C460" s="715"/>
      <c r="D460" s="715"/>
      <c r="E460" s="307">
        <f>E445</f>
        <v>0.48499999999999999</v>
      </c>
      <c r="F460" s="307">
        <f t="shared" ref="F460:G460" si="144">F445</f>
        <v>0.49</v>
      </c>
      <c r="G460" s="716">
        <f t="shared" si="144"/>
        <v>0.48</v>
      </c>
    </row>
    <row r="461" spans="1:7">
      <c r="A461" s="388" t="str">
        <f>A447</f>
        <v>Analyst A</v>
      </c>
      <c r="B461" s="715"/>
      <c r="C461" s="743"/>
      <c r="D461" s="715"/>
      <c r="E461" s="307">
        <f>E447</f>
        <v>0.55500000000000005</v>
      </c>
      <c r="F461" s="307">
        <f t="shared" ref="F461:G461" si="145">F447</f>
        <v>0.56999999999999995</v>
      </c>
      <c r="G461" s="716">
        <f t="shared" si="145"/>
        <v>0.56000000000000005</v>
      </c>
    </row>
    <row r="462" spans="1:7">
      <c r="A462" s="388" t="str">
        <f t="shared" ref="A462:A463" si="146">A448</f>
        <v>Analyst B</v>
      </c>
      <c r="B462" s="715"/>
      <c r="C462" s="743"/>
      <c r="D462" s="715"/>
      <c r="E462" s="307">
        <f t="shared" ref="E462:G462" si="147">E448</f>
        <v>0.45</v>
      </c>
      <c r="F462" s="307">
        <f t="shared" si="147"/>
        <v>0.46</v>
      </c>
      <c r="G462" s="716">
        <f t="shared" si="147"/>
        <v>0.45</v>
      </c>
    </row>
    <row r="463" spans="1:7">
      <c r="A463" s="388" t="str">
        <f t="shared" si="146"/>
        <v>Analyst C</v>
      </c>
      <c r="B463" s="715"/>
      <c r="C463" s="743"/>
      <c r="D463" s="715"/>
      <c r="E463" s="307">
        <f t="shared" ref="E463:G463" si="148">E449</f>
        <v>0.4</v>
      </c>
      <c r="F463" s="307">
        <f t="shared" si="148"/>
        <v>0.42</v>
      </c>
      <c r="G463" s="716">
        <f t="shared" si="148"/>
        <v>0.43</v>
      </c>
    </row>
    <row r="464" spans="1:7" ht="3" customHeight="1">
      <c r="A464" s="388"/>
      <c r="B464" s="715"/>
      <c r="C464" s="715"/>
      <c r="D464" s="715"/>
      <c r="E464" s="307"/>
      <c r="F464" s="307"/>
      <c r="G464" s="716"/>
    </row>
    <row r="465" spans="1:8">
      <c r="A465" s="717" t="s">
        <v>13</v>
      </c>
      <c r="B465" s="718"/>
      <c r="C465" s="718"/>
      <c r="D465" s="718"/>
      <c r="E465" s="719">
        <f>MIN(E461:E463)</f>
        <v>0.4</v>
      </c>
      <c r="F465" s="719">
        <f t="shared" ref="F465:G465" si="149">MIN(F461:F463)</f>
        <v>0.42</v>
      </c>
      <c r="G465" s="720">
        <f t="shared" si="149"/>
        <v>0.43</v>
      </c>
    </row>
    <row r="466" spans="1:8">
      <c r="A466" s="721" t="s">
        <v>116</v>
      </c>
      <c r="B466" s="722"/>
      <c r="C466" s="722"/>
      <c r="D466" s="722"/>
      <c r="E466" s="723">
        <f>MAX(E461:E463)</f>
        <v>0.55500000000000005</v>
      </c>
      <c r="F466" s="723">
        <f t="shared" ref="F466:G466" si="150">MAX(F461:F463)</f>
        <v>0.56999999999999995</v>
      </c>
      <c r="G466" s="724">
        <f t="shared" si="150"/>
        <v>0.56000000000000005</v>
      </c>
    </row>
    <row r="467" spans="1:8" ht="12" thickBot="1">
      <c r="A467" s="725" t="s">
        <v>15</v>
      </c>
      <c r="B467" s="726"/>
      <c r="C467" s="726"/>
      <c r="D467" s="726"/>
      <c r="E467" s="727">
        <f>AVERAGE(E461:E463)</f>
        <v>0.46833333333333343</v>
      </c>
      <c r="F467" s="727">
        <f t="shared" ref="F467:G467" si="151">AVERAGE(F461:F463)</f>
        <v>0.48333333333333334</v>
      </c>
      <c r="G467" s="728">
        <f t="shared" si="151"/>
        <v>0.48</v>
      </c>
    </row>
    <row r="470" spans="1:8" s="357" customFormat="1" ht="20.25" customHeight="1">
      <c r="A470" s="358" t="s">
        <v>444</v>
      </c>
    </row>
    <row r="472" spans="1:8">
      <c r="A472" s="9" t="s">
        <v>93</v>
      </c>
      <c r="B472" s="16"/>
      <c r="C472" s="16"/>
      <c r="D472" s="16"/>
      <c r="E472" s="16"/>
      <c r="F472" s="16"/>
      <c r="G472" s="16"/>
    </row>
    <row r="473" spans="1:8">
      <c r="A473" s="27" t="str">
        <f>Input!E3</f>
        <v>XXX AG</v>
      </c>
      <c r="B473" s="16"/>
      <c r="C473" s="16"/>
      <c r="D473" s="16"/>
      <c r="E473" s="16"/>
      <c r="F473" s="16"/>
      <c r="G473" s="16"/>
    </row>
    <row r="474" spans="1:8">
      <c r="A474" s="9"/>
      <c r="B474" s="28">
        <f>Input!E68</f>
        <v>2010</v>
      </c>
      <c r="C474" s="28">
        <f>Input!F68</f>
        <v>2011</v>
      </c>
      <c r="D474" s="28">
        <f>Input!G68</f>
        <v>2012</v>
      </c>
      <c r="E474" s="28">
        <f>Input!H68</f>
        <v>2013</v>
      </c>
      <c r="F474" s="28">
        <f>Input!I68</f>
        <v>2014</v>
      </c>
      <c r="G474" s="28">
        <f>Input!J68</f>
        <v>2015</v>
      </c>
      <c r="H474" s="27" t="s">
        <v>424</v>
      </c>
    </row>
    <row r="475" spans="1:8">
      <c r="A475" s="9"/>
      <c r="B475" s="28" t="str">
        <f>Input!E69</f>
        <v>Actual</v>
      </c>
      <c r="C475" s="28" t="str">
        <f>Input!F69</f>
        <v>Actual</v>
      </c>
      <c r="D475" s="28" t="str">
        <f>Input!G69</f>
        <v>Actual</v>
      </c>
      <c r="E475" s="28" t="str">
        <f>Input!H69</f>
        <v>Plan</v>
      </c>
      <c r="F475" s="28" t="str">
        <f>Input!I69</f>
        <v>Plan</v>
      </c>
      <c r="G475" s="28" t="str">
        <f>Input!J69</f>
        <v>Plan</v>
      </c>
    </row>
    <row r="476" spans="1:8">
      <c r="A476" s="2" t="s">
        <v>50</v>
      </c>
      <c r="B476" s="65">
        <f>Input!E74</f>
        <v>0.24</v>
      </c>
      <c r="C476" s="65">
        <f>Input!F74</f>
        <v>0.24074074074074073</v>
      </c>
      <c r="D476" s="65">
        <f>Input!G74</f>
        <v>0.24107142857142858</v>
      </c>
      <c r="E476" s="65">
        <f>Input!H74</f>
        <v>0.25423728813559321</v>
      </c>
      <c r="F476" s="65">
        <f>Input!I74</f>
        <v>0.26229508196721313</v>
      </c>
      <c r="G476" s="65">
        <f>Input!J74</f>
        <v>0.26865671641791045</v>
      </c>
      <c r="H476" s="93">
        <f>G476</f>
        <v>0.26865671641791045</v>
      </c>
    </row>
    <row r="477" spans="1:8">
      <c r="A477" s="9"/>
      <c r="B477" s="16"/>
      <c r="C477" s="16"/>
      <c r="D477" s="16"/>
      <c r="E477" s="16"/>
      <c r="F477" s="16"/>
      <c r="G477" s="16"/>
    </row>
    <row r="479" spans="1:8">
      <c r="A479" s="92" t="s">
        <v>4</v>
      </c>
      <c r="B479" s="93">
        <v>0.24</v>
      </c>
      <c r="C479" s="93">
        <v>0.25</v>
      </c>
      <c r="D479" s="93">
        <v>0.25</v>
      </c>
      <c r="E479" s="93">
        <v>0.26</v>
      </c>
      <c r="F479" s="93">
        <v>0.27</v>
      </c>
      <c r="G479" s="93">
        <v>0.27</v>
      </c>
      <c r="H479" s="93">
        <v>0.25</v>
      </c>
    </row>
    <row r="480" spans="1:8">
      <c r="A480" s="92" t="s">
        <v>5</v>
      </c>
      <c r="B480" s="93">
        <v>0.18</v>
      </c>
      <c r="C480" s="93">
        <v>0.19</v>
      </c>
      <c r="D480" s="93">
        <v>0.19</v>
      </c>
      <c r="E480" s="93">
        <v>0.19500000000000001</v>
      </c>
      <c r="F480" s="93">
        <v>0.18</v>
      </c>
      <c r="G480" s="93">
        <v>0.18</v>
      </c>
      <c r="H480" s="93">
        <v>0.17</v>
      </c>
    </row>
    <row r="481" spans="1:10">
      <c r="A481" s="92" t="s">
        <v>6</v>
      </c>
      <c r="B481" s="93">
        <v>0.16</v>
      </c>
      <c r="C481" s="93">
        <v>0.16500000000000001</v>
      </c>
      <c r="D481" s="93">
        <v>0.17</v>
      </c>
      <c r="E481" s="93">
        <v>0.17499999999999999</v>
      </c>
      <c r="F481" s="93">
        <v>0.185</v>
      </c>
      <c r="G481" s="93">
        <v>0.19</v>
      </c>
      <c r="H481" s="93">
        <v>0.17</v>
      </c>
    </row>
    <row r="483" spans="1:10">
      <c r="A483" s="12"/>
      <c r="B483" s="16"/>
      <c r="C483" s="16"/>
      <c r="D483" s="16"/>
      <c r="E483" s="16"/>
      <c r="F483" s="16"/>
      <c r="G483" s="16"/>
    </row>
    <row r="484" spans="1:10">
      <c r="A484" s="27" t="s">
        <v>115</v>
      </c>
      <c r="B484" s="16"/>
      <c r="C484" s="16"/>
      <c r="D484" s="16"/>
      <c r="E484" s="16"/>
      <c r="F484" s="16"/>
      <c r="G484" s="16"/>
    </row>
    <row r="485" spans="1:10">
      <c r="A485" s="11" t="s">
        <v>9</v>
      </c>
      <c r="B485" s="16"/>
      <c r="C485" s="16"/>
      <c r="D485" s="16"/>
      <c r="E485" s="16"/>
      <c r="F485" s="16"/>
      <c r="G485" s="16"/>
    </row>
    <row r="488" spans="1:10">
      <c r="A488" s="9"/>
      <c r="B488" s="16"/>
      <c r="C488" s="16"/>
      <c r="D488" s="16"/>
      <c r="E488" s="16"/>
      <c r="F488" s="16"/>
      <c r="G488" s="16"/>
    </row>
    <row r="489" spans="1:10" ht="19.5" customHeight="1">
      <c r="A489" s="377" t="str">
        <f>CONCATENATE(A476, " in comparison to peer group")</f>
        <v>EBITDA margin in comparison to peer group</v>
      </c>
      <c r="B489" s="377"/>
      <c r="C489" s="377"/>
      <c r="D489" s="377"/>
      <c r="E489" s="377"/>
      <c r="F489" s="377"/>
      <c r="G489" s="377"/>
      <c r="H489" s="377"/>
    </row>
    <row r="490" spans="1:10">
      <c r="A490" s="55"/>
      <c r="B490" s="23">
        <v>2010</v>
      </c>
      <c r="C490" s="23">
        <v>2011</v>
      </c>
      <c r="D490" s="23">
        <v>2012</v>
      </c>
      <c r="E490" s="742">
        <v>2013</v>
      </c>
      <c r="F490" s="435">
        <v>2014</v>
      </c>
      <c r="G490" s="436">
        <v>2015</v>
      </c>
      <c r="H490" s="24" t="s">
        <v>424</v>
      </c>
    </row>
    <row r="491" spans="1:10">
      <c r="A491" s="397"/>
      <c r="B491" s="793" t="s">
        <v>51</v>
      </c>
      <c r="C491" s="793"/>
      <c r="D491" s="793"/>
      <c r="E491" s="790" t="s">
        <v>2</v>
      </c>
      <c r="F491" s="791"/>
      <c r="G491" s="792"/>
      <c r="H491" s="741"/>
      <c r="I491" s="68" t="str">
        <f>CONCATENATE("CAGR ",RIGHT(B490,2),"-",RIGHT(D490,2))</f>
        <v>CAGR 10-12</v>
      </c>
      <c r="J491" s="68" t="str">
        <f>CONCATENATE("CAGR ",RIGHT(E490,2),"-",RIGHT(G490,2))</f>
        <v>CAGR 13-15</v>
      </c>
    </row>
    <row r="492" spans="1:10">
      <c r="A492" s="744" t="s">
        <v>3</v>
      </c>
      <c r="B492" s="307">
        <f>B476</f>
        <v>0.24</v>
      </c>
      <c r="C492" s="307">
        <f t="shared" ref="C492:G492" si="152">C476</f>
        <v>0.24074074074074073</v>
      </c>
      <c r="D492" s="307">
        <f t="shared" si="152"/>
        <v>0.24107142857142858</v>
      </c>
      <c r="E492" s="402">
        <f t="shared" si="152"/>
        <v>0.25423728813559321</v>
      </c>
      <c r="F492" s="307">
        <f t="shared" si="152"/>
        <v>0.26229508196721313</v>
      </c>
      <c r="G492" s="716">
        <f t="shared" si="152"/>
        <v>0.26865671641791045</v>
      </c>
      <c r="H492" s="716">
        <f t="shared" ref="H492" si="153">H476</f>
        <v>0.26865671641791045</v>
      </c>
      <c r="I492" s="67">
        <f>(D492/B492)^(1/2)-1</f>
        <v>2.2296571715914038E-3</v>
      </c>
      <c r="J492" s="67">
        <f>(G492/E492)^(1/2)-1</f>
        <v>2.7967128808332964E-2</v>
      </c>
    </row>
    <row r="493" spans="1:10">
      <c r="A493" s="744" t="str">
        <f t="shared" ref="A493:G493" si="154">A479</f>
        <v>Peer 1</v>
      </c>
      <c r="B493" s="307">
        <f t="shared" si="154"/>
        <v>0.24</v>
      </c>
      <c r="C493" s="307">
        <f t="shared" si="154"/>
        <v>0.25</v>
      </c>
      <c r="D493" s="307">
        <f t="shared" si="154"/>
        <v>0.25</v>
      </c>
      <c r="E493" s="402">
        <f t="shared" si="154"/>
        <v>0.26</v>
      </c>
      <c r="F493" s="307">
        <f t="shared" si="154"/>
        <v>0.27</v>
      </c>
      <c r="G493" s="716">
        <f t="shared" si="154"/>
        <v>0.27</v>
      </c>
      <c r="H493" s="716">
        <f t="shared" ref="H493" si="155">H479</f>
        <v>0.25</v>
      </c>
    </row>
    <row r="494" spans="1:10">
      <c r="A494" s="744" t="str">
        <f t="shared" ref="A494:G494" si="156">A480</f>
        <v>Peer 2</v>
      </c>
      <c r="B494" s="307">
        <f t="shared" si="156"/>
        <v>0.18</v>
      </c>
      <c r="C494" s="307">
        <f t="shared" si="156"/>
        <v>0.19</v>
      </c>
      <c r="D494" s="307">
        <f t="shared" si="156"/>
        <v>0.19</v>
      </c>
      <c r="E494" s="402">
        <f t="shared" si="156"/>
        <v>0.19500000000000001</v>
      </c>
      <c r="F494" s="307">
        <f t="shared" si="156"/>
        <v>0.18</v>
      </c>
      <c r="G494" s="716">
        <f t="shared" si="156"/>
        <v>0.18</v>
      </c>
      <c r="H494" s="716">
        <f t="shared" ref="H494" si="157">H480</f>
        <v>0.17</v>
      </c>
    </row>
    <row r="495" spans="1:10">
      <c r="A495" s="744" t="str">
        <f t="shared" ref="A495:G495" si="158">A481</f>
        <v>Peer 3</v>
      </c>
      <c r="B495" s="307">
        <f t="shared" si="158"/>
        <v>0.16</v>
      </c>
      <c r="C495" s="307">
        <f t="shared" si="158"/>
        <v>0.16500000000000001</v>
      </c>
      <c r="D495" s="307">
        <f t="shared" si="158"/>
        <v>0.17</v>
      </c>
      <c r="E495" s="402">
        <f t="shared" si="158"/>
        <v>0.17499999999999999</v>
      </c>
      <c r="F495" s="307">
        <f t="shared" si="158"/>
        <v>0.185</v>
      </c>
      <c r="G495" s="716">
        <f t="shared" si="158"/>
        <v>0.19</v>
      </c>
      <c r="H495" s="716">
        <f t="shared" ref="H495" si="159">H481</f>
        <v>0.17</v>
      </c>
    </row>
    <row r="496" spans="1:10" ht="3" customHeight="1">
      <c r="A496" s="744"/>
      <c r="B496" s="715"/>
      <c r="C496" s="715"/>
      <c r="D496" s="715"/>
      <c r="E496" s="729"/>
      <c r="F496" s="715"/>
      <c r="G496" s="730"/>
      <c r="H496" s="730"/>
    </row>
    <row r="497" spans="1:10">
      <c r="A497" s="745" t="s">
        <v>8</v>
      </c>
      <c r="B497" s="719">
        <f>MIN(B493:B495)</f>
        <v>0.16</v>
      </c>
      <c r="C497" s="719">
        <f t="shared" ref="C497:G497" si="160">MIN(C493:C495)</f>
        <v>0.16500000000000001</v>
      </c>
      <c r="D497" s="719">
        <f t="shared" si="160"/>
        <v>0.17</v>
      </c>
      <c r="E497" s="731">
        <f t="shared" si="160"/>
        <v>0.17499999999999999</v>
      </c>
      <c r="F497" s="719">
        <f t="shared" si="160"/>
        <v>0.18</v>
      </c>
      <c r="G497" s="720">
        <f t="shared" si="160"/>
        <v>0.18</v>
      </c>
      <c r="H497" s="720">
        <f t="shared" ref="H497" si="161">MIN(H493:H495)</f>
        <v>0.17</v>
      </c>
    </row>
    <row r="498" spans="1:10">
      <c r="A498" s="746" t="s">
        <v>7</v>
      </c>
      <c r="B498" s="723">
        <f>MAX(B493:B495)</f>
        <v>0.24</v>
      </c>
      <c r="C498" s="723">
        <f t="shared" ref="C498:G498" si="162">MAX(C493:C495)</f>
        <v>0.25</v>
      </c>
      <c r="D498" s="723">
        <f t="shared" si="162"/>
        <v>0.25</v>
      </c>
      <c r="E498" s="732">
        <f t="shared" si="162"/>
        <v>0.26</v>
      </c>
      <c r="F498" s="723">
        <f t="shared" si="162"/>
        <v>0.27</v>
      </c>
      <c r="G498" s="724">
        <f t="shared" si="162"/>
        <v>0.27</v>
      </c>
      <c r="H498" s="724">
        <f t="shared" ref="H498" si="163">MAX(H493:H495)</f>
        <v>0.25</v>
      </c>
    </row>
    <row r="499" spans="1:10" ht="12" thickBot="1">
      <c r="A499" s="747" t="s">
        <v>24</v>
      </c>
      <c r="B499" s="727">
        <f t="shared" ref="B499:G499" si="164">AVERAGE(B493:B495)</f>
        <v>0.19333333333333333</v>
      </c>
      <c r="C499" s="727">
        <f t="shared" si="164"/>
        <v>0.20166666666666666</v>
      </c>
      <c r="D499" s="727">
        <f t="shared" si="164"/>
        <v>0.20333333333333334</v>
      </c>
      <c r="E499" s="733">
        <f t="shared" si="164"/>
        <v>0.21</v>
      </c>
      <c r="F499" s="727">
        <f t="shared" si="164"/>
        <v>0.21166666666666667</v>
      </c>
      <c r="G499" s="728">
        <f t="shared" si="164"/>
        <v>0.21333333333333335</v>
      </c>
      <c r="H499" s="728">
        <f t="shared" ref="H499" si="165">AVERAGE(H493:H495)</f>
        <v>0.19666666666666668</v>
      </c>
      <c r="I499" s="67">
        <f>(D499/B499)^(1/2)-1</f>
        <v>2.5536024687107028E-2</v>
      </c>
      <c r="J499" s="67">
        <f>(G499/E499)^(1/2)-1</f>
        <v>7.9052613579393416E-3</v>
      </c>
    </row>
    <row r="503" spans="1:10" s="357" customFormat="1" ht="20.25" customHeight="1">
      <c r="A503" s="358" t="s">
        <v>513</v>
      </c>
    </row>
    <row r="505" spans="1:10">
      <c r="A505" s="9" t="s">
        <v>93</v>
      </c>
      <c r="B505" s="16"/>
      <c r="C505" s="16"/>
      <c r="D505" s="16"/>
      <c r="E505" s="16"/>
      <c r="F505" s="16"/>
      <c r="G505" s="16"/>
    </row>
    <row r="506" spans="1:10">
      <c r="A506" s="27" t="str">
        <f>Input!E3</f>
        <v>XXX AG</v>
      </c>
      <c r="B506" s="16"/>
      <c r="C506" s="16"/>
      <c r="D506" s="16"/>
      <c r="E506" s="16"/>
      <c r="F506" s="16"/>
      <c r="G506" s="16"/>
    </row>
    <row r="507" spans="1:10">
      <c r="A507" s="9"/>
      <c r="B507" s="28">
        <f>Input!E68</f>
        <v>2010</v>
      </c>
      <c r="C507" s="28">
        <f>Input!F68</f>
        <v>2011</v>
      </c>
      <c r="D507" s="28">
        <f>Input!G68</f>
        <v>2012</v>
      </c>
      <c r="E507" s="28">
        <f>Input!H68</f>
        <v>2013</v>
      </c>
      <c r="F507" s="28">
        <f>Input!I68</f>
        <v>2014</v>
      </c>
      <c r="G507" s="28">
        <f>Input!J68</f>
        <v>2015</v>
      </c>
    </row>
    <row r="508" spans="1:10">
      <c r="A508" s="9"/>
      <c r="B508" s="28" t="str">
        <f>Input!E69</f>
        <v>Actual</v>
      </c>
      <c r="C508" s="29" t="str">
        <f>Input!F69</f>
        <v>Actual</v>
      </c>
      <c r="D508" s="28" t="str">
        <f>Input!G69</f>
        <v>Actual</v>
      </c>
      <c r="E508" s="28" t="str">
        <f>Input!H69</f>
        <v>Plan</v>
      </c>
      <c r="F508" s="29" t="str">
        <f>Input!I69</f>
        <v>Plan</v>
      </c>
      <c r="G508" s="28" t="str">
        <f>Input!J69</f>
        <v>Plan</v>
      </c>
    </row>
    <row r="509" spans="1:10">
      <c r="A509" s="2" t="s">
        <v>417</v>
      </c>
      <c r="B509" s="93">
        <v>0.03</v>
      </c>
      <c r="C509" s="305">
        <f>Input!F70/Input!E70-1</f>
        <v>8.0000000000000071E-2</v>
      </c>
      <c r="D509" s="305">
        <f>Input!G70/Input!F70-1</f>
        <v>3.7037037037036979E-2</v>
      </c>
      <c r="E509" s="305">
        <f>Input!H70/Input!G70-1</f>
        <v>5.3571428571428603E-2</v>
      </c>
      <c r="F509" s="305">
        <f>Input!I70/Input!H70-1</f>
        <v>3.3898305084745672E-2</v>
      </c>
      <c r="G509" s="305">
        <f>Input!J70/Input!I70-1</f>
        <v>9.8360655737705027E-2</v>
      </c>
    </row>
    <row r="510" spans="1:10">
      <c r="A510" s="9"/>
      <c r="B510" s="112"/>
      <c r="C510" s="112"/>
      <c r="D510" s="112"/>
      <c r="E510" s="112"/>
      <c r="F510" s="112"/>
      <c r="G510" s="112"/>
    </row>
    <row r="511" spans="1:10">
      <c r="A511" s="92" t="s">
        <v>67</v>
      </c>
      <c r="B511" s="93">
        <v>1.4999999999999999E-2</v>
      </c>
      <c r="C511" s="93">
        <v>3.5000000000000003E-2</v>
      </c>
      <c r="D511" s="93">
        <v>4.4999999999999998E-2</v>
      </c>
      <c r="E511" s="93">
        <v>5.5000000000000007E-2</v>
      </c>
      <c r="F511" s="93">
        <v>6.5000000000000016E-2</v>
      </c>
      <c r="G511" s="93">
        <v>7.4999999999999997E-2</v>
      </c>
    </row>
    <row r="512" spans="1:10">
      <c r="A512" s="92" t="s">
        <v>4</v>
      </c>
      <c r="B512" s="93">
        <v>3.5000000000000003E-2</v>
      </c>
      <c r="C512" s="93">
        <v>0.05</v>
      </c>
      <c r="D512" s="93">
        <v>5.5000000000000007E-2</v>
      </c>
      <c r="E512" s="93">
        <v>0.08</v>
      </c>
      <c r="F512" s="93">
        <v>7.4999999999999997E-2</v>
      </c>
      <c r="G512" s="93">
        <v>0.08</v>
      </c>
    </row>
    <row r="513" spans="1:10">
      <c r="A513" s="92" t="s">
        <v>5</v>
      </c>
      <c r="B513" s="93">
        <v>2.5000000000000008E-2</v>
      </c>
      <c r="C513" s="93">
        <v>2.0000000000000004E-2</v>
      </c>
      <c r="D513" s="93">
        <v>0.03</v>
      </c>
      <c r="E513" s="93">
        <v>4.0000000000000008E-2</v>
      </c>
      <c r="F513" s="93">
        <v>0.05</v>
      </c>
      <c r="G513" s="93">
        <v>5.5000000000000007E-2</v>
      </c>
    </row>
    <row r="514" spans="1:10">
      <c r="A514" s="92" t="s">
        <v>6</v>
      </c>
      <c r="B514" s="93">
        <v>5.0000000000000044E-3</v>
      </c>
      <c r="C514" s="93">
        <v>1.4999999999999999E-2</v>
      </c>
      <c r="D514" s="93">
        <v>2.5000000000000008E-2</v>
      </c>
      <c r="E514" s="93">
        <v>1.4999999999999999E-2</v>
      </c>
      <c r="F514" s="93">
        <v>3.5000000000000003E-2</v>
      </c>
      <c r="G514" s="93">
        <v>4.0000000000000008E-2</v>
      </c>
    </row>
    <row r="516" spans="1:10">
      <c r="A516" s="12"/>
      <c r="B516" s="112"/>
      <c r="C516" s="112"/>
      <c r="D516" s="112"/>
      <c r="E516" s="112"/>
      <c r="F516" s="112"/>
      <c r="G516" s="112"/>
    </row>
    <row r="517" spans="1:10">
      <c r="A517" s="27" t="s">
        <v>115</v>
      </c>
      <c r="B517" s="112"/>
      <c r="C517" s="112"/>
      <c r="D517" s="112"/>
      <c r="E517" s="112"/>
      <c r="F517" s="112"/>
      <c r="G517" s="112"/>
    </row>
    <row r="518" spans="1:10">
      <c r="A518" s="11" t="s">
        <v>9</v>
      </c>
      <c r="B518" s="112"/>
      <c r="C518" s="112"/>
      <c r="D518" s="112"/>
      <c r="E518" s="112"/>
      <c r="F518" s="112"/>
      <c r="G518" s="112"/>
    </row>
    <row r="519" spans="1:10">
      <c r="A519" s="27" t="str">
        <f>CONCATENATE(J526,"
",A535,"
",TEXT(J535,"0,0%"))</f>
        <v>CAGR 13-15
Ø Peer Group
14%</v>
      </c>
      <c r="B519" s="112"/>
      <c r="C519" s="112"/>
      <c r="D519" s="112"/>
      <c r="E519" s="112"/>
      <c r="F519" s="112"/>
      <c r="G519" s="112"/>
    </row>
    <row r="520" spans="1:10">
      <c r="A520" s="27" t="str">
        <f>CONCATENATE(J526,"
",A528,"
",TEXT(J528,"0,0%"))</f>
        <v>CAGR 13-15
Market study YYY
17%</v>
      </c>
      <c r="B520" s="112"/>
      <c r="C520" s="112"/>
      <c r="D520" s="112"/>
      <c r="E520" s="112"/>
      <c r="F520" s="112"/>
      <c r="G520" s="112"/>
    </row>
    <row r="521" spans="1:10">
      <c r="A521" s="27" t="str">
        <f>CONCATENATE(J526,"
",A527,"
",TEXT(J527,"0,0%"))</f>
        <v>CAGR 13-15
XXX AG
36%</v>
      </c>
      <c r="B521" s="112"/>
      <c r="C521" s="112"/>
      <c r="D521" s="112"/>
      <c r="E521" s="112"/>
      <c r="F521" s="112"/>
      <c r="G521" s="112"/>
    </row>
    <row r="523" spans="1:10">
      <c r="A523" s="9"/>
      <c r="B523" s="16"/>
      <c r="C523" s="16"/>
      <c r="D523" s="16"/>
      <c r="E523" s="16"/>
      <c r="F523" s="16"/>
      <c r="G523" s="16"/>
    </row>
    <row r="524" spans="1:10" ht="19.5" customHeight="1">
      <c r="A524" s="712" t="str">
        <f>CONCATENATE(A509, " in comparison to peer group")</f>
        <v>Sales growth in comparison to peer group</v>
      </c>
      <c r="B524" s="707"/>
      <c r="C524" s="707"/>
      <c r="D524" s="707"/>
      <c r="E524" s="707"/>
      <c r="F524" s="707"/>
      <c r="G524" s="708"/>
    </row>
    <row r="525" spans="1:10">
      <c r="A525" s="387"/>
      <c r="B525" s="23">
        <v>2010</v>
      </c>
      <c r="C525" s="23">
        <v>2011</v>
      </c>
      <c r="D525" s="23">
        <v>2012</v>
      </c>
      <c r="E525" s="742">
        <v>2013</v>
      </c>
      <c r="F525" s="435">
        <v>2014</v>
      </c>
      <c r="G525" s="436">
        <v>2015</v>
      </c>
    </row>
    <row r="526" spans="1:10">
      <c r="A526" s="397"/>
      <c r="B526" s="793" t="s">
        <v>51</v>
      </c>
      <c r="C526" s="793"/>
      <c r="D526" s="793"/>
      <c r="E526" s="790" t="s">
        <v>2</v>
      </c>
      <c r="F526" s="791"/>
      <c r="G526" s="792"/>
      <c r="I526" s="68" t="str">
        <f>CONCATENATE("CAGR ",RIGHT(B525,2),"-",RIGHT(D525,2))</f>
        <v>CAGR 10-12</v>
      </c>
      <c r="J526" s="68" t="str">
        <f>CONCATENATE("CAGR ",RIGHT(E525,2),"-",RIGHT(G525,2))</f>
        <v>CAGR 13-15</v>
      </c>
    </row>
    <row r="527" spans="1:10">
      <c r="A527" s="388" t="s">
        <v>3</v>
      </c>
      <c r="B527" s="307">
        <f>B509</f>
        <v>0.03</v>
      </c>
      <c r="C527" s="307">
        <f t="shared" ref="C527" si="166">C509</f>
        <v>8.0000000000000071E-2</v>
      </c>
      <c r="D527" s="307">
        <f>D509</f>
        <v>3.7037037037036979E-2</v>
      </c>
      <c r="E527" s="402">
        <f t="shared" ref="E527:G527" si="167">E509</f>
        <v>5.3571428571428603E-2</v>
      </c>
      <c r="F527" s="307">
        <f t="shared" si="167"/>
        <v>3.3898305084745672E-2</v>
      </c>
      <c r="G527" s="716">
        <f t="shared" si="167"/>
        <v>9.8360655737705027E-2</v>
      </c>
      <c r="I527" s="67">
        <f>(D527/B527)^(1/2)-1</f>
        <v>0.11111111111111027</v>
      </c>
      <c r="J527" s="67">
        <f>(G527/E527)^(1/2)-1</f>
        <v>0.35501497178831665</v>
      </c>
    </row>
    <row r="528" spans="1:10">
      <c r="A528" s="388" t="str">
        <f>A511</f>
        <v>Market study YYY</v>
      </c>
      <c r="B528" s="307">
        <f>B511</f>
        <v>1.4999999999999999E-2</v>
      </c>
      <c r="C528" s="307">
        <f t="shared" ref="C528:G528" si="168">C511</f>
        <v>3.5000000000000003E-2</v>
      </c>
      <c r="D528" s="307">
        <f t="shared" si="168"/>
        <v>4.4999999999999998E-2</v>
      </c>
      <c r="E528" s="402">
        <f t="shared" si="168"/>
        <v>5.5000000000000007E-2</v>
      </c>
      <c r="F528" s="307">
        <f t="shared" si="168"/>
        <v>6.5000000000000016E-2</v>
      </c>
      <c r="G528" s="716">
        <f t="shared" si="168"/>
        <v>7.4999999999999997E-2</v>
      </c>
      <c r="I528" s="67">
        <f>(D528/B528)^(1/2)-1</f>
        <v>0.73205080756887719</v>
      </c>
      <c r="J528" s="67">
        <f>(G528/E528)^(1/2)-1</f>
        <v>0.16774841624228443</v>
      </c>
    </row>
    <row r="529" spans="1:10">
      <c r="A529" s="388" t="str">
        <f t="shared" ref="A529:B529" si="169">A512</f>
        <v>Peer 1</v>
      </c>
      <c r="B529" s="307">
        <f t="shared" si="169"/>
        <v>3.5000000000000003E-2</v>
      </c>
      <c r="C529" s="307">
        <f>C512</f>
        <v>0.05</v>
      </c>
      <c r="D529" s="307">
        <f t="shared" ref="D529:G529" si="170">D512</f>
        <v>5.5000000000000007E-2</v>
      </c>
      <c r="E529" s="402">
        <f t="shared" si="170"/>
        <v>0.08</v>
      </c>
      <c r="F529" s="307">
        <f t="shared" si="170"/>
        <v>7.4999999999999997E-2</v>
      </c>
      <c r="G529" s="716">
        <f t="shared" si="170"/>
        <v>0.08</v>
      </c>
    </row>
    <row r="530" spans="1:10">
      <c r="A530" s="388" t="str">
        <f t="shared" ref="A530:G530" si="171">A513</f>
        <v>Peer 2</v>
      </c>
      <c r="B530" s="307">
        <f t="shared" si="171"/>
        <v>2.5000000000000008E-2</v>
      </c>
      <c r="C530" s="307">
        <f t="shared" si="171"/>
        <v>2.0000000000000004E-2</v>
      </c>
      <c r="D530" s="307">
        <f t="shared" si="171"/>
        <v>0.03</v>
      </c>
      <c r="E530" s="402">
        <f t="shared" si="171"/>
        <v>4.0000000000000008E-2</v>
      </c>
      <c r="F530" s="307">
        <f t="shared" si="171"/>
        <v>0.05</v>
      </c>
      <c r="G530" s="716">
        <f t="shared" si="171"/>
        <v>5.5000000000000007E-2</v>
      </c>
    </row>
    <row r="531" spans="1:10">
      <c r="A531" s="388" t="str">
        <f t="shared" ref="A531:G531" si="172">A514</f>
        <v>Peer 3</v>
      </c>
      <c r="B531" s="307">
        <f t="shared" si="172"/>
        <v>5.0000000000000044E-3</v>
      </c>
      <c r="C531" s="307">
        <f t="shared" si="172"/>
        <v>1.4999999999999999E-2</v>
      </c>
      <c r="D531" s="307">
        <f t="shared" si="172"/>
        <v>2.5000000000000008E-2</v>
      </c>
      <c r="E531" s="402">
        <f t="shared" si="172"/>
        <v>1.4999999999999999E-2</v>
      </c>
      <c r="F531" s="307">
        <f t="shared" si="172"/>
        <v>3.5000000000000003E-2</v>
      </c>
      <c r="G531" s="716">
        <f t="shared" si="172"/>
        <v>4.0000000000000008E-2</v>
      </c>
    </row>
    <row r="532" spans="1:10" ht="3" customHeight="1">
      <c r="A532" s="388"/>
      <c r="B532" s="307"/>
      <c r="C532" s="307"/>
      <c r="D532" s="307"/>
      <c r="E532" s="402"/>
      <c r="F532" s="307"/>
      <c r="G532" s="716"/>
    </row>
    <row r="533" spans="1:10">
      <c r="A533" s="717" t="s">
        <v>8</v>
      </c>
      <c r="B533" s="719">
        <f>MIN(B529:B531)</f>
        <v>5.0000000000000044E-3</v>
      </c>
      <c r="C533" s="719">
        <f t="shared" ref="C533:G533" si="173">MIN(C529:C531)</f>
        <v>1.4999999999999999E-2</v>
      </c>
      <c r="D533" s="719">
        <f t="shared" si="173"/>
        <v>2.5000000000000008E-2</v>
      </c>
      <c r="E533" s="731">
        <f t="shared" si="173"/>
        <v>1.4999999999999999E-2</v>
      </c>
      <c r="F533" s="719">
        <f t="shared" si="173"/>
        <v>3.5000000000000003E-2</v>
      </c>
      <c r="G533" s="720">
        <f t="shared" si="173"/>
        <v>4.0000000000000008E-2</v>
      </c>
    </row>
    <row r="534" spans="1:10">
      <c r="A534" s="721" t="s">
        <v>7</v>
      </c>
      <c r="B534" s="723">
        <f>MAX(B529:B531)</f>
        <v>3.5000000000000003E-2</v>
      </c>
      <c r="C534" s="723">
        <f t="shared" ref="C534:G534" si="174">MAX(C529:C531)</f>
        <v>0.05</v>
      </c>
      <c r="D534" s="723">
        <f t="shared" si="174"/>
        <v>5.5000000000000007E-2</v>
      </c>
      <c r="E534" s="732">
        <f t="shared" si="174"/>
        <v>0.08</v>
      </c>
      <c r="F534" s="723">
        <f t="shared" si="174"/>
        <v>7.4999999999999997E-2</v>
      </c>
      <c r="G534" s="724">
        <f t="shared" si="174"/>
        <v>0.08</v>
      </c>
    </row>
    <row r="535" spans="1:10" ht="12" thickBot="1">
      <c r="A535" s="725" t="s">
        <v>24</v>
      </c>
      <c r="B535" s="727">
        <f t="shared" ref="B535:G535" si="175">AVERAGE(B529:B531)</f>
        <v>2.1666666666666671E-2</v>
      </c>
      <c r="C535" s="727">
        <f t="shared" si="175"/>
        <v>2.8333333333333335E-2</v>
      </c>
      <c r="D535" s="727">
        <f t="shared" si="175"/>
        <v>3.6666666666666674E-2</v>
      </c>
      <c r="E535" s="733">
        <f t="shared" si="175"/>
        <v>4.5000000000000005E-2</v>
      </c>
      <c r="F535" s="727">
        <f t="shared" si="175"/>
        <v>5.3333333333333337E-2</v>
      </c>
      <c r="G535" s="728">
        <f t="shared" si="175"/>
        <v>5.8333333333333341E-2</v>
      </c>
      <c r="I535" s="67">
        <f>(D535/B535)^(1/2)-1</f>
        <v>0.3008872711759818</v>
      </c>
      <c r="J535" s="67">
        <f>(G535/E535)^(1/2)-1</f>
        <v>0.13855008510662215</v>
      </c>
    </row>
    <row r="540" spans="1:10" s="357" customFormat="1" ht="20.25" customHeight="1">
      <c r="A540" s="358" t="s">
        <v>514</v>
      </c>
    </row>
    <row r="542" spans="1:10">
      <c r="A542" s="9" t="s">
        <v>93</v>
      </c>
      <c r="B542" s="16"/>
      <c r="C542" s="16"/>
      <c r="D542" s="16"/>
      <c r="E542" s="16"/>
      <c r="F542" s="16"/>
      <c r="G542" s="16"/>
    </row>
    <row r="543" spans="1:10">
      <c r="A543" s="27" t="str">
        <f>Input!E3</f>
        <v>XXX AG</v>
      </c>
    </row>
    <row r="544" spans="1:10">
      <c r="E544" s="27">
        <f>Input!H68</f>
        <v>2013</v>
      </c>
      <c r="F544" s="27">
        <f>Input!I68</f>
        <v>2014</v>
      </c>
      <c r="G544" s="27">
        <f>Input!J68</f>
        <v>2015</v>
      </c>
    </row>
    <row r="545" spans="1:7">
      <c r="A545" s="2" t="s">
        <v>417</v>
      </c>
      <c r="E545" s="65">
        <f>Input!H70/Input!G70-1</f>
        <v>5.3571428571428603E-2</v>
      </c>
      <c r="F545" s="65">
        <f>Input!I70/Input!H70-1</f>
        <v>3.3898305084745672E-2</v>
      </c>
      <c r="G545" s="65">
        <f>Input!J70/Input!I70-1</f>
        <v>9.8360655737705027E-2</v>
      </c>
    </row>
    <row r="546" spans="1:7">
      <c r="E546" s="65"/>
      <c r="F546" s="65"/>
      <c r="G546" s="65"/>
    </row>
    <row r="547" spans="1:7">
      <c r="A547" s="92" t="s">
        <v>10</v>
      </c>
      <c r="E547" s="93">
        <v>6.0000000000000012E-2</v>
      </c>
      <c r="F547" s="93">
        <v>8.5000000000000006E-2</v>
      </c>
      <c r="G547" s="93">
        <v>9.5000000000000015E-2</v>
      </c>
    </row>
    <row r="548" spans="1:7">
      <c r="A548" s="92" t="s">
        <v>11</v>
      </c>
      <c r="E548" s="93">
        <v>6.0000000000000012E-2</v>
      </c>
      <c r="F548" s="93">
        <v>5.5000000000000007E-2</v>
      </c>
      <c r="G548" s="93">
        <v>6.5000000000000016E-2</v>
      </c>
    </row>
    <row r="549" spans="1:7">
      <c r="A549" s="92" t="s">
        <v>12</v>
      </c>
      <c r="E549" s="93">
        <v>3.5000000000000003E-2</v>
      </c>
      <c r="F549" s="93">
        <v>2.0000000000000004E-2</v>
      </c>
      <c r="G549" s="93">
        <v>1.0000000000000009E-2</v>
      </c>
    </row>
    <row r="550" spans="1:7">
      <c r="E550" s="65"/>
      <c r="F550" s="65"/>
      <c r="G550" s="65"/>
    </row>
    <row r="551" spans="1:7">
      <c r="E551" s="65"/>
      <c r="F551" s="65"/>
      <c r="G551" s="65"/>
    </row>
    <row r="552" spans="1:7">
      <c r="A552" s="27" t="s">
        <v>115</v>
      </c>
      <c r="E552" s="65"/>
      <c r="F552" s="65"/>
      <c r="G552" s="65"/>
    </row>
    <row r="553" spans="1:7">
      <c r="A553" s="27" t="s">
        <v>14</v>
      </c>
    </row>
    <row r="557" spans="1:7">
      <c r="A557" s="9"/>
      <c r="B557" s="16"/>
      <c r="C557" s="16"/>
      <c r="D557" s="16"/>
    </row>
    <row r="558" spans="1:7" ht="19.5" customHeight="1">
      <c r="A558" s="377" t="str">
        <f>CONCATENATE(A545," in comparison to analysts' expectations")</f>
        <v>Sales growth in comparison to analysts' expectations</v>
      </c>
      <c r="B558" s="377"/>
      <c r="C558" s="377"/>
      <c r="D558" s="377"/>
      <c r="E558" s="377"/>
      <c r="F558" s="377"/>
      <c r="G558" s="377"/>
    </row>
    <row r="559" spans="1:7">
      <c r="A559" s="376"/>
      <c r="B559" s="713"/>
      <c r="C559" s="713"/>
      <c r="D559" s="713"/>
      <c r="E559" s="713">
        <f>E544</f>
        <v>2013</v>
      </c>
      <c r="F559" s="713">
        <f t="shared" ref="F559:G559" si="176">F544</f>
        <v>2014</v>
      </c>
      <c r="G559" s="714">
        <f t="shared" si="176"/>
        <v>2015</v>
      </c>
    </row>
    <row r="560" spans="1:7">
      <c r="A560" s="388" t="str">
        <f>A543</f>
        <v>XXX AG</v>
      </c>
      <c r="B560" s="715"/>
      <c r="C560" s="715"/>
      <c r="D560" s="715"/>
      <c r="E560" s="307">
        <f>E545</f>
        <v>5.3571428571428603E-2</v>
      </c>
      <c r="F560" s="307">
        <f t="shared" ref="F560:G560" si="177">F545</f>
        <v>3.3898305084745672E-2</v>
      </c>
      <c r="G560" s="716">
        <f t="shared" si="177"/>
        <v>9.8360655737705027E-2</v>
      </c>
    </row>
    <row r="561" spans="1:7">
      <c r="A561" s="388" t="str">
        <f>A547</f>
        <v>Analyst A</v>
      </c>
      <c r="B561" s="715"/>
      <c r="C561" s="715"/>
      <c r="D561" s="715"/>
      <c r="E561" s="307">
        <f>E547</f>
        <v>6.0000000000000012E-2</v>
      </c>
      <c r="F561" s="307">
        <f t="shared" ref="F561:G561" si="178">F547</f>
        <v>8.5000000000000006E-2</v>
      </c>
      <c r="G561" s="716">
        <f t="shared" si="178"/>
        <v>9.5000000000000015E-2</v>
      </c>
    </row>
    <row r="562" spans="1:7">
      <c r="A562" s="388" t="str">
        <f t="shared" ref="A562:A563" si="179">A548</f>
        <v>Analyst B</v>
      </c>
      <c r="B562" s="715"/>
      <c r="C562" s="715"/>
      <c r="D562" s="715"/>
      <c r="E562" s="307">
        <f t="shared" ref="E562:G562" si="180">E548</f>
        <v>6.0000000000000012E-2</v>
      </c>
      <c r="F562" s="307">
        <f t="shared" si="180"/>
        <v>5.5000000000000007E-2</v>
      </c>
      <c r="G562" s="716">
        <f t="shared" si="180"/>
        <v>6.5000000000000016E-2</v>
      </c>
    </row>
    <row r="563" spans="1:7">
      <c r="A563" s="388" t="str">
        <f t="shared" si="179"/>
        <v>Analyst C</v>
      </c>
      <c r="B563" s="715"/>
      <c r="C563" s="715"/>
      <c r="D563" s="715"/>
      <c r="E563" s="307">
        <f t="shared" ref="E563:G563" si="181">E549</f>
        <v>3.5000000000000003E-2</v>
      </c>
      <c r="F563" s="307">
        <f t="shared" si="181"/>
        <v>2.0000000000000004E-2</v>
      </c>
      <c r="G563" s="716">
        <f t="shared" si="181"/>
        <v>1.0000000000000009E-2</v>
      </c>
    </row>
    <row r="564" spans="1:7" ht="3" customHeight="1">
      <c r="A564" s="388"/>
      <c r="B564" s="715"/>
      <c r="C564" s="715"/>
      <c r="D564" s="715"/>
      <c r="E564" s="307"/>
      <c r="F564" s="307"/>
      <c r="G564" s="716"/>
    </row>
    <row r="565" spans="1:7">
      <c r="A565" s="717" t="s">
        <v>13</v>
      </c>
      <c r="B565" s="718"/>
      <c r="C565" s="718"/>
      <c r="D565" s="718"/>
      <c r="E565" s="719">
        <f>MIN(E561:E563)</f>
        <v>3.5000000000000003E-2</v>
      </c>
      <c r="F565" s="719">
        <f t="shared" ref="F565:G565" si="182">MIN(F561:F563)</f>
        <v>2.0000000000000004E-2</v>
      </c>
      <c r="G565" s="720">
        <f t="shared" si="182"/>
        <v>1.0000000000000009E-2</v>
      </c>
    </row>
    <row r="566" spans="1:7">
      <c r="A566" s="721" t="s">
        <v>116</v>
      </c>
      <c r="B566" s="722"/>
      <c r="C566" s="722"/>
      <c r="D566" s="722"/>
      <c r="E566" s="723">
        <f>MAX(E561:E563)</f>
        <v>6.0000000000000012E-2</v>
      </c>
      <c r="F566" s="723">
        <f t="shared" ref="F566:G566" si="183">MAX(F561:F563)</f>
        <v>8.5000000000000006E-2</v>
      </c>
      <c r="G566" s="724">
        <f t="shared" si="183"/>
        <v>9.5000000000000015E-2</v>
      </c>
    </row>
    <row r="567" spans="1:7" ht="12" thickBot="1">
      <c r="A567" s="725" t="s">
        <v>15</v>
      </c>
      <c r="B567" s="726"/>
      <c r="C567" s="726"/>
      <c r="D567" s="726"/>
      <c r="E567" s="727">
        <f>AVERAGE(E561:E563)</f>
        <v>5.1666666666666673E-2</v>
      </c>
      <c r="F567" s="727">
        <f t="shared" ref="F567:G567" si="184">AVERAGE(F561:F563)</f>
        <v>5.3333333333333344E-2</v>
      </c>
      <c r="G567" s="728">
        <f t="shared" si="184"/>
        <v>5.6666666666666678E-2</v>
      </c>
    </row>
    <row r="570" spans="1:7" s="357" customFormat="1" ht="20.25" customHeight="1">
      <c r="A570" s="358" t="s">
        <v>549</v>
      </c>
    </row>
    <row r="572" spans="1:7">
      <c r="A572" s="9" t="s">
        <v>93</v>
      </c>
      <c r="B572" s="16"/>
      <c r="C572" s="16"/>
      <c r="D572" s="16"/>
      <c r="E572" s="16"/>
      <c r="F572" s="16"/>
      <c r="G572" s="16"/>
    </row>
    <row r="573" spans="1:7">
      <c r="A573" s="27" t="str">
        <f>Input!E3</f>
        <v>XXX AG</v>
      </c>
      <c r="B573" s="16"/>
      <c r="C573" s="16"/>
      <c r="D573" s="16"/>
      <c r="E573" s="16"/>
      <c r="F573" s="16"/>
      <c r="G573" s="16"/>
    </row>
    <row r="574" spans="1:7">
      <c r="A574" s="9"/>
      <c r="B574" s="28">
        <f>Input!E68</f>
        <v>2010</v>
      </c>
      <c r="C574" s="28">
        <f>Input!F68</f>
        <v>2011</v>
      </c>
      <c r="D574" s="28">
        <f>Input!G68</f>
        <v>2012</v>
      </c>
      <c r="E574" s="28">
        <f>Input!H68</f>
        <v>2013</v>
      </c>
      <c r="F574" s="28">
        <f>Input!I68</f>
        <v>2014</v>
      </c>
      <c r="G574" s="28">
        <f>Input!J68</f>
        <v>2015</v>
      </c>
    </row>
    <row r="575" spans="1:7">
      <c r="A575" s="9"/>
      <c r="B575" s="28" t="str">
        <f>Input!E69</f>
        <v>Actual</v>
      </c>
      <c r="C575" s="28" t="str">
        <f>Input!F69</f>
        <v>Actual</v>
      </c>
      <c r="D575" s="28" t="str">
        <f>Input!G69</f>
        <v>Actual</v>
      </c>
      <c r="E575" s="28" t="str">
        <f>Input!H69</f>
        <v>Plan</v>
      </c>
      <c r="F575" s="28" t="str">
        <f>Input!I69</f>
        <v>Plan</v>
      </c>
      <c r="G575" s="28" t="str">
        <f>Input!J69</f>
        <v>Plan</v>
      </c>
    </row>
    <row r="576" spans="1:7">
      <c r="A576" s="2" t="s">
        <v>49</v>
      </c>
      <c r="B576" s="305">
        <v>0.6</v>
      </c>
      <c r="C576" s="305">
        <v>0.59299999999999997</v>
      </c>
      <c r="D576" s="305">
        <v>0.59799999999999998</v>
      </c>
      <c r="E576" s="305">
        <v>0.61</v>
      </c>
      <c r="F576" s="305">
        <v>0.623</v>
      </c>
      <c r="G576" s="305">
        <v>0.627</v>
      </c>
    </row>
    <row r="577" spans="1:7">
      <c r="A577" s="9"/>
      <c r="B577" s="112"/>
      <c r="C577" s="112"/>
      <c r="D577" s="112"/>
      <c r="E577" s="112"/>
      <c r="F577" s="112"/>
      <c r="G577" s="112"/>
    </row>
    <row r="578" spans="1:7">
      <c r="A578" s="92" t="s">
        <v>67</v>
      </c>
      <c r="B578" s="93">
        <v>0.5</v>
      </c>
      <c r="C578" s="93">
        <v>0.51</v>
      </c>
      <c r="D578" s="93">
        <v>0.51</v>
      </c>
      <c r="E578" s="93">
        <v>0.52</v>
      </c>
      <c r="F578" s="93">
        <v>0.52</v>
      </c>
      <c r="G578" s="93">
        <v>0.53</v>
      </c>
    </row>
    <row r="579" spans="1:7">
      <c r="A579" s="92" t="s">
        <v>4</v>
      </c>
      <c r="B579" s="93">
        <v>0.53</v>
      </c>
      <c r="C579" s="93">
        <v>0.54</v>
      </c>
      <c r="D579" s="93">
        <v>0.56000000000000005</v>
      </c>
      <c r="E579" s="93">
        <v>0.57999999999999996</v>
      </c>
      <c r="F579" s="93">
        <v>0.6</v>
      </c>
      <c r="G579" s="93">
        <v>0.62</v>
      </c>
    </row>
    <row r="580" spans="1:7">
      <c r="A580" s="92" t="s">
        <v>5</v>
      </c>
      <c r="B580" s="93">
        <v>0.5</v>
      </c>
      <c r="C580" s="93">
        <v>0.52</v>
      </c>
      <c r="D580" s="93">
        <v>0.54</v>
      </c>
      <c r="E580" s="93">
        <v>0.55000000000000004</v>
      </c>
      <c r="F580" s="93">
        <v>0.53</v>
      </c>
      <c r="G580" s="93">
        <v>0.54</v>
      </c>
    </row>
    <row r="581" spans="1:7">
      <c r="A581" s="92" t="s">
        <v>6</v>
      </c>
      <c r="B581" s="93">
        <v>0.45</v>
      </c>
      <c r="C581" s="93">
        <v>0.49</v>
      </c>
      <c r="D581" s="93">
        <v>0.505</v>
      </c>
      <c r="E581" s="93">
        <v>0.51</v>
      </c>
      <c r="F581" s="93">
        <v>0.52</v>
      </c>
      <c r="G581" s="93">
        <v>0.53</v>
      </c>
    </row>
    <row r="583" spans="1:7">
      <c r="A583" s="12"/>
      <c r="B583" s="112"/>
      <c r="C583" s="112"/>
      <c r="D583" s="112"/>
      <c r="E583" s="112"/>
      <c r="F583" s="112"/>
      <c r="G583" s="112"/>
    </row>
    <row r="584" spans="1:7">
      <c r="A584" s="27" t="s">
        <v>115</v>
      </c>
      <c r="B584" s="112"/>
      <c r="C584" s="112"/>
      <c r="D584" s="112"/>
      <c r="E584" s="112"/>
      <c r="F584" s="112"/>
      <c r="G584" s="112"/>
    </row>
    <row r="585" spans="1:7">
      <c r="A585" s="11" t="s">
        <v>9</v>
      </c>
      <c r="B585" s="112"/>
      <c r="C585" s="112"/>
      <c r="D585" s="112"/>
      <c r="E585" s="112"/>
      <c r="F585" s="112"/>
      <c r="G585" s="112"/>
    </row>
    <row r="586" spans="1:7">
      <c r="A586" s="27" t="str">
        <f>CONCATENATE(J593,"
",A602,"
",TEXT(J602,"0.0%"))</f>
        <v>CAGR 13-15
Ø Peer Group
1.5%</v>
      </c>
      <c r="B586" s="112"/>
      <c r="C586" s="112"/>
      <c r="D586" s="112"/>
      <c r="E586" s="112"/>
      <c r="F586" s="112"/>
      <c r="G586" s="112"/>
    </row>
    <row r="587" spans="1:7">
      <c r="A587" s="27" t="str">
        <f>CONCATENATE(J593,"
",A595,"
",TEXT(J595,"0.0%"))</f>
        <v>CAGR 13-15
Market study YYY
1.0%</v>
      </c>
      <c r="B587" s="112"/>
      <c r="C587" s="112"/>
      <c r="D587" s="112"/>
      <c r="E587" s="112"/>
      <c r="F587" s="112"/>
      <c r="G587" s="112"/>
    </row>
    <row r="588" spans="1:7">
      <c r="A588" s="27" t="str">
        <f>CONCATENATE(J593,"
",A594,"
",TEXT(J594,"0.0%"))</f>
        <v>CAGR 13-15
XXX AG
1.4%</v>
      </c>
      <c r="B588" s="112"/>
      <c r="C588" s="112"/>
      <c r="D588" s="112"/>
      <c r="E588" s="112"/>
      <c r="F588" s="112"/>
      <c r="G588" s="112"/>
    </row>
    <row r="590" spans="1:7">
      <c r="A590" s="9"/>
      <c r="B590" s="16"/>
      <c r="C590" s="16"/>
      <c r="D590" s="16"/>
      <c r="E590" s="16"/>
      <c r="F590" s="16"/>
      <c r="G590" s="16"/>
    </row>
    <row r="591" spans="1:7" ht="19.5" customHeight="1">
      <c r="A591" s="377" t="str">
        <f>CONCATENATE(A576, " in comparison to peer group")</f>
        <v>Gross profit margin in comparison to peer group</v>
      </c>
      <c r="B591" s="377"/>
      <c r="C591" s="377"/>
      <c r="D591" s="377"/>
      <c r="E591" s="377"/>
      <c r="F591" s="377"/>
      <c r="G591" s="377"/>
    </row>
    <row r="592" spans="1:7">
      <c r="A592" s="387"/>
      <c r="B592" s="23">
        <v>2010</v>
      </c>
      <c r="C592" s="23">
        <v>2011</v>
      </c>
      <c r="D592" s="23">
        <v>2012</v>
      </c>
      <c r="E592" s="742">
        <v>2013</v>
      </c>
      <c r="F592" s="435">
        <v>2014</v>
      </c>
      <c r="G592" s="436">
        <v>2015</v>
      </c>
    </row>
    <row r="593" spans="1:10">
      <c r="A593" s="397"/>
      <c r="B593" s="793" t="s">
        <v>51</v>
      </c>
      <c r="C593" s="793"/>
      <c r="D593" s="793"/>
      <c r="E593" s="790" t="s">
        <v>2</v>
      </c>
      <c r="F593" s="791"/>
      <c r="G593" s="792"/>
      <c r="I593" s="68" t="str">
        <f>CONCATENATE("CAGR ",RIGHT(B592,2),"-",RIGHT(D592,2))</f>
        <v>CAGR 10-12</v>
      </c>
      <c r="J593" s="68" t="str">
        <f>CONCATENATE("CAGR ",RIGHT(E592,2),"-",RIGHT(G592,2))</f>
        <v>CAGR 13-15</v>
      </c>
    </row>
    <row r="594" spans="1:10">
      <c r="A594" s="388" t="s">
        <v>3</v>
      </c>
      <c r="B594" s="307">
        <f t="shared" ref="B594:G594" si="185">B576</f>
        <v>0.6</v>
      </c>
      <c r="C594" s="307">
        <f t="shared" si="185"/>
        <v>0.59299999999999997</v>
      </c>
      <c r="D594" s="307">
        <f t="shared" si="185"/>
        <v>0.59799999999999998</v>
      </c>
      <c r="E594" s="402">
        <f t="shared" si="185"/>
        <v>0.61</v>
      </c>
      <c r="F594" s="307">
        <f t="shared" si="185"/>
        <v>0.623</v>
      </c>
      <c r="G594" s="716">
        <f t="shared" si="185"/>
        <v>0.627</v>
      </c>
      <c r="I594" s="67">
        <f>(D594/B594)^(1/2)-1</f>
        <v>-1.6680578752041875E-3</v>
      </c>
      <c r="J594" s="67">
        <f>(G594/E594)^(1/2)-1</f>
        <v>1.3838671810765257E-2</v>
      </c>
    </row>
    <row r="595" spans="1:10">
      <c r="A595" s="388" t="str">
        <f>A578</f>
        <v>Market study YYY</v>
      </c>
      <c r="B595" s="307">
        <f>B578</f>
        <v>0.5</v>
      </c>
      <c r="C595" s="307">
        <f t="shared" ref="C595:G595" si="186">C578</f>
        <v>0.51</v>
      </c>
      <c r="D595" s="307">
        <f t="shared" si="186"/>
        <v>0.51</v>
      </c>
      <c r="E595" s="402">
        <f t="shared" si="186"/>
        <v>0.52</v>
      </c>
      <c r="F595" s="307">
        <f t="shared" si="186"/>
        <v>0.52</v>
      </c>
      <c r="G595" s="716">
        <f t="shared" si="186"/>
        <v>0.53</v>
      </c>
      <c r="I595" s="67">
        <f>(D595/B595)^(1/2)-1</f>
        <v>9.9504938362078299E-3</v>
      </c>
      <c r="J595" s="67">
        <f>(G595/E595)^(1/2)-1</f>
        <v>9.5695960312836004E-3</v>
      </c>
    </row>
    <row r="596" spans="1:10">
      <c r="A596" s="388" t="str">
        <f t="shared" ref="A596:B596" si="187">A579</f>
        <v>Peer 1</v>
      </c>
      <c r="B596" s="307">
        <f t="shared" si="187"/>
        <v>0.53</v>
      </c>
      <c r="C596" s="307">
        <f>C579</f>
        <v>0.54</v>
      </c>
      <c r="D596" s="307">
        <f t="shared" ref="D596:G596" si="188">D579</f>
        <v>0.56000000000000005</v>
      </c>
      <c r="E596" s="402">
        <f t="shared" si="188"/>
        <v>0.57999999999999996</v>
      </c>
      <c r="F596" s="307">
        <f t="shared" si="188"/>
        <v>0.6</v>
      </c>
      <c r="G596" s="716">
        <f t="shared" si="188"/>
        <v>0.62</v>
      </c>
    </row>
    <row r="597" spans="1:10">
      <c r="A597" s="388" t="str">
        <f t="shared" ref="A597:G597" si="189">A580</f>
        <v>Peer 2</v>
      </c>
      <c r="B597" s="307">
        <f t="shared" si="189"/>
        <v>0.5</v>
      </c>
      <c r="C597" s="307">
        <f t="shared" si="189"/>
        <v>0.52</v>
      </c>
      <c r="D597" s="307">
        <f t="shared" si="189"/>
        <v>0.54</v>
      </c>
      <c r="E597" s="402">
        <f t="shared" si="189"/>
        <v>0.55000000000000004</v>
      </c>
      <c r="F597" s="307">
        <f t="shared" si="189"/>
        <v>0.53</v>
      </c>
      <c r="G597" s="716">
        <f t="shared" si="189"/>
        <v>0.54</v>
      </c>
    </row>
    <row r="598" spans="1:10">
      <c r="A598" s="388" t="str">
        <f t="shared" ref="A598:G598" si="190">A581</f>
        <v>Peer 3</v>
      </c>
      <c r="B598" s="307">
        <f t="shared" si="190"/>
        <v>0.45</v>
      </c>
      <c r="C598" s="307">
        <f t="shared" si="190"/>
        <v>0.49</v>
      </c>
      <c r="D598" s="307">
        <f t="shared" si="190"/>
        <v>0.505</v>
      </c>
      <c r="E598" s="402">
        <f t="shared" si="190"/>
        <v>0.51</v>
      </c>
      <c r="F598" s="307">
        <f t="shared" si="190"/>
        <v>0.52</v>
      </c>
      <c r="G598" s="716">
        <f t="shared" si="190"/>
        <v>0.53</v>
      </c>
    </row>
    <row r="599" spans="1:10" ht="3" customHeight="1">
      <c r="A599" s="388"/>
      <c r="B599" s="307"/>
      <c r="C599" s="307"/>
      <c r="D599" s="307"/>
      <c r="E599" s="402"/>
      <c r="F599" s="307"/>
      <c r="G599" s="716"/>
    </row>
    <row r="600" spans="1:10">
      <c r="A600" s="717" t="s">
        <v>8</v>
      </c>
      <c r="B600" s="719">
        <f>MIN(B596:B598)</f>
        <v>0.45</v>
      </c>
      <c r="C600" s="719">
        <f t="shared" ref="C600:G600" si="191">MIN(C596:C598)</f>
        <v>0.49</v>
      </c>
      <c r="D600" s="719">
        <f t="shared" si="191"/>
        <v>0.505</v>
      </c>
      <c r="E600" s="731">
        <f t="shared" si="191"/>
        <v>0.51</v>
      </c>
      <c r="F600" s="719">
        <f t="shared" si="191"/>
        <v>0.52</v>
      </c>
      <c r="G600" s="720">
        <f t="shared" si="191"/>
        <v>0.53</v>
      </c>
    </row>
    <row r="601" spans="1:10">
      <c r="A601" s="721" t="s">
        <v>7</v>
      </c>
      <c r="B601" s="723">
        <f>MAX(B596:B598)</f>
        <v>0.53</v>
      </c>
      <c r="C601" s="723">
        <f t="shared" ref="C601:G601" si="192">MAX(C596:C598)</f>
        <v>0.54</v>
      </c>
      <c r="D601" s="723">
        <f t="shared" si="192"/>
        <v>0.56000000000000005</v>
      </c>
      <c r="E601" s="732">
        <f t="shared" si="192"/>
        <v>0.57999999999999996</v>
      </c>
      <c r="F601" s="723">
        <f t="shared" si="192"/>
        <v>0.6</v>
      </c>
      <c r="G601" s="724">
        <f t="shared" si="192"/>
        <v>0.62</v>
      </c>
    </row>
    <row r="602" spans="1:10" ht="12" thickBot="1">
      <c r="A602" s="725" t="s">
        <v>24</v>
      </c>
      <c r="B602" s="727">
        <f t="shared" ref="B602:G602" si="193">AVERAGE(B596:B598)</f>
        <v>0.49333333333333335</v>
      </c>
      <c r="C602" s="727">
        <f t="shared" si="193"/>
        <v>0.51666666666666672</v>
      </c>
      <c r="D602" s="727">
        <f t="shared" si="193"/>
        <v>0.53500000000000003</v>
      </c>
      <c r="E602" s="733">
        <f t="shared" si="193"/>
        <v>0.54666666666666663</v>
      </c>
      <c r="F602" s="727">
        <f t="shared" si="193"/>
        <v>0.54999999999999993</v>
      </c>
      <c r="G602" s="728">
        <f t="shared" si="193"/>
        <v>0.56333333333333335</v>
      </c>
      <c r="I602" s="67">
        <f>(D602/B602)^(1/2)-1</f>
        <v>4.1373832713046177E-2</v>
      </c>
      <c r="J602" s="67">
        <f>(G602/E602)^(1/2)-1</f>
        <v>1.5129452275939537E-2</v>
      </c>
    </row>
    <row r="608" spans="1:10" s="357" customFormat="1" ht="20.25" customHeight="1">
      <c r="A608" s="358" t="s">
        <v>552</v>
      </c>
    </row>
    <row r="609" spans="1:7" s="233" customFormat="1"/>
    <row r="610" spans="1:7" s="233" customFormat="1"/>
    <row r="611" spans="1:7" s="233" customFormat="1">
      <c r="A611" s="9" t="s">
        <v>93</v>
      </c>
      <c r="B611" s="16"/>
      <c r="C611" s="16"/>
      <c r="D611" s="16"/>
      <c r="E611" s="16"/>
      <c r="F611" s="16"/>
      <c r="G611" s="16"/>
    </row>
    <row r="612" spans="1:7" s="233" customFormat="1">
      <c r="A612" s="27" t="str">
        <f>Input!E3</f>
        <v>XXX AG</v>
      </c>
      <c r="B612" s="16"/>
      <c r="C612" s="16"/>
      <c r="D612" s="16"/>
      <c r="E612" s="16"/>
      <c r="F612" s="16"/>
      <c r="G612" s="16"/>
    </row>
    <row r="613" spans="1:7" s="233" customFormat="1">
      <c r="A613" s="9"/>
      <c r="B613" s="28">
        <f>Input!E68</f>
        <v>2010</v>
      </c>
      <c r="C613" s="28">
        <f>Input!F68</f>
        <v>2011</v>
      </c>
      <c r="D613" s="28">
        <f>Input!G68</f>
        <v>2012</v>
      </c>
      <c r="E613" s="28">
        <f>Input!H68</f>
        <v>2013</v>
      </c>
      <c r="F613" s="28">
        <f>Input!I68</f>
        <v>2014</v>
      </c>
      <c r="G613" s="28">
        <f>Input!J68</f>
        <v>2015</v>
      </c>
    </row>
    <row r="614" spans="1:7" s="233" customFormat="1">
      <c r="A614" s="9"/>
      <c r="B614" s="28" t="str">
        <f>Input!E69</f>
        <v>Actual</v>
      </c>
      <c r="C614" s="28" t="str">
        <f>Input!F69</f>
        <v>Actual</v>
      </c>
      <c r="D614" s="28" t="str">
        <f>Input!G69</f>
        <v>Actual</v>
      </c>
      <c r="E614" s="28" t="str">
        <f>Input!H69</f>
        <v>Plan</v>
      </c>
      <c r="F614" s="28" t="str">
        <f>Input!I69</f>
        <v>Plan</v>
      </c>
      <c r="G614" s="28" t="str">
        <f>Input!J69</f>
        <v>Plan</v>
      </c>
    </row>
    <row r="615" spans="1:7" s="233" customFormat="1">
      <c r="A615" s="9" t="s">
        <v>47</v>
      </c>
      <c r="B615" s="28"/>
      <c r="C615" s="28"/>
      <c r="D615" s="28"/>
      <c r="E615" s="28"/>
      <c r="F615" s="28"/>
      <c r="G615" s="28"/>
    </row>
    <row r="616" spans="1:7" s="233" customFormat="1">
      <c r="A616" s="92" t="s">
        <v>4</v>
      </c>
      <c r="B616" s="97">
        <v>200</v>
      </c>
      <c r="C616" s="97">
        <v>205</v>
      </c>
      <c r="D616" s="97">
        <v>210</v>
      </c>
      <c r="E616" s="97">
        <v>210</v>
      </c>
      <c r="F616" s="97">
        <v>225</v>
      </c>
      <c r="G616" s="97">
        <v>240</v>
      </c>
    </row>
    <row r="617" spans="1:7" s="233" customFormat="1">
      <c r="A617" s="92" t="s">
        <v>5</v>
      </c>
      <c r="B617" s="97">
        <v>100</v>
      </c>
      <c r="C617" s="97">
        <v>103</v>
      </c>
      <c r="D617" s="97">
        <v>106</v>
      </c>
      <c r="E617" s="97">
        <v>106</v>
      </c>
      <c r="F617" s="97">
        <v>109.5</v>
      </c>
      <c r="G617" s="97">
        <v>113</v>
      </c>
    </row>
    <row r="618" spans="1:7" s="233" customFormat="1">
      <c r="A618" s="92" t="s">
        <v>6</v>
      </c>
      <c r="B618" s="97">
        <v>280</v>
      </c>
      <c r="C618" s="97">
        <v>290</v>
      </c>
      <c r="D618" s="97">
        <v>300</v>
      </c>
      <c r="E618" s="97">
        <v>300</v>
      </c>
      <c r="F618" s="97">
        <v>325</v>
      </c>
      <c r="G618" s="97">
        <v>350</v>
      </c>
    </row>
    <row r="619" spans="1:7" s="233" customFormat="1">
      <c r="B619" s="309"/>
      <c r="C619" s="309"/>
      <c r="D619" s="309"/>
      <c r="E619" s="309"/>
      <c r="F619" s="309"/>
      <c r="G619" s="309"/>
    </row>
    <row r="620" spans="1:7" s="233" customFormat="1">
      <c r="A620" s="9" t="s">
        <v>553</v>
      </c>
      <c r="B620" s="309"/>
      <c r="C620" s="309"/>
      <c r="D620" s="309"/>
      <c r="E620" s="309"/>
      <c r="F620" s="309"/>
      <c r="G620" s="309"/>
    </row>
    <row r="621" spans="1:7" s="233" customFormat="1">
      <c r="A621" s="27" t="s">
        <v>4</v>
      </c>
      <c r="B621" s="97">
        <v>75</v>
      </c>
      <c r="C621" s="97">
        <v>77.5</v>
      </c>
      <c r="D621" s="97">
        <v>80</v>
      </c>
      <c r="E621" s="97">
        <v>80</v>
      </c>
      <c r="F621" s="97">
        <v>87.5</v>
      </c>
      <c r="G621" s="97">
        <v>95</v>
      </c>
    </row>
    <row r="622" spans="1:7" s="233" customFormat="1">
      <c r="A622" s="27" t="s">
        <v>5</v>
      </c>
      <c r="B622" s="97">
        <v>30</v>
      </c>
      <c r="C622" s="97">
        <v>31</v>
      </c>
      <c r="D622" s="97">
        <v>32</v>
      </c>
      <c r="E622" s="97">
        <v>32</v>
      </c>
      <c r="F622" s="97">
        <v>33</v>
      </c>
      <c r="G622" s="97">
        <v>34</v>
      </c>
    </row>
    <row r="623" spans="1:7" s="233" customFormat="1">
      <c r="A623" s="27" t="s">
        <v>6</v>
      </c>
      <c r="B623" s="97">
        <v>145</v>
      </c>
      <c r="C623" s="97">
        <v>157.5</v>
      </c>
      <c r="D623" s="97">
        <v>170</v>
      </c>
      <c r="E623" s="97">
        <v>170</v>
      </c>
      <c r="F623" s="97">
        <v>200</v>
      </c>
      <c r="G623" s="97">
        <v>230</v>
      </c>
    </row>
    <row r="624" spans="1:7" s="233" customFormat="1"/>
    <row r="625" spans="1:5" s="233" customFormat="1"/>
    <row r="626" spans="1:5" s="233" customFormat="1"/>
    <row r="627" spans="1:5" s="233" customFormat="1"/>
    <row r="628" spans="1:5" s="233" customFormat="1">
      <c r="B628" s="150" t="str">
        <f>A612</f>
        <v>XXX AG</v>
      </c>
      <c r="C628" s="150" t="str">
        <f>A616</f>
        <v>Peer 1</v>
      </c>
      <c r="D628" s="150" t="str">
        <f>A617</f>
        <v>Peer 2</v>
      </c>
      <c r="E628" s="150" t="str">
        <f>A618</f>
        <v>Peer 3</v>
      </c>
    </row>
    <row r="629" spans="1:5" s="233" customFormat="1">
      <c r="A629" s="150">
        <f>Input!E68</f>
        <v>2010</v>
      </c>
    </row>
    <row r="630" spans="1:5" s="233" customFormat="1" ht="19.5" customHeight="1">
      <c r="A630" s="363" t="str">
        <f>CONCATENATE("Comparison - Peer Group ",Input!E68)</f>
        <v>Comparison - Peer Group 2010</v>
      </c>
      <c r="B630" s="363"/>
      <c r="C630" s="364"/>
      <c r="D630" s="364"/>
      <c r="E630" s="364"/>
    </row>
    <row r="631" spans="1:5" s="233" customFormat="1" ht="24" customHeight="1">
      <c r="A631" s="371" t="str">
        <f>Input!E4</f>
        <v>€m</v>
      </c>
      <c r="B631" s="372" t="str">
        <f>CONCATENATE(B$628, " ",$A629)</f>
        <v>XXX AG 2010</v>
      </c>
      <c r="C631" s="372" t="str">
        <f t="shared" ref="C631:E631" si="194">CONCATENATE(C$628, " ",$A629)</f>
        <v>Peer 1 2010</v>
      </c>
      <c r="D631" s="372" t="str">
        <f t="shared" si="194"/>
        <v>Peer 2 2010</v>
      </c>
      <c r="E631" s="373" t="str">
        <f t="shared" si="194"/>
        <v>Peer 3 2010</v>
      </c>
    </row>
    <row r="632" spans="1:5" s="233" customFormat="1">
      <c r="A632" s="365" t="s">
        <v>47</v>
      </c>
      <c r="B632" s="308">
        <f>Input!E70</f>
        <v>50</v>
      </c>
      <c r="C632" s="308">
        <f>B616</f>
        <v>200</v>
      </c>
      <c r="D632" s="308">
        <f>B617</f>
        <v>100</v>
      </c>
      <c r="E632" s="393">
        <f>B618</f>
        <v>280</v>
      </c>
    </row>
    <row r="633" spans="1:5" s="233" customFormat="1">
      <c r="A633" s="365" t="s">
        <v>48</v>
      </c>
      <c r="B633" s="308">
        <f>Input!E71</f>
        <v>25</v>
      </c>
      <c r="C633" s="308">
        <f>B621</f>
        <v>75</v>
      </c>
      <c r="D633" s="308">
        <f>B622</f>
        <v>30</v>
      </c>
      <c r="E633" s="393">
        <f>B623</f>
        <v>145</v>
      </c>
    </row>
    <row r="634" spans="1:5" s="233" customFormat="1" ht="12" thickBot="1">
      <c r="A634" s="368" t="s">
        <v>49</v>
      </c>
      <c r="B634" s="369">
        <f>B633/B632</f>
        <v>0.5</v>
      </c>
      <c r="C634" s="748">
        <f>C633/C632</f>
        <v>0.375</v>
      </c>
      <c r="D634" s="748">
        <f>D633/D632</f>
        <v>0.3</v>
      </c>
      <c r="E634" s="749">
        <f>E633/E632</f>
        <v>0.5178571428571429</v>
      </c>
    </row>
    <row r="635" spans="1:5" s="233" customFormat="1">
      <c r="A635" s="150"/>
      <c r="B635" s="150"/>
      <c r="C635" s="150"/>
      <c r="D635" s="150"/>
      <c r="E635" s="150"/>
    </row>
    <row r="636" spans="1:5" s="233" customFormat="1">
      <c r="A636" s="150">
        <f>Input!G68</f>
        <v>2012</v>
      </c>
      <c r="B636" s="150"/>
      <c r="C636" s="150"/>
      <c r="D636" s="150"/>
      <c r="E636" s="150"/>
    </row>
    <row r="637" spans="1:5" s="233" customFormat="1" ht="19.5" customHeight="1">
      <c r="A637" s="363" t="str">
        <f>CONCATENATE("Comparison - Peer Group ",Input!G68)</f>
        <v>Comparison - Peer Group 2012</v>
      </c>
      <c r="B637" s="363"/>
      <c r="C637" s="364"/>
      <c r="D637" s="364"/>
      <c r="E637" s="364"/>
    </row>
    <row r="638" spans="1:5" s="233" customFormat="1" ht="24.75" customHeight="1">
      <c r="A638" s="371" t="str">
        <f>Input!E4</f>
        <v>€m</v>
      </c>
      <c r="B638" s="372" t="str">
        <f>CONCATENATE(B$628, " ",$A636)</f>
        <v>XXX AG 2012</v>
      </c>
      <c r="C638" s="372" t="str">
        <f t="shared" ref="C638:E638" si="195">CONCATENATE(C$628, " ",$A636)</f>
        <v>Peer 1 2012</v>
      </c>
      <c r="D638" s="372" t="str">
        <f t="shared" si="195"/>
        <v>Peer 2 2012</v>
      </c>
      <c r="E638" s="751" t="str">
        <f t="shared" si="195"/>
        <v>Peer 3 2012</v>
      </c>
    </row>
    <row r="639" spans="1:5" s="233" customFormat="1">
      <c r="A639" s="365" t="s">
        <v>47</v>
      </c>
      <c r="B639" s="308">
        <f>Input!G70</f>
        <v>56</v>
      </c>
      <c r="C639" s="308">
        <f>D616</f>
        <v>210</v>
      </c>
      <c r="D639" s="308">
        <f>D617</f>
        <v>106</v>
      </c>
      <c r="E639" s="330">
        <f>D618</f>
        <v>300</v>
      </c>
    </row>
    <row r="640" spans="1:5" s="233" customFormat="1">
      <c r="A640" s="365" t="s">
        <v>48</v>
      </c>
      <c r="B640" s="308">
        <f>Input!G71</f>
        <v>28</v>
      </c>
      <c r="C640" s="308">
        <f>D621</f>
        <v>80</v>
      </c>
      <c r="D640" s="308">
        <f>D622</f>
        <v>32</v>
      </c>
      <c r="E640" s="330">
        <f>D623</f>
        <v>170</v>
      </c>
    </row>
    <row r="641" spans="1:5" s="233" customFormat="1" ht="12" thickBot="1">
      <c r="A641" s="368" t="s">
        <v>49</v>
      </c>
      <c r="B641" s="369">
        <f>B640/B639</f>
        <v>0.5</v>
      </c>
      <c r="C641" s="748">
        <f>C640/C639</f>
        <v>0.38095238095238093</v>
      </c>
      <c r="D641" s="748">
        <f>D640/D639</f>
        <v>0.30188679245283018</v>
      </c>
      <c r="E641" s="750">
        <f>E640/E639</f>
        <v>0.56666666666666665</v>
      </c>
    </row>
    <row r="642" spans="1:5" s="233" customFormat="1">
      <c r="A642" s="150"/>
      <c r="B642" s="150"/>
      <c r="C642" s="150"/>
      <c r="D642" s="150"/>
      <c r="E642" s="150"/>
    </row>
    <row r="643" spans="1:5" s="233" customFormat="1" ht="19.5" customHeight="1">
      <c r="A643" s="150">
        <f>Input!H68</f>
        <v>2013</v>
      </c>
      <c r="B643" s="150"/>
      <c r="C643" s="150"/>
      <c r="D643" s="150"/>
      <c r="E643" s="150"/>
    </row>
    <row r="644" spans="1:5" s="233" customFormat="1" ht="19.5" customHeight="1">
      <c r="A644" s="363" t="str">
        <f>CONCATENATE("Comparison - Peer Group ",Input!H68)</f>
        <v>Comparison - Peer Group 2013</v>
      </c>
      <c r="B644" s="363"/>
      <c r="C644" s="364"/>
      <c r="D644" s="364"/>
      <c r="E644" s="364"/>
    </row>
    <row r="645" spans="1:5" s="233" customFormat="1" ht="24" customHeight="1">
      <c r="A645" s="371" t="str">
        <f>Input!E4</f>
        <v>€m</v>
      </c>
      <c r="B645" s="372" t="str">
        <f>CONCATENATE(B$628, " ",$A643)</f>
        <v>XXX AG 2013</v>
      </c>
      <c r="C645" s="372" t="str">
        <f t="shared" ref="C645:E645" si="196">CONCATENATE(C$628, " ",$A643)</f>
        <v>Peer 1 2013</v>
      </c>
      <c r="D645" s="372" t="str">
        <f t="shared" si="196"/>
        <v>Peer 2 2013</v>
      </c>
      <c r="E645" s="373" t="str">
        <f t="shared" si="196"/>
        <v>Peer 3 2013</v>
      </c>
    </row>
    <row r="646" spans="1:5" s="233" customFormat="1">
      <c r="A646" s="365" t="s">
        <v>47</v>
      </c>
      <c r="B646" s="308">
        <f>Input!H70</f>
        <v>59</v>
      </c>
      <c r="C646" s="308">
        <f>E616</f>
        <v>210</v>
      </c>
      <c r="D646" s="308">
        <f>E617</f>
        <v>106</v>
      </c>
      <c r="E646" s="393">
        <f>E618</f>
        <v>300</v>
      </c>
    </row>
    <row r="647" spans="1:5" s="233" customFormat="1">
      <c r="A647" s="365" t="s">
        <v>48</v>
      </c>
      <c r="B647" s="308">
        <f>Input!H71</f>
        <v>30</v>
      </c>
      <c r="C647" s="308">
        <f>E621</f>
        <v>80</v>
      </c>
      <c r="D647" s="308">
        <f>E622</f>
        <v>32</v>
      </c>
      <c r="E647" s="393">
        <f>E623</f>
        <v>170</v>
      </c>
    </row>
    <row r="648" spans="1:5" s="233" customFormat="1" ht="12" thickBot="1">
      <c r="A648" s="368" t="s">
        <v>49</v>
      </c>
      <c r="B648" s="369">
        <f>B647/B646</f>
        <v>0.50847457627118642</v>
      </c>
      <c r="C648" s="748">
        <f>C647/C646</f>
        <v>0.38095238095238093</v>
      </c>
      <c r="D648" s="748">
        <f>D647/D646</f>
        <v>0.30188679245283018</v>
      </c>
      <c r="E648" s="749">
        <f>E647/E646</f>
        <v>0.56666666666666665</v>
      </c>
    </row>
    <row r="649" spans="1:5" s="233" customFormat="1">
      <c r="A649" s="150"/>
      <c r="B649" s="150"/>
      <c r="C649" s="150"/>
      <c r="D649" s="150"/>
      <c r="E649" s="150"/>
    </row>
    <row r="650" spans="1:5" s="233" customFormat="1">
      <c r="A650" s="150">
        <f>Input!J68</f>
        <v>2015</v>
      </c>
      <c r="B650" s="150"/>
      <c r="C650" s="150"/>
      <c r="D650" s="150"/>
      <c r="E650" s="150"/>
    </row>
    <row r="651" spans="1:5" s="233" customFormat="1" ht="19.5" customHeight="1">
      <c r="A651" s="363" t="str">
        <f>CONCATENATE("Comparison - Peer Group ",Input!J68)</f>
        <v>Comparison - Peer Group 2015</v>
      </c>
      <c r="B651" s="363"/>
      <c r="C651" s="364"/>
      <c r="D651" s="364"/>
      <c r="E651" s="364"/>
    </row>
    <row r="652" spans="1:5" s="233" customFormat="1" ht="24" customHeight="1">
      <c r="A652" s="371" t="str">
        <f>Input!E4</f>
        <v>€m</v>
      </c>
      <c r="B652" s="372" t="str">
        <f>CONCATENATE(B$628, " ",$A650)</f>
        <v>XXX AG 2015</v>
      </c>
      <c r="C652" s="372" t="str">
        <f t="shared" ref="C652:E652" si="197">CONCATENATE(C$628, " ",$A650)</f>
        <v>Peer 1 2015</v>
      </c>
      <c r="D652" s="372" t="str">
        <f t="shared" si="197"/>
        <v>Peer 2 2015</v>
      </c>
      <c r="E652" s="373" t="str">
        <f t="shared" si="197"/>
        <v>Peer 3 2015</v>
      </c>
    </row>
    <row r="653" spans="1:5" s="233" customFormat="1">
      <c r="A653" s="365" t="s">
        <v>47</v>
      </c>
      <c r="B653" s="308">
        <f>Input!J70</f>
        <v>67</v>
      </c>
      <c r="C653" s="308">
        <f>G616</f>
        <v>240</v>
      </c>
      <c r="D653" s="308">
        <f>G617</f>
        <v>113</v>
      </c>
      <c r="E653" s="393">
        <f>G618</f>
        <v>350</v>
      </c>
    </row>
    <row r="654" spans="1:5" s="233" customFormat="1">
      <c r="A654" s="365" t="s">
        <v>48</v>
      </c>
      <c r="B654" s="308">
        <f>Input!J71</f>
        <v>35.5</v>
      </c>
      <c r="C654" s="308">
        <f>G621</f>
        <v>95</v>
      </c>
      <c r="D654" s="308">
        <f>G622</f>
        <v>34</v>
      </c>
      <c r="E654" s="393">
        <f>G623</f>
        <v>230</v>
      </c>
    </row>
    <row r="655" spans="1:5" s="233" customFormat="1" ht="12" thickBot="1">
      <c r="A655" s="368" t="s">
        <v>49</v>
      </c>
      <c r="B655" s="369">
        <f>B654/B653</f>
        <v>0.52985074626865669</v>
      </c>
      <c r="C655" s="748">
        <f>C654/C653</f>
        <v>0.39583333333333331</v>
      </c>
      <c r="D655" s="748">
        <f>D654/D653</f>
        <v>0.30088495575221241</v>
      </c>
      <c r="E655" s="749">
        <f>E654/E653</f>
        <v>0.65714285714285714</v>
      </c>
    </row>
    <row r="656" spans="1:5" s="233" customFormat="1">
      <c r="A656" s="150"/>
      <c r="B656" s="150"/>
      <c r="C656" s="150"/>
      <c r="D656" s="150"/>
      <c r="E656" s="150"/>
    </row>
    <row r="657" spans="1:5" s="233" customFormat="1">
      <c r="A657" s="150">
        <f>A636</f>
        <v>2012</v>
      </c>
      <c r="B657" s="150"/>
      <c r="C657" s="150"/>
      <c r="D657" s="150"/>
      <c r="E657" s="150"/>
    </row>
    <row r="658" spans="1:5" s="233" customFormat="1" ht="19.5" customHeight="1">
      <c r="A658" s="377" t="s">
        <v>551</v>
      </c>
      <c r="B658" s="377"/>
      <c r="C658" s="377"/>
      <c r="D658" s="377"/>
      <c r="E658" s="377"/>
    </row>
    <row r="659" spans="1:5" s="233" customFormat="1" ht="24.75" customHeight="1">
      <c r="A659" s="376" t="str">
        <f>Input!E4</f>
        <v>€m</v>
      </c>
      <c r="B659" s="372" t="str">
        <f>CONCATENATE(B$628, " ",$A657)</f>
        <v>XXX AG 2012</v>
      </c>
      <c r="C659" s="372" t="str">
        <f t="shared" ref="C659:E659" si="198">CONCATENATE(C$628, " ",$A657)</f>
        <v>Peer 1 2012</v>
      </c>
      <c r="D659" s="372" t="str">
        <f t="shared" si="198"/>
        <v>Peer 2 2012</v>
      </c>
      <c r="E659" s="373" t="str">
        <f t="shared" si="198"/>
        <v>Peer 3 2012</v>
      </c>
    </row>
    <row r="660" spans="1:5" s="233" customFormat="1">
      <c r="A660" s="388" t="str">
        <f>CONCATENATE("CGAR ",A629," - ",A636)</f>
        <v>CGAR 2010 - 2012</v>
      </c>
      <c r="B660" s="307">
        <f>((B639/B632)^(1/2))-1</f>
        <v>5.8300524425836331E-2</v>
      </c>
      <c r="C660" s="307">
        <f>((C639/C632)^(1/2))-1</f>
        <v>2.4695076595959931E-2</v>
      </c>
      <c r="D660" s="307">
        <f>((D639/D632)^(1/2))-1</f>
        <v>2.9563014098699991E-2</v>
      </c>
      <c r="E660" s="394">
        <f>((E639/E632)^(1/2))-1</f>
        <v>3.5098339013531321E-2</v>
      </c>
    </row>
    <row r="661" spans="1:5" s="233" customFormat="1">
      <c r="A661" s="365" t="s">
        <v>47</v>
      </c>
      <c r="B661" s="338">
        <f>AVERAGE(Input!E70:G70)</f>
        <v>53.333333333333336</v>
      </c>
      <c r="C661" s="338">
        <f>AVERAGE(B616:D616)</f>
        <v>205</v>
      </c>
      <c r="D661" s="338">
        <f>AVERAGE(B617:D617)</f>
        <v>103</v>
      </c>
      <c r="E661" s="752">
        <f>AVERAGE(B618:D618)</f>
        <v>290</v>
      </c>
    </row>
    <row r="662" spans="1:5" s="233" customFormat="1" ht="12" thickBot="1">
      <c r="A662" s="756" t="s">
        <v>49</v>
      </c>
      <c r="B662" s="757">
        <f>AVERAGE(Input!E71:G71)/'02_Comparison'!B661</f>
        <v>0.5</v>
      </c>
      <c r="C662" s="757">
        <f>AVERAGE(B621:D621)/C661</f>
        <v>0.37804878048780488</v>
      </c>
      <c r="D662" s="757">
        <f>AVERAGE(B622:D622)/D661</f>
        <v>0.30097087378640774</v>
      </c>
      <c r="E662" s="758">
        <f>AVERAGE(B623:D623)/E661</f>
        <v>0.5431034482758621</v>
      </c>
    </row>
    <row r="663" spans="1:5" s="233" customFormat="1">
      <c r="A663" s="150"/>
      <c r="B663" s="339"/>
      <c r="C663" s="339"/>
      <c r="D663" s="339"/>
      <c r="E663" s="339"/>
    </row>
    <row r="664" spans="1:5" s="233" customFormat="1" ht="19.5" customHeight="1">
      <c r="A664" s="150">
        <f>A650</f>
        <v>2015</v>
      </c>
      <c r="B664" s="150"/>
      <c r="C664" s="150"/>
      <c r="D664" s="150"/>
      <c r="E664" s="150"/>
    </row>
    <row r="665" spans="1:5" s="233" customFormat="1" ht="19.5" customHeight="1">
      <c r="A665" s="377" t="s">
        <v>550</v>
      </c>
      <c r="B665" s="377"/>
      <c r="C665" s="377"/>
      <c r="D665" s="377"/>
      <c r="E665" s="377"/>
    </row>
    <row r="666" spans="1:5" s="233" customFormat="1" ht="24.75" customHeight="1">
      <c r="A666" s="753" t="str">
        <f>Input!E4</f>
        <v>€m</v>
      </c>
      <c r="B666" s="754" t="str">
        <f>CONCATENATE(B$628, " ",$A664)</f>
        <v>XXX AG 2015</v>
      </c>
      <c r="C666" s="754" t="str">
        <f t="shared" ref="C666:E666" si="199">CONCATENATE(C$628, " ",$A664)</f>
        <v>Peer 1 2015</v>
      </c>
      <c r="D666" s="754" t="str">
        <f t="shared" si="199"/>
        <v>Peer 2 2015</v>
      </c>
      <c r="E666" s="755" t="str">
        <f t="shared" si="199"/>
        <v>Peer 3 2015</v>
      </c>
    </row>
    <row r="667" spans="1:5" s="233" customFormat="1">
      <c r="A667" s="388" t="str">
        <f>CONCATENATE("CGAR ",A643," - ",A650)</f>
        <v>CGAR 2013 - 2015</v>
      </c>
      <c r="B667" s="307">
        <f>(B653/B646)^(1/2)-1</f>
        <v>6.5642163363942352E-2</v>
      </c>
      <c r="C667" s="307">
        <f t="shared" ref="C667:E667" si="200">(C653/C646)^(1/2)-1</f>
        <v>6.9044967649697586E-2</v>
      </c>
      <c r="D667" s="307">
        <f t="shared" si="200"/>
        <v>3.2491034270543562E-2</v>
      </c>
      <c r="E667" s="394">
        <f t="shared" si="200"/>
        <v>8.012344973464347E-2</v>
      </c>
    </row>
    <row r="668" spans="1:5" s="233" customFormat="1">
      <c r="A668" s="365" t="s">
        <v>47</v>
      </c>
      <c r="B668" s="338">
        <f>AVERAGE(Input!H70:J70)</f>
        <v>62.333333333333336</v>
      </c>
      <c r="C668" s="338">
        <f>AVERAGE(E616:G616)</f>
        <v>225</v>
      </c>
      <c r="D668" s="338">
        <f>AVERAGE(E617:G617)</f>
        <v>109.5</v>
      </c>
      <c r="E668" s="752">
        <f>AVERAGE(E618:G618)</f>
        <v>325</v>
      </c>
    </row>
    <row r="669" spans="1:5" s="233" customFormat="1" ht="12" thickBot="1">
      <c r="A669" s="756" t="s">
        <v>49</v>
      </c>
      <c r="B669" s="757">
        <f>AVERAGE(Input!H71:J71)/'02_Comparison'!B668</f>
        <v>0.51871657754010692</v>
      </c>
      <c r="C669" s="757">
        <f>AVERAGE(E621:G621)/C668</f>
        <v>0.3888888888888889</v>
      </c>
      <c r="D669" s="757">
        <f>AVERAGE(E622:G622)/D668</f>
        <v>0.30136986301369861</v>
      </c>
      <c r="E669" s="758">
        <f>AVERAGE(E623:G623)/E668</f>
        <v>0.61538461538461542</v>
      </c>
    </row>
    <row r="670" spans="1:5" s="233" customFormat="1">
      <c r="A670" s="150"/>
      <c r="B670" s="150"/>
      <c r="C670" s="324"/>
      <c r="D670" s="324"/>
      <c r="E670" s="324"/>
    </row>
    <row r="671" spans="1:5" s="233" customFormat="1">
      <c r="A671" s="340" t="s">
        <v>391</v>
      </c>
    </row>
    <row r="672" spans="1:5" s="233" customFormat="1">
      <c r="A672" s="340" t="str">
        <f>CONCATENATE(A646, " (",A645,")")</f>
        <v>Sales (€m)</v>
      </c>
    </row>
    <row r="673" spans="1:7" s="233" customFormat="1">
      <c r="A673" s="341" t="str">
        <f>A655</f>
        <v>Gross profit margin</v>
      </c>
    </row>
    <row r="674" spans="1:7" s="233" customFormat="1">
      <c r="A674" s="340" t="s">
        <v>554</v>
      </c>
    </row>
    <row r="675" spans="1:7" s="233" customFormat="1">
      <c r="A675" s="342" t="s">
        <v>555</v>
      </c>
    </row>
    <row r="676" spans="1:7" s="233" customFormat="1">
      <c r="A676" s="340" t="str">
        <f>CONCATENATE("CAGR sales ",A629,"-",A636)</f>
        <v>CAGR sales 2010-2012</v>
      </c>
    </row>
    <row r="677" spans="1:7" s="233" customFormat="1">
      <c r="A677" s="342" t="str">
        <f>CONCATENATE("Gross profit margin  Ø ",A629,"-",A636)</f>
        <v>Gross profit margin  Ø 2010-2012</v>
      </c>
    </row>
    <row r="678" spans="1:7" s="233" customFormat="1"/>
    <row r="679" spans="1:7" s="233" customFormat="1"/>
    <row r="680" spans="1:7" s="357" customFormat="1" ht="20.25" customHeight="1">
      <c r="A680" s="358" t="s">
        <v>556</v>
      </c>
    </row>
    <row r="682" spans="1:7">
      <c r="A682" s="9" t="s">
        <v>93</v>
      </c>
      <c r="B682" s="16"/>
      <c r="C682" s="16"/>
      <c r="D682" s="16"/>
      <c r="E682" s="16"/>
      <c r="F682" s="16"/>
      <c r="G682" s="16"/>
    </row>
    <row r="683" spans="1:7">
      <c r="A683" s="27" t="str">
        <f>Input!E3</f>
        <v>XXX AG</v>
      </c>
    </row>
    <row r="684" spans="1:7">
      <c r="E684" s="27">
        <f>Input!H68</f>
        <v>2013</v>
      </c>
      <c r="F684" s="27">
        <f>Input!I68</f>
        <v>2014</v>
      </c>
      <c r="G684" s="27">
        <f>Input!J68</f>
        <v>2015</v>
      </c>
    </row>
    <row r="685" spans="1:7">
      <c r="A685" s="2" t="s">
        <v>49</v>
      </c>
      <c r="E685" s="65">
        <f>Input!H72</f>
        <v>0.50847457627118642</v>
      </c>
      <c r="F685" s="65">
        <f>Input!I72</f>
        <v>0.51639344262295084</v>
      </c>
      <c r="G685" s="65">
        <f>Input!J72</f>
        <v>0.52985074626865669</v>
      </c>
    </row>
    <row r="686" spans="1:7">
      <c r="E686" s="65"/>
      <c r="F686" s="65"/>
      <c r="G686" s="65"/>
    </row>
    <row r="687" spans="1:7">
      <c r="A687" s="92" t="s">
        <v>10</v>
      </c>
      <c r="E687" s="93">
        <v>0.56999999999999995</v>
      </c>
      <c r="F687" s="93">
        <v>0.59</v>
      </c>
      <c r="G687" s="93">
        <v>0.62</v>
      </c>
    </row>
    <row r="688" spans="1:7">
      <c r="A688" s="92" t="s">
        <v>11</v>
      </c>
      <c r="E688" s="93">
        <v>0.53</v>
      </c>
      <c r="F688" s="93">
        <v>0.55000000000000004</v>
      </c>
      <c r="G688" s="93">
        <v>0.56999999999999995</v>
      </c>
    </row>
    <row r="689" spans="1:7">
      <c r="A689" s="92" t="s">
        <v>12</v>
      </c>
      <c r="E689" s="93">
        <v>0.52</v>
      </c>
      <c r="F689" s="93">
        <v>0.53</v>
      </c>
      <c r="G689" s="93">
        <v>0.54</v>
      </c>
    </row>
    <row r="690" spans="1:7">
      <c r="E690" s="65"/>
      <c r="F690" s="65"/>
      <c r="G690" s="65"/>
    </row>
    <row r="691" spans="1:7">
      <c r="E691" s="65"/>
      <c r="F691" s="65"/>
      <c r="G691" s="65"/>
    </row>
    <row r="692" spans="1:7">
      <c r="A692" s="27" t="s">
        <v>115</v>
      </c>
      <c r="E692" s="65"/>
      <c r="F692" s="65"/>
      <c r="G692" s="65"/>
    </row>
    <row r="693" spans="1:7">
      <c r="A693" s="27" t="s">
        <v>14</v>
      </c>
    </row>
    <row r="697" spans="1:7">
      <c r="A697" s="9"/>
      <c r="B697" s="16"/>
      <c r="C697" s="16"/>
      <c r="D697" s="16"/>
    </row>
    <row r="698" spans="1:7" ht="19.5" customHeight="1">
      <c r="A698" s="377" t="str">
        <f>CONCATENATE(A685," in comparison to analysts' expectations")</f>
        <v>Gross profit margin in comparison to analysts' expectations</v>
      </c>
      <c r="B698" s="377"/>
      <c r="C698" s="377"/>
      <c r="D698" s="377"/>
      <c r="E698" s="377"/>
      <c r="F698" s="377"/>
      <c r="G698" s="377"/>
    </row>
    <row r="699" spans="1:7">
      <c r="A699" s="376"/>
      <c r="B699" s="713"/>
      <c r="C699" s="713"/>
      <c r="D699" s="713"/>
      <c r="E699" s="713">
        <f>E684</f>
        <v>2013</v>
      </c>
      <c r="F699" s="713">
        <f t="shared" ref="F699:G699" si="201">F684</f>
        <v>2014</v>
      </c>
      <c r="G699" s="714">
        <f t="shared" si="201"/>
        <v>2015</v>
      </c>
    </row>
    <row r="700" spans="1:7">
      <c r="A700" s="388" t="str">
        <f>A683</f>
        <v>XXX AG</v>
      </c>
      <c r="B700" s="715"/>
      <c r="C700" s="715"/>
      <c r="D700" s="715"/>
      <c r="E700" s="307">
        <f>E685</f>
        <v>0.50847457627118642</v>
      </c>
      <c r="F700" s="307">
        <f t="shared" ref="F700:G700" si="202">F685</f>
        <v>0.51639344262295084</v>
      </c>
      <c r="G700" s="716">
        <f t="shared" si="202"/>
        <v>0.52985074626865669</v>
      </c>
    </row>
    <row r="701" spans="1:7">
      <c r="A701" s="388" t="str">
        <f>A687</f>
        <v>Analyst A</v>
      </c>
      <c r="B701" s="715"/>
      <c r="C701" s="715"/>
      <c r="D701" s="715"/>
      <c r="E701" s="307">
        <f>E687</f>
        <v>0.56999999999999995</v>
      </c>
      <c r="F701" s="307">
        <f t="shared" ref="F701:G701" si="203">F687</f>
        <v>0.59</v>
      </c>
      <c r="G701" s="716">
        <f t="shared" si="203"/>
        <v>0.62</v>
      </c>
    </row>
    <row r="702" spans="1:7">
      <c r="A702" s="388" t="str">
        <f t="shared" ref="A702:A703" si="204">A688</f>
        <v>Analyst B</v>
      </c>
      <c r="B702" s="715"/>
      <c r="C702" s="715"/>
      <c r="D702" s="715"/>
      <c r="E702" s="307">
        <f t="shared" ref="E702:G702" si="205">E688</f>
        <v>0.53</v>
      </c>
      <c r="F702" s="307">
        <f t="shared" si="205"/>
        <v>0.55000000000000004</v>
      </c>
      <c r="G702" s="716">
        <f t="shared" si="205"/>
        <v>0.56999999999999995</v>
      </c>
    </row>
    <row r="703" spans="1:7">
      <c r="A703" s="388" t="str">
        <f t="shared" si="204"/>
        <v>Analyst C</v>
      </c>
      <c r="B703" s="715"/>
      <c r="C703" s="715"/>
      <c r="D703" s="715"/>
      <c r="E703" s="307">
        <f t="shared" ref="E703:G703" si="206">E689</f>
        <v>0.52</v>
      </c>
      <c r="F703" s="307">
        <f t="shared" si="206"/>
        <v>0.53</v>
      </c>
      <c r="G703" s="716">
        <f t="shared" si="206"/>
        <v>0.54</v>
      </c>
    </row>
    <row r="704" spans="1:7" ht="3" customHeight="1">
      <c r="A704" s="388"/>
      <c r="B704" s="715"/>
      <c r="C704" s="715"/>
      <c r="D704" s="715"/>
      <c r="E704" s="307"/>
      <c r="F704" s="307"/>
      <c r="G704" s="716"/>
    </row>
    <row r="705" spans="1:7">
      <c r="A705" s="717" t="s">
        <v>13</v>
      </c>
      <c r="B705" s="718"/>
      <c r="C705" s="718"/>
      <c r="D705" s="718"/>
      <c r="E705" s="719">
        <f>MIN(E701:E703)</f>
        <v>0.52</v>
      </c>
      <c r="F705" s="719">
        <f t="shared" ref="F705:G705" si="207">MIN(F701:F703)</f>
        <v>0.53</v>
      </c>
      <c r="G705" s="720">
        <f t="shared" si="207"/>
        <v>0.54</v>
      </c>
    </row>
    <row r="706" spans="1:7">
      <c r="A706" s="721" t="s">
        <v>116</v>
      </c>
      <c r="B706" s="722"/>
      <c r="C706" s="722"/>
      <c r="D706" s="722"/>
      <c r="E706" s="723">
        <f>MAX(E701:E703)</f>
        <v>0.56999999999999995</v>
      </c>
      <c r="F706" s="723">
        <f t="shared" ref="F706:G706" si="208">MAX(F701:F703)</f>
        <v>0.59</v>
      </c>
      <c r="G706" s="724">
        <f t="shared" si="208"/>
        <v>0.62</v>
      </c>
    </row>
    <row r="707" spans="1:7" ht="12" thickBot="1">
      <c r="A707" s="725" t="s">
        <v>15</v>
      </c>
      <c r="B707" s="726"/>
      <c r="C707" s="726"/>
      <c r="D707" s="726"/>
      <c r="E707" s="727">
        <f>AVERAGE(E701:E703)</f>
        <v>0.54</v>
      </c>
      <c r="F707" s="727">
        <f t="shared" ref="F707:G707" si="209">AVERAGE(F701:F703)</f>
        <v>0.55666666666666675</v>
      </c>
      <c r="G707" s="728">
        <f t="shared" si="209"/>
        <v>0.57666666666666666</v>
      </c>
    </row>
    <row r="710" spans="1:7" s="233" customFormat="1"/>
    <row r="711" spans="1:7" s="233" customFormat="1"/>
    <row r="712" spans="1:7" s="233" customFormat="1"/>
    <row r="713" spans="1:7" s="233" customFormat="1"/>
    <row r="714" spans="1:7" s="233" customFormat="1"/>
    <row r="715" spans="1:7" s="233" customFormat="1"/>
    <row r="716" spans="1:7" s="233" customFormat="1"/>
    <row r="717" spans="1:7" s="233" customFormat="1"/>
    <row r="718" spans="1:7" s="233" customFormat="1"/>
    <row r="719" spans="1:7" s="233" customFormat="1"/>
    <row r="720" spans="1:7" s="233" customFormat="1"/>
    <row r="721" s="233" customFormat="1"/>
    <row r="722" s="233" customFormat="1"/>
    <row r="723" s="233" customFormat="1"/>
    <row r="724" s="233" customFormat="1"/>
    <row r="725" s="233" customFormat="1"/>
    <row r="726" s="233" customFormat="1"/>
    <row r="727" s="233" customFormat="1"/>
    <row r="728" s="233" customFormat="1"/>
    <row r="729" s="233" customFormat="1"/>
    <row r="730" s="233" customFormat="1"/>
    <row r="731" s="233" customFormat="1"/>
    <row r="732" s="233" customFormat="1"/>
    <row r="733" s="233" customFormat="1"/>
    <row r="734" s="233" customFormat="1"/>
    <row r="735" s="233" customFormat="1"/>
    <row r="736" s="233" customFormat="1"/>
    <row r="737" s="233" customFormat="1"/>
    <row r="738" s="233" customFormat="1"/>
    <row r="739" s="233" customFormat="1"/>
    <row r="740" s="233" customFormat="1"/>
    <row r="741" s="233" customFormat="1"/>
  </sheetData>
  <mergeCells count="22">
    <mergeCell ref="B526:D526"/>
    <mergeCell ref="E526:G526"/>
    <mergeCell ref="B593:D593"/>
    <mergeCell ref="E593:G593"/>
    <mergeCell ref="B176:D176"/>
    <mergeCell ref="E176:G176"/>
    <mergeCell ref="B278:D278"/>
    <mergeCell ref="E278:G278"/>
    <mergeCell ref="B326:D326"/>
    <mergeCell ref="E326:G326"/>
    <mergeCell ref="B366:D366"/>
    <mergeCell ref="E366:G366"/>
    <mergeCell ref="B429:D429"/>
    <mergeCell ref="E429:G429"/>
    <mergeCell ref="B491:D491"/>
    <mergeCell ref="E491:G491"/>
    <mergeCell ref="B64:D64"/>
    <mergeCell ref="E64:G64"/>
    <mergeCell ref="B99:D99"/>
    <mergeCell ref="E99:G99"/>
    <mergeCell ref="B140:D140"/>
    <mergeCell ref="E140:G140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E2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4</v>
      </c>
      <c r="C2">
        <v>7</v>
      </c>
      <c r="D2">
        <v>15</v>
      </c>
      <c r="E2" t="s">
        <v>37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E2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5</v>
      </c>
      <c r="C2">
        <v>4</v>
      </c>
      <c r="D2">
        <v>14</v>
      </c>
      <c r="E2" t="s">
        <v>38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5"/>
  <dimension ref="A1:R182"/>
  <sheetViews>
    <sheetView topLeftCell="A37" zoomScaleNormal="100" workbookViewId="0">
      <selection activeCell="K68" sqref="K68"/>
    </sheetView>
  </sheetViews>
  <sheetFormatPr defaultColWidth="11.5" defaultRowHeight="11.25"/>
  <cols>
    <col min="1" max="1" width="17.83203125" style="27" customWidth="1"/>
    <col min="2" max="8" width="7" style="27" customWidth="1"/>
    <col min="9" max="9" width="10" style="27" customWidth="1"/>
    <col min="10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117</v>
      </c>
    </row>
    <row r="2" spans="1:7" ht="20.25" customHeight="1">
      <c r="A2" s="48" t="s">
        <v>200</v>
      </c>
    </row>
    <row r="3" spans="1:7" ht="20.25" customHeight="1">
      <c r="A3" s="48" t="s">
        <v>206</v>
      </c>
    </row>
    <row r="4" spans="1:7" ht="20.25" customHeight="1">
      <c r="A4" s="48"/>
    </row>
    <row r="5" spans="1:7" ht="20.25" customHeight="1">
      <c r="A5" s="47"/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3" spans="1:7" ht="13.5" customHeight="1"/>
    <row r="15" spans="1:7" ht="12" customHeight="1">
      <c r="A15" s="9" t="s">
        <v>93</v>
      </c>
      <c r="B15" s="16"/>
      <c r="C15" s="16"/>
      <c r="D15" s="16"/>
      <c r="E15" s="16"/>
      <c r="F15" s="16"/>
      <c r="G15" s="16"/>
    </row>
    <row r="16" spans="1:7">
      <c r="D16" s="54" t="str">
        <f>Input!G13</f>
        <v>Actual</v>
      </c>
      <c r="E16" s="54" t="s">
        <v>119</v>
      </c>
      <c r="F16" s="54" t="s">
        <v>120</v>
      </c>
      <c r="G16" s="54" t="s">
        <v>121</v>
      </c>
    </row>
    <row r="17" spans="1:13">
      <c r="A17" s="27" t="str">
        <f>Input!D13</f>
        <v>€m</v>
      </c>
      <c r="D17" s="98">
        <f>Input!G12</f>
        <v>2012</v>
      </c>
      <c r="E17" s="98">
        <f>Input!H12</f>
        <v>2013</v>
      </c>
      <c r="F17" s="98">
        <f>E17</f>
        <v>2013</v>
      </c>
      <c r="G17" s="98">
        <f>F17</f>
        <v>2013</v>
      </c>
    </row>
    <row r="18" spans="1:13">
      <c r="A18" s="27" t="str">
        <f>Input!D70</f>
        <v>Sales</v>
      </c>
      <c r="D18" s="33">
        <f>Input!G70</f>
        <v>56</v>
      </c>
      <c r="E18" s="33">
        <f>Input!H70</f>
        <v>59</v>
      </c>
      <c r="F18" s="97">
        <v>30.1</v>
      </c>
      <c r="G18" s="97">
        <v>60</v>
      </c>
      <c r="J18" s="10"/>
      <c r="K18" s="10" t="s">
        <v>47</v>
      </c>
      <c r="L18" s="10" t="s">
        <v>48</v>
      </c>
      <c r="M18" s="10" t="s">
        <v>1</v>
      </c>
    </row>
    <row r="19" spans="1:13">
      <c r="A19" s="92" t="s">
        <v>32</v>
      </c>
      <c r="D19" s="97">
        <v>39.299999999999997</v>
      </c>
      <c r="E19" s="97">
        <f>D19/D$18*E$18</f>
        <v>41.405357142857142</v>
      </c>
      <c r="F19" s="97">
        <f t="shared" ref="F19:G19" si="0">E19/E$18*F$18</f>
        <v>21.123750000000001</v>
      </c>
      <c r="G19" s="97">
        <f t="shared" si="0"/>
        <v>42.107142857142854</v>
      </c>
      <c r="J19" s="10" t="str">
        <f>CONCATENATE(D16," ",D17)</f>
        <v>Actual 2012</v>
      </c>
      <c r="K19" s="101">
        <f>D18</f>
        <v>56</v>
      </c>
      <c r="L19" s="101">
        <f>D24</f>
        <v>28</v>
      </c>
      <c r="M19" s="101">
        <f>D30</f>
        <v>8.5</v>
      </c>
    </row>
    <row r="20" spans="1:13">
      <c r="A20" s="92" t="s">
        <v>33</v>
      </c>
      <c r="D20" s="97">
        <v>11.8</v>
      </c>
      <c r="E20" s="97">
        <f t="shared" ref="E20:G22" si="1">D20/D$18*E$18</f>
        <v>12.432142857142857</v>
      </c>
      <c r="F20" s="97">
        <f t="shared" si="1"/>
        <v>6.3425000000000002</v>
      </c>
      <c r="G20" s="97">
        <f t="shared" si="1"/>
        <v>12.642857142857142</v>
      </c>
      <c r="J20" s="16" t="str">
        <f>CONCATENATE(E16," ",E17)</f>
        <v>Budget 2013</v>
      </c>
      <c r="K20" s="101">
        <f>E18</f>
        <v>59</v>
      </c>
      <c r="L20" s="101">
        <f>E24</f>
        <v>30</v>
      </c>
      <c r="M20" s="101">
        <f>E30</f>
        <v>10</v>
      </c>
    </row>
    <row r="21" spans="1:13">
      <c r="A21" s="92" t="s">
        <v>34</v>
      </c>
      <c r="D21" s="97">
        <v>4</v>
      </c>
      <c r="E21" s="97">
        <f t="shared" si="1"/>
        <v>4.2142857142857144</v>
      </c>
      <c r="F21" s="97">
        <f t="shared" si="1"/>
        <v>2.15</v>
      </c>
      <c r="G21" s="97">
        <f t="shared" si="1"/>
        <v>4.2857142857142856</v>
      </c>
      <c r="J21" s="16" t="str">
        <f>CONCATENATE(G16," ",G17)</f>
        <v>FC 2013</v>
      </c>
      <c r="K21" s="101">
        <f>G18</f>
        <v>60</v>
      </c>
      <c r="L21" s="101">
        <f>G24</f>
        <v>31.299999999999997</v>
      </c>
      <c r="M21" s="101">
        <f>G30</f>
        <v>9.1999999999999993</v>
      </c>
    </row>
    <row r="22" spans="1:13">
      <c r="A22" s="92" t="s">
        <v>35</v>
      </c>
      <c r="D22" s="97">
        <f>D18-SUM(D19:D21)</f>
        <v>0.90000000000000568</v>
      </c>
      <c r="E22" s="97">
        <f t="shared" si="1"/>
        <v>0.94821428571429178</v>
      </c>
      <c r="F22" s="97">
        <f t="shared" si="1"/>
        <v>0.48375000000000312</v>
      </c>
      <c r="G22" s="97">
        <f t="shared" si="1"/>
        <v>0.96428571428572041</v>
      </c>
    </row>
    <row r="23" spans="1:13" s="85" customFormat="1" ht="8.25">
      <c r="A23" s="85" t="s">
        <v>106</v>
      </c>
      <c r="D23" s="86">
        <f>D18-SUM(D19:D22)</f>
        <v>0</v>
      </c>
      <c r="E23" s="86">
        <f t="shared" ref="E23" si="2">E18-SUM(E19:E22)</f>
        <v>0</v>
      </c>
      <c r="F23" s="86">
        <f t="shared" ref="F23" si="3">F18-SUM(F19:F22)</f>
        <v>0</v>
      </c>
      <c r="G23" s="86">
        <f t="shared" ref="G23" si="4">G18-SUM(G19:G22)</f>
        <v>0</v>
      </c>
    </row>
    <row r="24" spans="1:13">
      <c r="A24" s="27" t="str">
        <f>Input!D71</f>
        <v>Gross profit</v>
      </c>
      <c r="D24" s="33">
        <f>Input!G71</f>
        <v>28</v>
      </c>
      <c r="E24" s="33">
        <f>Input!H71</f>
        <v>30</v>
      </c>
      <c r="F24" s="97">
        <v>15.8</v>
      </c>
      <c r="G24" s="97">
        <v>31.299999999999997</v>
      </c>
    </row>
    <row r="25" spans="1:13">
      <c r="A25" s="27" t="str">
        <f>A19</f>
        <v>Segment A</v>
      </c>
      <c r="D25" s="97">
        <v>19.399999999999999</v>
      </c>
      <c r="E25" s="97">
        <v>20.2</v>
      </c>
      <c r="F25" s="97">
        <v>11.5</v>
      </c>
      <c r="G25" s="97">
        <v>22</v>
      </c>
    </row>
    <row r="26" spans="1:13">
      <c r="A26" s="27" t="str">
        <f t="shared" ref="A26:A28" si="5">A20</f>
        <v>Segment B</v>
      </c>
      <c r="D26" s="97">
        <v>5.8</v>
      </c>
      <c r="E26" s="97">
        <v>6.4</v>
      </c>
      <c r="F26" s="97">
        <v>3</v>
      </c>
      <c r="G26" s="97">
        <v>6.4</v>
      </c>
    </row>
    <row r="27" spans="1:13">
      <c r="A27" s="27" t="str">
        <f t="shared" si="5"/>
        <v>Segment C</v>
      </c>
      <c r="D27" s="97">
        <v>2.1</v>
      </c>
      <c r="E27" s="97">
        <v>2.7</v>
      </c>
      <c r="F27" s="97">
        <v>1.2</v>
      </c>
      <c r="G27" s="97">
        <v>2.5</v>
      </c>
    </row>
    <row r="28" spans="1:13">
      <c r="A28" s="27" t="str">
        <f t="shared" si="5"/>
        <v>Segment D</v>
      </c>
      <c r="D28" s="97">
        <v>0.69999999999999929</v>
      </c>
      <c r="E28" s="97">
        <v>0.69999999999999929</v>
      </c>
      <c r="F28" s="97">
        <v>0.10000000000000142</v>
      </c>
      <c r="G28" s="97">
        <v>0.4</v>
      </c>
    </row>
    <row r="29" spans="1:13" s="85" customFormat="1" ht="8.25">
      <c r="A29" s="85" t="s">
        <v>106</v>
      </c>
      <c r="D29" s="86">
        <f>D24-SUM(D25:D28)</f>
        <v>0</v>
      </c>
      <c r="E29" s="86">
        <f t="shared" ref="E29:G29" si="6">E24-SUM(E25:E28)</f>
        <v>0</v>
      </c>
      <c r="F29" s="86">
        <f t="shared" si="6"/>
        <v>0</v>
      </c>
      <c r="G29" s="86">
        <f t="shared" si="6"/>
        <v>0</v>
      </c>
    </row>
    <row r="30" spans="1:13">
      <c r="A30" s="27" t="str">
        <f>Input!D77</f>
        <v>EBIT</v>
      </c>
      <c r="D30" s="33">
        <f>Input!G77</f>
        <v>8.5</v>
      </c>
      <c r="E30" s="33">
        <f>Input!H77</f>
        <v>10</v>
      </c>
      <c r="F30" s="97">
        <v>4.7</v>
      </c>
      <c r="G30" s="97">
        <v>9.1999999999999993</v>
      </c>
    </row>
    <row r="31" spans="1:13">
      <c r="A31" s="27" t="str">
        <f>A25</f>
        <v>Segment A</v>
      </c>
      <c r="D31" s="97">
        <v>5.8892857142857142</v>
      </c>
      <c r="E31" s="97">
        <v>6.7333333333333334</v>
      </c>
      <c r="F31" s="97">
        <v>3.4208860759493671</v>
      </c>
      <c r="G31" s="97">
        <v>6.4664536741214054</v>
      </c>
    </row>
    <row r="32" spans="1:13">
      <c r="A32" s="27" t="str">
        <f t="shared" ref="A32:A34" si="7">A26</f>
        <v>Segment B</v>
      </c>
      <c r="D32" s="97">
        <v>1.7607142857142857</v>
      </c>
      <c r="E32" s="97">
        <v>2.1333333333333333</v>
      </c>
      <c r="F32" s="97">
        <v>0.89240506329113922</v>
      </c>
      <c r="G32" s="97">
        <v>1.8811501597444089</v>
      </c>
    </row>
    <row r="33" spans="1:13">
      <c r="A33" s="27" t="str">
        <f t="shared" si="7"/>
        <v>Segment C</v>
      </c>
      <c r="D33" s="97">
        <v>0.63749999999999996</v>
      </c>
      <c r="E33" s="97">
        <v>0.90000000000000013</v>
      </c>
      <c r="F33" s="97">
        <v>0.35696202531645566</v>
      </c>
      <c r="G33" s="97">
        <v>0.73482428115015974</v>
      </c>
    </row>
    <row r="34" spans="1:13">
      <c r="A34" s="27" t="str">
        <f t="shared" si="7"/>
        <v>Segment D</v>
      </c>
      <c r="D34" s="97">
        <v>0.21249999999999977</v>
      </c>
      <c r="E34" s="97">
        <v>0.23333333333333311</v>
      </c>
      <c r="F34" s="97">
        <v>2.9746835443038397E-2</v>
      </c>
      <c r="G34" s="97">
        <v>0.11757188498402556</v>
      </c>
    </row>
    <row r="35" spans="1:13" s="85" customFormat="1" ht="8.25">
      <c r="A35" s="85" t="s">
        <v>118</v>
      </c>
      <c r="D35" s="86">
        <f>D30-SUM(D31:D34)</f>
        <v>0</v>
      </c>
      <c r="E35" s="86">
        <f t="shared" ref="E35" si="8">E30-SUM(E31:E34)</f>
        <v>0</v>
      </c>
      <c r="F35" s="86">
        <f t="shared" ref="F35" si="9">F30-SUM(F31:F34)</f>
        <v>0</v>
      </c>
      <c r="G35" s="86">
        <f t="shared" ref="G35" si="10">G30-SUM(G31:G34)</f>
        <v>0</v>
      </c>
    </row>
    <row r="36" spans="1:13">
      <c r="A36" s="27" t="str">
        <f>Input!D73</f>
        <v>EBITDA</v>
      </c>
      <c r="D36" s="33">
        <f>Input!G73</f>
        <v>13.5</v>
      </c>
      <c r="E36" s="33">
        <f>Input!H73</f>
        <v>15</v>
      </c>
      <c r="F36" s="97">
        <v>7.1</v>
      </c>
      <c r="G36" s="97">
        <v>14.4</v>
      </c>
    </row>
    <row r="37" spans="1:13">
      <c r="A37" s="27" t="str">
        <f>A31</f>
        <v>Segment A</v>
      </c>
      <c r="D37" s="97">
        <v>9.3535714285714278</v>
      </c>
      <c r="E37" s="97">
        <v>10.1</v>
      </c>
      <c r="F37" s="97">
        <v>5.1677215189873413</v>
      </c>
      <c r="G37" s="97">
        <v>10.121405750798722</v>
      </c>
    </row>
    <row r="38" spans="1:13">
      <c r="A38" s="27" t="str">
        <f t="shared" ref="A38:A40" si="11">A32</f>
        <v>Segment B</v>
      </c>
      <c r="D38" s="97">
        <v>2.7964285714285713</v>
      </c>
      <c r="E38" s="97">
        <v>3.2</v>
      </c>
      <c r="F38" s="97">
        <v>1.3481012658227847</v>
      </c>
      <c r="G38" s="97">
        <v>2.9444089456869009</v>
      </c>
    </row>
    <row r="39" spans="1:13">
      <c r="A39" s="27" t="str">
        <f t="shared" si="11"/>
        <v>Segment C</v>
      </c>
      <c r="D39" s="97">
        <v>1.0125</v>
      </c>
      <c r="E39" s="97">
        <v>1.35</v>
      </c>
      <c r="F39" s="97">
        <v>0.5392405063291138</v>
      </c>
      <c r="G39" s="97">
        <v>1.1501597444089458</v>
      </c>
    </row>
    <row r="40" spans="1:13">
      <c r="A40" s="27" t="str">
        <f t="shared" si="11"/>
        <v>Segment D</v>
      </c>
      <c r="D40" s="97">
        <v>0.33749999999999963</v>
      </c>
      <c r="E40" s="97">
        <v>0.3499999999999997</v>
      </c>
      <c r="F40" s="97">
        <v>4.4936708860760122E-2</v>
      </c>
      <c r="G40" s="97">
        <v>0.18402555910543131</v>
      </c>
    </row>
    <row r="41" spans="1:13">
      <c r="A41" s="85" t="s">
        <v>118</v>
      </c>
      <c r="B41" s="85"/>
      <c r="C41" s="85"/>
      <c r="D41" s="86">
        <f>D36-SUM(D37:D40)</f>
        <v>0</v>
      </c>
      <c r="E41" s="86">
        <f t="shared" ref="E41" si="12">E36-SUM(E37:E40)</f>
        <v>0</v>
      </c>
      <c r="F41" s="86">
        <f t="shared" ref="F41" si="13">F36-SUM(F37:F40)</f>
        <v>0</v>
      </c>
      <c r="G41" s="86">
        <f t="shared" ref="G41" si="14">G36-SUM(G37:G40)</f>
        <v>0</v>
      </c>
    </row>
    <row r="42" spans="1:13">
      <c r="A42" s="85"/>
      <c r="B42" s="85"/>
      <c r="C42" s="85"/>
      <c r="D42" s="86"/>
      <c r="E42" s="86"/>
      <c r="F42" s="86"/>
      <c r="G42" s="86"/>
    </row>
    <row r="43" spans="1:13" ht="19.5" customHeight="1">
      <c r="A43" s="377" t="s">
        <v>99</v>
      </c>
      <c r="B43" s="377"/>
      <c r="C43" s="377"/>
      <c r="D43" s="377"/>
      <c r="E43" s="377"/>
      <c r="F43" s="377"/>
      <c r="G43" s="377"/>
    </row>
    <row r="44" spans="1:13" ht="12" customHeight="1">
      <c r="A44" s="417"/>
      <c r="B44" s="3"/>
      <c r="C44" s="3"/>
      <c r="D44" s="3" t="str">
        <f>D16</f>
        <v>Actual</v>
      </c>
      <c r="E44" s="512" t="str">
        <f t="shared" ref="E44:G44" si="15">E16</f>
        <v>Budget</v>
      </c>
      <c r="F44" s="3" t="str">
        <f t="shared" si="15"/>
        <v>1H</v>
      </c>
      <c r="G44" s="510" t="str">
        <f t="shared" si="15"/>
        <v>FC</v>
      </c>
      <c r="J44" s="16"/>
      <c r="K44" s="16" t="s">
        <v>47</v>
      </c>
      <c r="L44" s="16" t="s">
        <v>48</v>
      </c>
      <c r="M44" s="16" t="s">
        <v>0</v>
      </c>
    </row>
    <row r="45" spans="1:13" ht="12" customHeight="1">
      <c r="A45" s="447" t="str">
        <f>A17</f>
        <v>€m</v>
      </c>
      <c r="B45" s="19"/>
      <c r="C45" s="19"/>
      <c r="D45" s="19">
        <f>D17</f>
        <v>2012</v>
      </c>
      <c r="E45" s="513">
        <f t="shared" ref="E45:G45" si="16">E17</f>
        <v>2013</v>
      </c>
      <c r="F45" s="19">
        <f t="shared" si="16"/>
        <v>2013</v>
      </c>
      <c r="G45" s="511">
        <f t="shared" si="16"/>
        <v>2013</v>
      </c>
      <c r="J45" s="101" t="str">
        <f>J19</f>
        <v>Actual 2012</v>
      </c>
      <c r="K45" s="101">
        <f>D18</f>
        <v>56</v>
      </c>
      <c r="L45" s="101">
        <f>D24</f>
        <v>28</v>
      </c>
      <c r="M45" s="101">
        <f>D36</f>
        <v>13.5</v>
      </c>
    </row>
    <row r="46" spans="1:13" s="9" customFormat="1" ht="12" customHeight="1">
      <c r="A46" s="475" t="str">
        <f>A18</f>
        <v>Sales</v>
      </c>
      <c r="B46" s="476"/>
      <c r="C46" s="476"/>
      <c r="D46" s="476">
        <f t="shared" ref="D46:G50" si="17">D18</f>
        <v>56</v>
      </c>
      <c r="E46" s="504">
        <f t="shared" si="17"/>
        <v>59</v>
      </c>
      <c r="F46" s="476">
        <f t="shared" si="17"/>
        <v>30.1</v>
      </c>
      <c r="G46" s="507">
        <f t="shared" si="17"/>
        <v>60</v>
      </c>
      <c r="J46" s="101" t="str">
        <f t="shared" ref="J46:J47" si="18">J20</f>
        <v>Budget 2013</v>
      </c>
      <c r="K46" s="101">
        <f>E18</f>
        <v>59</v>
      </c>
      <c r="L46" s="101">
        <f>E24</f>
        <v>30</v>
      </c>
      <c r="M46" s="101">
        <f>E36</f>
        <v>15</v>
      </c>
    </row>
    <row r="47" spans="1:13" ht="12" customHeight="1">
      <c r="A47" s="421" t="str">
        <f t="shared" ref="A47:A50" si="19">A19</f>
        <v>Segment A</v>
      </c>
      <c r="B47" s="56"/>
      <c r="C47" s="56"/>
      <c r="D47" s="56">
        <f t="shared" si="17"/>
        <v>39.299999999999997</v>
      </c>
      <c r="E47" s="505">
        <f t="shared" si="17"/>
        <v>41.405357142857142</v>
      </c>
      <c r="F47" s="56">
        <f t="shared" si="17"/>
        <v>21.123750000000001</v>
      </c>
      <c r="G47" s="508">
        <f t="shared" si="17"/>
        <v>42.107142857142854</v>
      </c>
      <c r="J47" s="101" t="str">
        <f t="shared" si="18"/>
        <v>FC 2013</v>
      </c>
      <c r="K47" s="101">
        <f>G18</f>
        <v>60</v>
      </c>
      <c r="L47" s="101">
        <f>G24</f>
        <v>31.299999999999997</v>
      </c>
      <c r="M47" s="101">
        <f>G36</f>
        <v>14.4</v>
      </c>
    </row>
    <row r="48" spans="1:13" ht="12" customHeight="1">
      <c r="A48" s="421" t="str">
        <f t="shared" si="19"/>
        <v>Segment B</v>
      </c>
      <c r="B48" s="56"/>
      <c r="C48" s="56"/>
      <c r="D48" s="56">
        <f t="shared" si="17"/>
        <v>11.8</v>
      </c>
      <c r="E48" s="505">
        <f t="shared" si="17"/>
        <v>12.432142857142857</v>
      </c>
      <c r="F48" s="56">
        <f t="shared" si="17"/>
        <v>6.3425000000000002</v>
      </c>
      <c r="G48" s="508">
        <f t="shared" si="17"/>
        <v>12.642857142857142</v>
      </c>
    </row>
    <row r="49" spans="1:7" ht="12" customHeight="1">
      <c r="A49" s="421" t="str">
        <f t="shared" si="19"/>
        <v>Segment C</v>
      </c>
      <c r="B49" s="56"/>
      <c r="C49" s="56"/>
      <c r="D49" s="56">
        <f t="shared" si="17"/>
        <v>4</v>
      </c>
      <c r="E49" s="505">
        <f t="shared" si="17"/>
        <v>4.2142857142857144</v>
      </c>
      <c r="F49" s="56">
        <f t="shared" si="17"/>
        <v>2.15</v>
      </c>
      <c r="G49" s="508">
        <f t="shared" si="17"/>
        <v>4.2857142857142856</v>
      </c>
    </row>
    <row r="50" spans="1:7" ht="12" customHeight="1">
      <c r="A50" s="421" t="str">
        <f t="shared" si="19"/>
        <v>Segment D</v>
      </c>
      <c r="B50" s="56"/>
      <c r="C50" s="56"/>
      <c r="D50" s="56">
        <f t="shared" si="17"/>
        <v>0.90000000000000568</v>
      </c>
      <c r="E50" s="505">
        <f t="shared" si="17"/>
        <v>0.94821428571429178</v>
      </c>
      <c r="F50" s="56">
        <f t="shared" si="17"/>
        <v>0.48375000000000312</v>
      </c>
      <c r="G50" s="508">
        <f t="shared" si="17"/>
        <v>0.96428571428572041</v>
      </c>
    </row>
    <row r="51" spans="1:7" s="9" customFormat="1" ht="12" customHeight="1">
      <c r="A51" s="475" t="str">
        <f>A24</f>
        <v>Gross profit</v>
      </c>
      <c r="B51" s="476"/>
      <c r="C51" s="476"/>
      <c r="D51" s="476">
        <f t="shared" ref="D51:G55" si="20">D24</f>
        <v>28</v>
      </c>
      <c r="E51" s="504">
        <f t="shared" si="20"/>
        <v>30</v>
      </c>
      <c r="F51" s="476">
        <f t="shared" si="20"/>
        <v>15.8</v>
      </c>
      <c r="G51" s="507">
        <f t="shared" si="20"/>
        <v>31.299999999999997</v>
      </c>
    </row>
    <row r="52" spans="1:7" ht="12" customHeight="1">
      <c r="A52" s="421" t="str">
        <f>A25</f>
        <v>Segment A</v>
      </c>
      <c r="B52" s="56"/>
      <c r="C52" s="56"/>
      <c r="D52" s="56">
        <f t="shared" si="20"/>
        <v>19.399999999999999</v>
      </c>
      <c r="E52" s="505">
        <f t="shared" si="20"/>
        <v>20.2</v>
      </c>
      <c r="F52" s="56">
        <f t="shared" si="20"/>
        <v>11.5</v>
      </c>
      <c r="G52" s="508">
        <f t="shared" si="20"/>
        <v>22</v>
      </c>
    </row>
    <row r="53" spans="1:7" ht="12" customHeight="1">
      <c r="A53" s="421" t="str">
        <f>A26</f>
        <v>Segment B</v>
      </c>
      <c r="B53" s="56"/>
      <c r="C53" s="56"/>
      <c r="D53" s="56">
        <f t="shared" si="20"/>
        <v>5.8</v>
      </c>
      <c r="E53" s="505">
        <f t="shared" si="20"/>
        <v>6.4</v>
      </c>
      <c r="F53" s="56">
        <f t="shared" si="20"/>
        <v>3</v>
      </c>
      <c r="G53" s="508">
        <f t="shared" si="20"/>
        <v>6.4</v>
      </c>
    </row>
    <row r="54" spans="1:7" ht="12" customHeight="1">
      <c r="A54" s="421" t="str">
        <f>A27</f>
        <v>Segment C</v>
      </c>
      <c r="B54" s="56"/>
      <c r="C54" s="56"/>
      <c r="D54" s="56">
        <f t="shared" si="20"/>
        <v>2.1</v>
      </c>
      <c r="E54" s="505">
        <f t="shared" si="20"/>
        <v>2.7</v>
      </c>
      <c r="F54" s="56">
        <f t="shared" si="20"/>
        <v>1.2</v>
      </c>
      <c r="G54" s="508">
        <f t="shared" si="20"/>
        <v>2.5</v>
      </c>
    </row>
    <row r="55" spans="1:7" ht="12" customHeight="1">
      <c r="A55" s="421" t="str">
        <f>A28</f>
        <v>Segment D</v>
      </c>
      <c r="B55" s="56"/>
      <c r="C55" s="56"/>
      <c r="D55" s="56">
        <f t="shared" si="20"/>
        <v>0.69999999999999929</v>
      </c>
      <c r="E55" s="505">
        <f t="shared" si="20"/>
        <v>0.69999999999999929</v>
      </c>
      <c r="F55" s="56">
        <f t="shared" si="20"/>
        <v>0.10000000000000142</v>
      </c>
      <c r="G55" s="508">
        <f t="shared" si="20"/>
        <v>0.4</v>
      </c>
    </row>
    <row r="56" spans="1:7" s="9" customFormat="1" ht="12" customHeight="1">
      <c r="A56" s="475" t="str">
        <f>A30</f>
        <v>EBIT</v>
      </c>
      <c r="B56" s="476"/>
      <c r="C56" s="476"/>
      <c r="D56" s="476">
        <f t="shared" ref="D56:G59" si="21">D30</f>
        <v>8.5</v>
      </c>
      <c r="E56" s="504">
        <f t="shared" si="21"/>
        <v>10</v>
      </c>
      <c r="F56" s="476">
        <f t="shared" si="21"/>
        <v>4.7</v>
      </c>
      <c r="G56" s="507">
        <f t="shared" si="21"/>
        <v>9.1999999999999993</v>
      </c>
    </row>
    <row r="57" spans="1:7" ht="12" customHeight="1">
      <c r="A57" s="421" t="str">
        <f>A31</f>
        <v>Segment A</v>
      </c>
      <c r="B57" s="56"/>
      <c r="C57" s="56"/>
      <c r="D57" s="56">
        <f t="shared" si="21"/>
        <v>5.8892857142857142</v>
      </c>
      <c r="E57" s="505">
        <f t="shared" si="21"/>
        <v>6.7333333333333334</v>
      </c>
      <c r="F57" s="56">
        <f t="shared" si="21"/>
        <v>3.4208860759493671</v>
      </c>
      <c r="G57" s="508">
        <f t="shared" si="21"/>
        <v>6.4664536741214054</v>
      </c>
    </row>
    <row r="58" spans="1:7" ht="12" customHeight="1">
      <c r="A58" s="421" t="str">
        <f>A32</f>
        <v>Segment B</v>
      </c>
      <c r="B58" s="56"/>
      <c r="C58" s="56"/>
      <c r="D58" s="56">
        <f t="shared" si="21"/>
        <v>1.7607142857142857</v>
      </c>
      <c r="E58" s="505">
        <f t="shared" si="21"/>
        <v>2.1333333333333333</v>
      </c>
      <c r="F58" s="56">
        <f t="shared" si="21"/>
        <v>0.89240506329113922</v>
      </c>
      <c r="G58" s="508">
        <f t="shared" si="21"/>
        <v>1.8811501597444089</v>
      </c>
    </row>
    <row r="59" spans="1:7" ht="12" customHeight="1">
      <c r="A59" s="421" t="str">
        <f>A33</f>
        <v>Segment C</v>
      </c>
      <c r="B59" s="56"/>
      <c r="C59" s="56"/>
      <c r="D59" s="56">
        <f t="shared" si="21"/>
        <v>0.63749999999999996</v>
      </c>
      <c r="E59" s="505">
        <f t="shared" si="21"/>
        <v>0.90000000000000013</v>
      </c>
      <c r="F59" s="56">
        <f t="shared" si="21"/>
        <v>0.35696202531645566</v>
      </c>
      <c r="G59" s="508">
        <f t="shared" si="21"/>
        <v>0.73482428115015974</v>
      </c>
    </row>
    <row r="60" spans="1:7" ht="12" customHeight="1" thickBot="1">
      <c r="A60" s="450" t="str">
        <f>A34</f>
        <v>Segment D</v>
      </c>
      <c r="B60" s="99"/>
      <c r="C60" s="99"/>
      <c r="D60" s="99">
        <f t="shared" ref="D60:G60" si="22">D34</f>
        <v>0.21249999999999977</v>
      </c>
      <c r="E60" s="514">
        <f t="shared" si="22"/>
        <v>0.23333333333333311</v>
      </c>
      <c r="F60" s="99">
        <f t="shared" si="22"/>
        <v>2.9746835443038397E-2</v>
      </c>
      <c r="G60" s="515">
        <f t="shared" si="22"/>
        <v>0.11757188498402556</v>
      </c>
    </row>
    <row r="63" spans="1:7" ht="19.5" customHeight="1">
      <c r="A63" s="377" t="s">
        <v>99</v>
      </c>
      <c r="B63" s="377"/>
      <c r="C63" s="377"/>
      <c r="D63" s="377"/>
      <c r="E63" s="377"/>
      <c r="F63" s="377"/>
      <c r="G63" s="377"/>
    </row>
    <row r="64" spans="1:7" ht="12" customHeight="1">
      <c r="A64" s="417"/>
      <c r="B64" s="3"/>
      <c r="C64" s="3"/>
      <c r="D64" s="3" t="str">
        <f>D16</f>
        <v>Actual</v>
      </c>
      <c r="E64" s="502" t="str">
        <f t="shared" ref="E64:G64" si="23">E16</f>
        <v>Budget</v>
      </c>
      <c r="F64" s="3" t="str">
        <f t="shared" si="23"/>
        <v>1H</v>
      </c>
      <c r="G64" s="510" t="str">
        <f t="shared" si="23"/>
        <v>FC</v>
      </c>
    </row>
    <row r="65" spans="1:7" ht="12" customHeight="1">
      <c r="A65" s="447" t="str">
        <f>A17</f>
        <v>€m</v>
      </c>
      <c r="B65" s="19"/>
      <c r="C65" s="19"/>
      <c r="D65" s="19">
        <f>D17</f>
        <v>2012</v>
      </c>
      <c r="E65" s="503">
        <f t="shared" ref="E65:G65" si="24">E17</f>
        <v>2013</v>
      </c>
      <c r="F65" s="19">
        <f t="shared" si="24"/>
        <v>2013</v>
      </c>
      <c r="G65" s="511">
        <f t="shared" si="24"/>
        <v>2013</v>
      </c>
    </row>
    <row r="66" spans="1:7" s="9" customFormat="1" ht="12" customHeight="1">
      <c r="A66" s="475" t="str">
        <f t="shared" ref="A66:A77" si="25">A18</f>
        <v>Sales</v>
      </c>
      <c r="B66" s="476"/>
      <c r="C66" s="476"/>
      <c r="D66" s="476">
        <f t="shared" ref="D66:G77" si="26">D18</f>
        <v>56</v>
      </c>
      <c r="E66" s="504">
        <f t="shared" si="26"/>
        <v>59</v>
      </c>
      <c r="F66" s="476">
        <f t="shared" si="26"/>
        <v>30.1</v>
      </c>
      <c r="G66" s="507">
        <f t="shared" si="26"/>
        <v>60</v>
      </c>
    </row>
    <row r="67" spans="1:7" ht="12" customHeight="1">
      <c r="A67" s="421" t="str">
        <f t="shared" si="25"/>
        <v>Segment A</v>
      </c>
      <c r="B67" s="56"/>
      <c r="C67" s="56"/>
      <c r="D67" s="56">
        <f t="shared" si="26"/>
        <v>39.299999999999997</v>
      </c>
      <c r="E67" s="505">
        <f t="shared" si="26"/>
        <v>41.405357142857142</v>
      </c>
      <c r="F67" s="56">
        <f t="shared" si="26"/>
        <v>21.123750000000001</v>
      </c>
      <c r="G67" s="508">
        <f t="shared" si="26"/>
        <v>42.107142857142854</v>
      </c>
    </row>
    <row r="68" spans="1:7" ht="12" customHeight="1">
      <c r="A68" s="421" t="str">
        <f t="shared" si="25"/>
        <v>Segment B</v>
      </c>
      <c r="B68" s="56"/>
      <c r="C68" s="56"/>
      <c r="D68" s="56">
        <f t="shared" si="26"/>
        <v>11.8</v>
      </c>
      <c r="E68" s="505">
        <f t="shared" si="26"/>
        <v>12.432142857142857</v>
      </c>
      <c r="F68" s="56">
        <f t="shared" si="26"/>
        <v>6.3425000000000002</v>
      </c>
      <c r="G68" s="508">
        <f t="shared" si="26"/>
        <v>12.642857142857142</v>
      </c>
    </row>
    <row r="69" spans="1:7" ht="12" customHeight="1">
      <c r="A69" s="421" t="str">
        <f t="shared" si="25"/>
        <v>Segment C</v>
      </c>
      <c r="B69" s="56"/>
      <c r="C69" s="56"/>
      <c r="D69" s="56">
        <f t="shared" si="26"/>
        <v>4</v>
      </c>
      <c r="E69" s="505">
        <f t="shared" si="26"/>
        <v>4.2142857142857144</v>
      </c>
      <c r="F69" s="56">
        <f t="shared" si="26"/>
        <v>2.15</v>
      </c>
      <c r="G69" s="508">
        <f t="shared" si="26"/>
        <v>4.2857142857142856</v>
      </c>
    </row>
    <row r="70" spans="1:7" ht="12" customHeight="1">
      <c r="A70" s="421" t="str">
        <f t="shared" si="25"/>
        <v>Segment D</v>
      </c>
      <c r="B70" s="56"/>
      <c r="C70" s="56"/>
      <c r="D70" s="56">
        <f t="shared" si="26"/>
        <v>0.90000000000000568</v>
      </c>
      <c r="E70" s="505">
        <f t="shared" si="26"/>
        <v>0.94821428571429178</v>
      </c>
      <c r="F70" s="56">
        <f t="shared" si="26"/>
        <v>0.48375000000000312</v>
      </c>
      <c r="G70" s="508">
        <f t="shared" si="26"/>
        <v>0.96428571428572041</v>
      </c>
    </row>
    <row r="71" spans="1:7" ht="12" customHeight="1">
      <c r="A71" s="421" t="str">
        <f t="shared" si="25"/>
        <v>check</v>
      </c>
      <c r="B71" s="56"/>
      <c r="C71" s="56"/>
      <c r="D71" s="56">
        <f t="shared" si="26"/>
        <v>0</v>
      </c>
      <c r="E71" s="505">
        <f t="shared" si="26"/>
        <v>0</v>
      </c>
      <c r="F71" s="56">
        <f t="shared" si="26"/>
        <v>0</v>
      </c>
      <c r="G71" s="508">
        <f t="shared" si="26"/>
        <v>0</v>
      </c>
    </row>
    <row r="72" spans="1:7" s="9" customFormat="1" ht="12" customHeight="1">
      <c r="A72" s="475" t="str">
        <f t="shared" si="25"/>
        <v>Gross profit</v>
      </c>
      <c r="B72" s="476"/>
      <c r="C72" s="476"/>
      <c r="D72" s="476">
        <f t="shared" si="26"/>
        <v>28</v>
      </c>
      <c r="E72" s="504">
        <f t="shared" si="26"/>
        <v>30</v>
      </c>
      <c r="F72" s="476">
        <f t="shared" si="26"/>
        <v>15.8</v>
      </c>
      <c r="G72" s="507">
        <f t="shared" si="26"/>
        <v>31.299999999999997</v>
      </c>
    </row>
    <row r="73" spans="1:7" ht="12" customHeight="1">
      <c r="A73" s="421" t="str">
        <f t="shared" si="25"/>
        <v>Segment A</v>
      </c>
      <c r="B73" s="56"/>
      <c r="C73" s="56"/>
      <c r="D73" s="56">
        <f t="shared" si="26"/>
        <v>19.399999999999999</v>
      </c>
      <c r="E73" s="505">
        <f t="shared" si="26"/>
        <v>20.2</v>
      </c>
      <c r="F73" s="56">
        <f t="shared" si="26"/>
        <v>11.5</v>
      </c>
      <c r="G73" s="508">
        <f t="shared" si="26"/>
        <v>22</v>
      </c>
    </row>
    <row r="74" spans="1:7" ht="12" customHeight="1">
      <c r="A74" s="421" t="str">
        <f t="shared" si="25"/>
        <v>Segment B</v>
      </c>
      <c r="B74" s="56"/>
      <c r="C74" s="56"/>
      <c r="D74" s="56">
        <f t="shared" si="26"/>
        <v>5.8</v>
      </c>
      <c r="E74" s="505">
        <f t="shared" si="26"/>
        <v>6.4</v>
      </c>
      <c r="F74" s="56">
        <f t="shared" si="26"/>
        <v>3</v>
      </c>
      <c r="G74" s="508">
        <f t="shared" si="26"/>
        <v>6.4</v>
      </c>
    </row>
    <row r="75" spans="1:7" ht="12" customHeight="1">
      <c r="A75" s="421" t="str">
        <f t="shared" si="25"/>
        <v>Segment C</v>
      </c>
      <c r="B75" s="56"/>
      <c r="C75" s="56"/>
      <c r="D75" s="56">
        <f t="shared" si="26"/>
        <v>2.1</v>
      </c>
      <c r="E75" s="505">
        <f t="shared" si="26"/>
        <v>2.7</v>
      </c>
      <c r="F75" s="56">
        <f t="shared" si="26"/>
        <v>1.2</v>
      </c>
      <c r="G75" s="508">
        <f t="shared" si="26"/>
        <v>2.5</v>
      </c>
    </row>
    <row r="76" spans="1:7" ht="12" customHeight="1">
      <c r="A76" s="421" t="str">
        <f t="shared" si="25"/>
        <v>Segment D</v>
      </c>
      <c r="B76" s="56"/>
      <c r="C76" s="56"/>
      <c r="D76" s="56">
        <f t="shared" si="26"/>
        <v>0.69999999999999929</v>
      </c>
      <c r="E76" s="505">
        <f t="shared" si="26"/>
        <v>0.69999999999999929</v>
      </c>
      <c r="F76" s="56">
        <f t="shared" si="26"/>
        <v>0.10000000000000142</v>
      </c>
      <c r="G76" s="508">
        <f t="shared" si="26"/>
        <v>0.4</v>
      </c>
    </row>
    <row r="77" spans="1:7" ht="12" customHeight="1">
      <c r="A77" s="421" t="str">
        <f t="shared" si="25"/>
        <v>check</v>
      </c>
      <c r="B77" s="56"/>
      <c r="C77" s="56"/>
      <c r="D77" s="56">
        <f t="shared" si="26"/>
        <v>0</v>
      </c>
      <c r="E77" s="505">
        <f t="shared" si="26"/>
        <v>0</v>
      </c>
      <c r="F77" s="56">
        <f t="shared" si="26"/>
        <v>0</v>
      </c>
      <c r="G77" s="508">
        <f t="shared" si="26"/>
        <v>0</v>
      </c>
    </row>
    <row r="78" spans="1:7" s="9" customFormat="1" ht="12" customHeight="1">
      <c r="A78" s="475" t="str">
        <f>A36</f>
        <v>EBITDA</v>
      </c>
      <c r="B78" s="476"/>
      <c r="C78" s="476"/>
      <c r="D78" s="476">
        <f t="shared" ref="D78:G78" si="27">D36</f>
        <v>13.5</v>
      </c>
      <c r="E78" s="504">
        <f t="shared" si="27"/>
        <v>15</v>
      </c>
      <c r="F78" s="476">
        <f t="shared" si="27"/>
        <v>7.1</v>
      </c>
      <c r="G78" s="507">
        <f t="shared" si="27"/>
        <v>14.4</v>
      </c>
    </row>
    <row r="79" spans="1:7" ht="12" customHeight="1">
      <c r="A79" s="421" t="str">
        <f t="shared" ref="A79:A82" si="28">A37</f>
        <v>Segment A</v>
      </c>
      <c r="B79" s="56"/>
      <c r="C79" s="56"/>
      <c r="D79" s="56">
        <f t="shared" ref="D79:G79" si="29">D37</f>
        <v>9.3535714285714278</v>
      </c>
      <c r="E79" s="505">
        <f t="shared" si="29"/>
        <v>10.1</v>
      </c>
      <c r="F79" s="56">
        <f t="shared" si="29"/>
        <v>5.1677215189873413</v>
      </c>
      <c r="G79" s="508">
        <f t="shared" si="29"/>
        <v>10.121405750798722</v>
      </c>
    </row>
    <row r="80" spans="1:7" ht="12" customHeight="1">
      <c r="A80" s="421" t="str">
        <f t="shared" si="28"/>
        <v>Segment B</v>
      </c>
      <c r="B80" s="56"/>
      <c r="C80" s="56"/>
      <c r="D80" s="56">
        <f t="shared" ref="D80:G80" si="30">D38</f>
        <v>2.7964285714285713</v>
      </c>
      <c r="E80" s="505">
        <f t="shared" si="30"/>
        <v>3.2</v>
      </c>
      <c r="F80" s="56">
        <f t="shared" si="30"/>
        <v>1.3481012658227847</v>
      </c>
      <c r="G80" s="508">
        <f t="shared" si="30"/>
        <v>2.9444089456869009</v>
      </c>
    </row>
    <row r="81" spans="1:18" ht="12" customHeight="1">
      <c r="A81" s="421" t="str">
        <f t="shared" si="28"/>
        <v>Segment C</v>
      </c>
      <c r="B81" s="56"/>
      <c r="C81" s="56"/>
      <c r="D81" s="56">
        <f t="shared" ref="D81:G81" si="31">D39</f>
        <v>1.0125</v>
      </c>
      <c r="E81" s="505">
        <f t="shared" si="31"/>
        <v>1.35</v>
      </c>
      <c r="F81" s="56">
        <f t="shared" si="31"/>
        <v>0.5392405063291138</v>
      </c>
      <c r="G81" s="508">
        <f t="shared" si="31"/>
        <v>1.1501597444089458</v>
      </c>
    </row>
    <row r="82" spans="1:18" ht="12" customHeight="1" thickBot="1">
      <c r="A82" s="473" t="str">
        <f t="shared" si="28"/>
        <v>Segment D</v>
      </c>
      <c r="B82" s="474"/>
      <c r="C82" s="474"/>
      <c r="D82" s="474">
        <f t="shared" ref="D82:G82" si="32">D40</f>
        <v>0.33749999999999963</v>
      </c>
      <c r="E82" s="506">
        <f t="shared" si="32"/>
        <v>0.3499999999999997</v>
      </c>
      <c r="F82" s="474">
        <f t="shared" si="32"/>
        <v>4.4936708860760122E-2</v>
      </c>
      <c r="G82" s="509">
        <f t="shared" si="32"/>
        <v>0.18402555910543131</v>
      </c>
    </row>
    <row r="84" spans="1:18" s="357" customFormat="1" ht="20.25" customHeight="1">
      <c r="A84" s="358" t="s">
        <v>114</v>
      </c>
    </row>
    <row r="87" spans="1:18">
      <c r="A87" s="9" t="s">
        <v>93</v>
      </c>
      <c r="J87" s="9"/>
      <c r="K87"/>
      <c r="L87"/>
      <c r="M87"/>
      <c r="N87"/>
      <c r="O87"/>
      <c r="P87"/>
      <c r="Q87"/>
    </row>
    <row r="88" spans="1:18" ht="11.25" customHeight="1">
      <c r="D88" s="27" t="str">
        <f>Input!G13</f>
        <v>Actual</v>
      </c>
      <c r="E88" s="54" t="s">
        <v>119</v>
      </c>
      <c r="F88" s="54" t="s">
        <v>121</v>
      </c>
      <c r="K88" s="102" t="s">
        <v>593</v>
      </c>
      <c r="L88" s="102" t="s">
        <v>125</v>
      </c>
      <c r="M88" s="102" t="s">
        <v>594</v>
      </c>
      <c r="N88" s="102" t="s">
        <v>595</v>
      </c>
      <c r="O88" s="104" t="s">
        <v>126</v>
      </c>
      <c r="P88" s="105" t="s">
        <v>78</v>
      </c>
      <c r="Q88" s="102" t="s">
        <v>0</v>
      </c>
      <c r="R88" s="102" t="s">
        <v>1</v>
      </c>
    </row>
    <row r="89" spans="1:18">
      <c r="A89" s="27" t="str">
        <f>Input!D13</f>
        <v>€m</v>
      </c>
      <c r="D89" s="27">
        <f>Input!G12</f>
        <v>2012</v>
      </c>
      <c r="E89" s="27">
        <f>Input!H12</f>
        <v>2013</v>
      </c>
      <c r="F89" s="98">
        <f>E89</f>
        <v>2013</v>
      </c>
      <c r="J89" s="102" t="str">
        <f>A89</f>
        <v>€m</v>
      </c>
      <c r="K89" s="102"/>
      <c r="L89" s="102"/>
      <c r="M89" s="102"/>
      <c r="N89" s="102"/>
      <c r="O89" s="102"/>
      <c r="P89" s="105"/>
      <c r="Q89" s="102"/>
      <c r="R89" s="102"/>
    </row>
    <row r="90" spans="1:18">
      <c r="A90" s="27" t="str">
        <f>A18</f>
        <v>Sales</v>
      </c>
      <c r="D90" s="33">
        <f>D18</f>
        <v>56</v>
      </c>
      <c r="E90" s="33">
        <f>E18</f>
        <v>59</v>
      </c>
      <c r="F90" s="98">
        <f>G18</f>
        <v>60</v>
      </c>
      <c r="J90" s="16" t="str">
        <f>CONCATENATE(D88," ",D89)</f>
        <v>Actual 2012</v>
      </c>
      <c r="K90" s="345">
        <f>D91</f>
        <v>28</v>
      </c>
      <c r="L90" s="345">
        <f>D92</f>
        <v>0</v>
      </c>
      <c r="M90" s="345">
        <f>D93</f>
        <v>8.5</v>
      </c>
      <c r="N90" s="345">
        <f>D94</f>
        <v>3</v>
      </c>
      <c r="O90" s="345">
        <f>ABS(D95)</f>
        <v>8</v>
      </c>
      <c r="P90" s="345">
        <f>D96</f>
        <v>5</v>
      </c>
      <c r="Q90" s="345">
        <f>D97</f>
        <v>13.5</v>
      </c>
      <c r="R90" s="345">
        <f>D98</f>
        <v>8.5</v>
      </c>
    </row>
    <row r="91" spans="1:18">
      <c r="A91" s="27" t="str">
        <f>Input!D16</f>
        <v>Cost of goods sold</v>
      </c>
      <c r="D91" s="33">
        <f>Input!G16</f>
        <v>28</v>
      </c>
      <c r="E91" s="33">
        <f>Input!H16</f>
        <v>29</v>
      </c>
      <c r="F91" s="97">
        <v>30.1</v>
      </c>
      <c r="J91" s="16" t="str">
        <f>CONCATENATE(E88," ",E89)</f>
        <v>Budget 2013</v>
      </c>
      <c r="K91" s="345">
        <f>E91</f>
        <v>29</v>
      </c>
      <c r="L91" s="345">
        <f>E92</f>
        <v>0</v>
      </c>
      <c r="M91" s="345">
        <f>E93</f>
        <v>9</v>
      </c>
      <c r="N91" s="345">
        <f>E94</f>
        <v>3</v>
      </c>
      <c r="O91" s="345">
        <f>ABS(E95)</f>
        <v>8</v>
      </c>
      <c r="P91" s="345">
        <f>E96</f>
        <v>5</v>
      </c>
      <c r="Q91" s="345">
        <f>E97</f>
        <v>15</v>
      </c>
      <c r="R91" s="345">
        <f>E98</f>
        <v>10</v>
      </c>
    </row>
    <row r="92" spans="1:18">
      <c r="A92" s="27" t="str">
        <f>Input!D20</f>
        <v>Research and development costs</v>
      </c>
      <c r="D92" s="33">
        <f>Input!G20</f>
        <v>0</v>
      </c>
      <c r="E92" s="33">
        <f>Input!H20</f>
        <v>0</v>
      </c>
      <c r="F92" s="97">
        <v>0</v>
      </c>
      <c r="J92" s="16" t="str">
        <f>CONCATENATE(F88," ",F89)</f>
        <v>FC 2013</v>
      </c>
      <c r="K92" s="345">
        <f>F91</f>
        <v>30.1</v>
      </c>
      <c r="L92" s="345">
        <f>F92</f>
        <v>0</v>
      </c>
      <c r="M92" s="345">
        <f>F93</f>
        <v>9.3000000000000007</v>
      </c>
      <c r="N92" s="345">
        <f>F94</f>
        <v>3.2</v>
      </c>
      <c r="O92" s="345">
        <f>ABS(F95)</f>
        <v>8.1999999999999993</v>
      </c>
      <c r="P92" s="345">
        <f>F96</f>
        <v>5</v>
      </c>
      <c r="Q92" s="345">
        <f>F97</f>
        <v>14.2</v>
      </c>
      <c r="R92" s="345">
        <f>F98</f>
        <v>9.1999999999999993</v>
      </c>
    </row>
    <row r="93" spans="1:18">
      <c r="A93" s="27" t="str">
        <f>Input!D22</f>
        <v>Selling expenses</v>
      </c>
      <c r="D93" s="33">
        <f>Input!G22</f>
        <v>8.5</v>
      </c>
      <c r="E93" s="33">
        <f>Input!H22</f>
        <v>9</v>
      </c>
      <c r="F93" s="97">
        <v>9.3000000000000007</v>
      </c>
      <c r="K93" s="103"/>
      <c r="L93" s="103"/>
      <c r="M93" s="103"/>
      <c r="N93" s="103"/>
      <c r="O93" s="103"/>
      <c r="P93" s="103"/>
      <c r="Q93" s="103"/>
      <c r="R93" s="103"/>
    </row>
    <row r="94" spans="1:18">
      <c r="A94" s="27" t="str">
        <f>Input!D24</f>
        <v>General &amp; administrative expenses</v>
      </c>
      <c r="D94" s="33">
        <f>Input!G24</f>
        <v>3</v>
      </c>
      <c r="E94" s="33">
        <f>Input!H24</f>
        <v>3</v>
      </c>
      <c r="F94" s="97">
        <v>3.2</v>
      </c>
      <c r="J94" s="54" t="s">
        <v>124</v>
      </c>
      <c r="K94" s="346"/>
      <c r="L94" s="346"/>
      <c r="M94" s="346"/>
      <c r="N94" s="346"/>
      <c r="O94" s="346"/>
      <c r="P94" s="346"/>
      <c r="Q94" s="346"/>
      <c r="R94" s="346"/>
    </row>
    <row r="95" spans="1:18">
      <c r="A95" s="27" t="str">
        <f>Input!D26</f>
        <v>Other operating result</v>
      </c>
      <c r="D95" s="33">
        <f>Input!G26</f>
        <v>-8</v>
      </c>
      <c r="E95" s="33">
        <f>Input!H26</f>
        <v>-8</v>
      </c>
      <c r="F95" s="97">
        <v>-8.1999999999999993</v>
      </c>
      <c r="J95" s="27" t="str">
        <f>J90</f>
        <v>Actual 2012</v>
      </c>
      <c r="K95" s="106">
        <f>K90/$D$90</f>
        <v>0.5</v>
      </c>
      <c r="L95" s="106">
        <f t="shared" ref="L95:R95" si="33">L90/$D$90</f>
        <v>0</v>
      </c>
      <c r="M95" s="106">
        <f t="shared" si="33"/>
        <v>0.15178571428571427</v>
      </c>
      <c r="N95" s="106">
        <f t="shared" si="33"/>
        <v>5.3571428571428568E-2</v>
      </c>
      <c r="O95" s="106">
        <f t="shared" si="33"/>
        <v>0.14285714285714285</v>
      </c>
      <c r="P95" s="106">
        <f t="shared" si="33"/>
        <v>8.9285714285714288E-2</v>
      </c>
      <c r="Q95" s="106">
        <f t="shared" si="33"/>
        <v>0.24107142857142858</v>
      </c>
      <c r="R95" s="106">
        <f t="shared" si="33"/>
        <v>0.15178571428571427</v>
      </c>
    </row>
    <row r="96" spans="1:18">
      <c r="A96" s="27" t="s">
        <v>78</v>
      </c>
      <c r="D96" s="33">
        <f>Input!G75</f>
        <v>5</v>
      </c>
      <c r="E96" s="33">
        <f>Input!H75</f>
        <v>5</v>
      </c>
      <c r="F96" s="97">
        <v>5</v>
      </c>
      <c r="J96" s="27" t="str">
        <f t="shared" ref="J96:J97" si="34">J91</f>
        <v>Budget 2013</v>
      </c>
      <c r="K96" s="106">
        <f>K91/$E$90</f>
        <v>0.49152542372881358</v>
      </c>
      <c r="L96" s="106">
        <f t="shared" ref="L96:R96" si="35">L91/$E$90</f>
        <v>0</v>
      </c>
      <c r="M96" s="106">
        <f t="shared" si="35"/>
        <v>0.15254237288135594</v>
      </c>
      <c r="N96" s="106">
        <f t="shared" si="35"/>
        <v>5.0847457627118647E-2</v>
      </c>
      <c r="O96" s="106">
        <f t="shared" si="35"/>
        <v>0.13559322033898305</v>
      </c>
      <c r="P96" s="106">
        <f t="shared" si="35"/>
        <v>8.4745762711864403E-2</v>
      </c>
      <c r="Q96" s="106">
        <f t="shared" si="35"/>
        <v>0.25423728813559321</v>
      </c>
      <c r="R96" s="106">
        <f t="shared" si="35"/>
        <v>0.16949152542372881</v>
      </c>
    </row>
    <row r="97" spans="1:18">
      <c r="A97" s="27" t="str">
        <f>Input!D73</f>
        <v>EBITDA</v>
      </c>
      <c r="D97" s="33">
        <f>Input!G73</f>
        <v>13.5</v>
      </c>
      <c r="E97" s="33">
        <f>Input!H73</f>
        <v>15</v>
      </c>
      <c r="F97" s="33">
        <f>F98+F96</f>
        <v>14.2</v>
      </c>
      <c r="J97" s="27" t="str">
        <f t="shared" si="34"/>
        <v>FC 2013</v>
      </c>
      <c r="K97" s="106">
        <f>K92/$F$90</f>
        <v>0.50166666666666671</v>
      </c>
      <c r="L97" s="106">
        <f t="shared" ref="L97:R97" si="36">L92/$F$90</f>
        <v>0</v>
      </c>
      <c r="M97" s="106">
        <f t="shared" si="36"/>
        <v>0.155</v>
      </c>
      <c r="N97" s="106">
        <f t="shared" si="36"/>
        <v>5.3333333333333337E-2</v>
      </c>
      <c r="O97" s="106">
        <f t="shared" si="36"/>
        <v>0.13666666666666666</v>
      </c>
      <c r="P97" s="106">
        <f t="shared" si="36"/>
        <v>8.3333333333333329E-2</v>
      </c>
      <c r="Q97" s="106">
        <f t="shared" si="36"/>
        <v>0.23666666666666666</v>
      </c>
      <c r="R97" s="106">
        <f t="shared" si="36"/>
        <v>0.15333333333333332</v>
      </c>
    </row>
    <row r="98" spans="1:18">
      <c r="A98" s="27" t="str">
        <f>Input!D77</f>
        <v>EBIT</v>
      </c>
      <c r="D98" s="33">
        <f>Input!G77</f>
        <v>8.5</v>
      </c>
      <c r="E98" s="33">
        <f>Input!H77</f>
        <v>10</v>
      </c>
      <c r="F98" s="33">
        <f>G30</f>
        <v>9.1999999999999993</v>
      </c>
    </row>
    <row r="99" spans="1:18">
      <c r="A99" s="85" t="s">
        <v>106</v>
      </c>
      <c r="B99" s="85"/>
      <c r="C99" s="85"/>
      <c r="D99" s="86">
        <f>D98-(D90-D91-D92-D93-D94+D95)</f>
        <v>0</v>
      </c>
      <c r="E99" s="86">
        <f t="shared" ref="E99:F99" si="37">E98-(E90-E91-E92-E93-E94+E95)</f>
        <v>0</v>
      </c>
      <c r="F99" s="86">
        <f t="shared" si="37"/>
        <v>0</v>
      </c>
    </row>
    <row r="122" spans="1:9" s="357" customFormat="1" ht="20.25" customHeight="1">
      <c r="A122" s="358" t="s">
        <v>105</v>
      </c>
    </row>
    <row r="125" spans="1:9">
      <c r="A125" s="12" t="s">
        <v>93</v>
      </c>
      <c r="B125" s="10"/>
      <c r="C125" s="10"/>
      <c r="D125" s="10"/>
      <c r="E125" s="10"/>
      <c r="F125" s="10"/>
      <c r="G125" s="10"/>
      <c r="I125" s="54"/>
    </row>
    <row r="126" spans="1:9">
      <c r="A126" s="10" t="str">
        <f>Input!D13</f>
        <v>€m</v>
      </c>
      <c r="B126" s="28" t="s">
        <v>16</v>
      </c>
      <c r="C126" s="28" t="s">
        <v>17</v>
      </c>
      <c r="D126" s="28" t="s">
        <v>69</v>
      </c>
      <c r="E126" s="28" t="s">
        <v>18</v>
      </c>
      <c r="F126" s="28" t="s">
        <v>68</v>
      </c>
      <c r="G126" s="28" t="s">
        <v>19</v>
      </c>
      <c r="I126" s="110" t="s">
        <v>106</v>
      </c>
    </row>
    <row r="127" spans="1:9">
      <c r="A127" s="10" t="str">
        <f>Input!D70</f>
        <v>Sales</v>
      </c>
      <c r="B127" s="100">
        <v>3.8</v>
      </c>
      <c r="C127" s="100">
        <v>3.7</v>
      </c>
      <c r="D127" s="100">
        <v>4.2</v>
      </c>
      <c r="E127" s="100">
        <v>7.8</v>
      </c>
      <c r="F127" s="100">
        <v>5.6</v>
      </c>
      <c r="G127" s="100">
        <v>5</v>
      </c>
      <c r="I127" s="111">
        <f>F18-SUM(B127:G127)</f>
        <v>0</v>
      </c>
    </row>
    <row r="128" spans="1:9">
      <c r="A128" s="10" t="str">
        <f>Input!D71</f>
        <v>Gross profit</v>
      </c>
      <c r="B128" s="100">
        <v>1.9</v>
      </c>
      <c r="C128" s="100">
        <v>2</v>
      </c>
      <c r="D128" s="100">
        <v>2.1</v>
      </c>
      <c r="E128" s="100">
        <v>4.0999999999999996</v>
      </c>
      <c r="F128" s="100">
        <v>3</v>
      </c>
      <c r="G128" s="100">
        <v>2.7</v>
      </c>
      <c r="I128" s="111">
        <f>F24-SUM(B128:G128)</f>
        <v>0</v>
      </c>
    </row>
    <row r="129" spans="1:17">
      <c r="A129" s="16" t="str">
        <f>Input!D72</f>
        <v>Gross profit margin</v>
      </c>
      <c r="B129" s="112">
        <f t="shared" ref="B129:G129" si="38">B128/B127</f>
        <v>0.5</v>
      </c>
      <c r="C129" s="112">
        <f t="shared" si="38"/>
        <v>0.54054054054054046</v>
      </c>
      <c r="D129" s="112">
        <f t="shared" si="38"/>
        <v>0.5</v>
      </c>
      <c r="E129" s="112">
        <f t="shared" si="38"/>
        <v>0.52564102564102566</v>
      </c>
      <c r="F129" s="112">
        <f t="shared" si="38"/>
        <v>0.5357142857142857</v>
      </c>
      <c r="G129" s="112">
        <f t="shared" si="38"/>
        <v>0.54</v>
      </c>
      <c r="I129" s="111"/>
    </row>
    <row r="130" spans="1:17">
      <c r="A130" s="10" t="str">
        <f>Input!D77</f>
        <v>EBIT</v>
      </c>
      <c r="B130" s="100">
        <v>0.5</v>
      </c>
      <c r="C130" s="100">
        <v>0.5</v>
      </c>
      <c r="D130" s="100">
        <v>0.6</v>
      </c>
      <c r="E130" s="100">
        <v>2</v>
      </c>
      <c r="F130" s="100">
        <v>0.6</v>
      </c>
      <c r="G130" s="100">
        <v>0.5</v>
      </c>
      <c r="I130" s="111">
        <f>F30-SUM(B130:G130)</f>
        <v>0</v>
      </c>
    </row>
    <row r="131" spans="1:17">
      <c r="A131" s="16" t="str">
        <f>Input!D78</f>
        <v>EBIT margin</v>
      </c>
      <c r="B131" s="112">
        <f t="shared" ref="B131:G131" si="39">B130/B127</f>
        <v>0.13157894736842105</v>
      </c>
      <c r="C131" s="112">
        <f t="shared" si="39"/>
        <v>0.13513513513513511</v>
      </c>
      <c r="D131" s="112">
        <f t="shared" si="39"/>
        <v>0.14285714285714285</v>
      </c>
      <c r="E131" s="112">
        <f t="shared" si="39"/>
        <v>0.25641025641025644</v>
      </c>
      <c r="F131" s="112">
        <f t="shared" si="39"/>
        <v>0.10714285714285715</v>
      </c>
      <c r="G131" s="112">
        <f t="shared" si="39"/>
        <v>0.1</v>
      </c>
      <c r="I131" s="109"/>
      <c r="J131" s="10"/>
      <c r="K131" s="15"/>
      <c r="L131" s="15"/>
      <c r="M131" s="15"/>
      <c r="N131" s="15"/>
      <c r="O131" s="15"/>
      <c r="P131" s="15"/>
      <c r="Q131" s="15"/>
    </row>
    <row r="132" spans="1:17">
      <c r="J132" s="10"/>
      <c r="K132" s="15"/>
      <c r="L132" s="15"/>
      <c r="M132" s="15"/>
      <c r="N132" s="15"/>
      <c r="O132" s="15"/>
      <c r="P132" s="15"/>
      <c r="Q132" s="15"/>
    </row>
    <row r="133" spans="1:17">
      <c r="J133" s="10"/>
      <c r="K133" s="15"/>
      <c r="L133" s="15"/>
      <c r="M133" s="15"/>
      <c r="N133" s="15"/>
      <c r="O133" s="15"/>
      <c r="P133" s="15"/>
      <c r="Q133" s="15"/>
    </row>
    <row r="134" spans="1:17">
      <c r="J134"/>
      <c r="K134"/>
      <c r="L134"/>
      <c r="M134"/>
      <c r="N134"/>
      <c r="O134"/>
      <c r="P134"/>
      <c r="Q134"/>
    </row>
    <row r="135" spans="1:17" ht="19.5" customHeight="1"/>
    <row r="142" spans="1:17" s="357" customFormat="1" ht="20.25" customHeight="1">
      <c r="A142" s="358" t="s">
        <v>107</v>
      </c>
    </row>
    <row r="145" spans="1:7">
      <c r="A145" s="9" t="s">
        <v>93</v>
      </c>
    </row>
    <row r="146" spans="1:7">
      <c r="B146" s="9"/>
      <c r="D146" s="27" t="str">
        <f>B147</f>
        <v>1H</v>
      </c>
      <c r="G146" s="27" t="str">
        <f>E147</f>
        <v>1H</v>
      </c>
    </row>
    <row r="147" spans="1:7">
      <c r="B147" s="27" t="s">
        <v>120</v>
      </c>
      <c r="C147" s="27" t="str">
        <f>Input!G13</f>
        <v>Actual</v>
      </c>
      <c r="D147" s="27" t="s">
        <v>127</v>
      </c>
      <c r="E147" s="27" t="str">
        <f>B147</f>
        <v>1H</v>
      </c>
      <c r="F147" s="27" t="s">
        <v>119</v>
      </c>
      <c r="G147" s="27" t="s">
        <v>127</v>
      </c>
    </row>
    <row r="148" spans="1:7">
      <c r="A148" s="27" t="str">
        <f>Input!D13</f>
        <v>€m</v>
      </c>
      <c r="B148" s="6">
        <f>Input!G12</f>
        <v>2012</v>
      </c>
      <c r="C148" s="6">
        <f>B148</f>
        <v>2012</v>
      </c>
      <c r="D148" s="6" t="str">
        <f>C147</f>
        <v>Actual</v>
      </c>
      <c r="E148" s="6">
        <f>Input!H12</f>
        <v>2013</v>
      </c>
      <c r="F148" s="6">
        <f>E148</f>
        <v>2013</v>
      </c>
      <c r="G148" s="6" t="str">
        <f>F147</f>
        <v>Budget</v>
      </c>
    </row>
    <row r="149" spans="1:7">
      <c r="A149" s="27" t="str">
        <f>Input!D70</f>
        <v>Sales</v>
      </c>
      <c r="B149" s="97">
        <v>27</v>
      </c>
      <c r="C149" s="33">
        <f>Input!G70</f>
        <v>56</v>
      </c>
      <c r="D149" s="65">
        <f>B149/C149</f>
        <v>0.48214285714285715</v>
      </c>
      <c r="E149" s="33">
        <f>F18</f>
        <v>30.1</v>
      </c>
      <c r="F149" s="33">
        <f>Input!H70</f>
        <v>59</v>
      </c>
      <c r="G149" s="65">
        <f>E149/F149</f>
        <v>0.51016949152542379</v>
      </c>
    </row>
    <row r="150" spans="1:7">
      <c r="A150" s="27" t="str">
        <f>Input!D71</f>
        <v>Gross profit</v>
      </c>
      <c r="B150" s="97">
        <v>14.1</v>
      </c>
      <c r="C150" s="33">
        <f>Input!G71</f>
        <v>28</v>
      </c>
      <c r="D150" s="65">
        <f t="shared" ref="D150:D151" si="40">B150/C150</f>
        <v>0.50357142857142856</v>
      </c>
      <c r="E150" s="33">
        <f>F24</f>
        <v>15.8</v>
      </c>
      <c r="F150" s="33">
        <f>Input!H71</f>
        <v>30</v>
      </c>
      <c r="G150" s="65">
        <f t="shared" ref="G150:G151" si="41">E150/F150</f>
        <v>0.52666666666666673</v>
      </c>
    </row>
    <row r="151" spans="1:7">
      <c r="A151" s="27" t="str">
        <f>Input!D77</f>
        <v>EBIT</v>
      </c>
      <c r="B151" s="97">
        <v>4</v>
      </c>
      <c r="C151" s="33">
        <f>Input!G77</f>
        <v>8.5</v>
      </c>
      <c r="D151" s="65">
        <f t="shared" si="40"/>
        <v>0.47058823529411764</v>
      </c>
      <c r="E151" s="33">
        <f>F30</f>
        <v>4.7</v>
      </c>
      <c r="F151" s="33">
        <f>Input!H77</f>
        <v>10</v>
      </c>
      <c r="G151" s="65">
        <f t="shared" si="41"/>
        <v>0.47000000000000003</v>
      </c>
    </row>
    <row r="154" spans="1:7" ht="19.5" customHeight="1">
      <c r="A154" s="377" t="str">
        <f>CONCATENATE("Comparison YTD June ",F17, " actuals vs. budget")</f>
        <v>Comparison YTD June 2013 actuals vs. budget</v>
      </c>
      <c r="B154" s="377"/>
      <c r="C154" s="377"/>
      <c r="D154" s="377"/>
      <c r="E154" s="377"/>
      <c r="F154" s="377"/>
      <c r="G154" s="377"/>
    </row>
    <row r="155" spans="1:7" ht="12" customHeight="1">
      <c r="A155" s="417"/>
      <c r="B155" s="3"/>
      <c r="C155" s="3"/>
      <c r="D155" s="482" t="str">
        <f t="shared" ref="D155:G155" si="42">D146</f>
        <v>1H</v>
      </c>
      <c r="E155" s="3"/>
      <c r="F155" s="491"/>
      <c r="G155" s="499" t="str">
        <f t="shared" si="42"/>
        <v>1H</v>
      </c>
    </row>
    <row r="156" spans="1:7" ht="12" customHeight="1">
      <c r="A156" s="387"/>
      <c r="B156" s="23" t="str">
        <f t="shared" ref="B156:G157" si="43">B147</f>
        <v>1H</v>
      </c>
      <c r="C156" s="23" t="str">
        <f t="shared" si="43"/>
        <v>Actual</v>
      </c>
      <c r="D156" s="483" t="str">
        <f t="shared" si="43"/>
        <v>in % of</v>
      </c>
      <c r="E156" s="23" t="str">
        <f t="shared" si="43"/>
        <v>1H</v>
      </c>
      <c r="F156" s="492" t="str">
        <f t="shared" si="43"/>
        <v>Budget</v>
      </c>
      <c r="G156" s="500" t="str">
        <f t="shared" si="43"/>
        <v>in % of</v>
      </c>
    </row>
    <row r="157" spans="1:7" ht="12" customHeight="1">
      <c r="A157" s="397" t="str">
        <f>A148</f>
        <v>€m</v>
      </c>
      <c r="B157" s="424">
        <f t="shared" si="43"/>
        <v>2012</v>
      </c>
      <c r="C157" s="424">
        <f t="shared" si="43"/>
        <v>2012</v>
      </c>
      <c r="D157" s="484" t="str">
        <f t="shared" si="43"/>
        <v>Actual</v>
      </c>
      <c r="E157" s="424">
        <f t="shared" si="43"/>
        <v>2013</v>
      </c>
      <c r="F157" s="493">
        <f t="shared" si="43"/>
        <v>2013</v>
      </c>
      <c r="G157" s="501" t="str">
        <f t="shared" si="43"/>
        <v>Budget</v>
      </c>
    </row>
    <row r="158" spans="1:7" ht="12" customHeight="1">
      <c r="A158" s="418" t="s">
        <v>47</v>
      </c>
      <c r="B158" s="59">
        <f>B149</f>
        <v>27</v>
      </c>
      <c r="C158" s="59">
        <f t="shared" ref="C158:G158" si="44">C149</f>
        <v>56</v>
      </c>
      <c r="D158" s="485">
        <f t="shared" si="44"/>
        <v>0.48214285714285715</v>
      </c>
      <c r="E158" s="59">
        <f t="shared" si="44"/>
        <v>30.1</v>
      </c>
      <c r="F158" s="494">
        <f t="shared" si="44"/>
        <v>59</v>
      </c>
      <c r="G158" s="488">
        <f t="shared" si="44"/>
        <v>0.51016949152542379</v>
      </c>
    </row>
    <row r="159" spans="1:7" ht="12" customHeight="1">
      <c r="A159" s="477" t="s">
        <v>48</v>
      </c>
      <c r="B159" s="478">
        <f>B150</f>
        <v>14.1</v>
      </c>
      <c r="C159" s="478">
        <f t="shared" ref="C159:G159" si="45">C150</f>
        <v>28</v>
      </c>
      <c r="D159" s="481">
        <f t="shared" si="45"/>
        <v>0.50357142857142856</v>
      </c>
      <c r="E159" s="478">
        <f t="shared" si="45"/>
        <v>15.8</v>
      </c>
      <c r="F159" s="495">
        <f t="shared" si="45"/>
        <v>30</v>
      </c>
      <c r="G159" s="489">
        <f t="shared" si="45"/>
        <v>0.52666666666666673</v>
      </c>
    </row>
    <row r="160" spans="1:7" ht="12" customHeight="1">
      <c r="A160" s="422" t="s">
        <v>49</v>
      </c>
      <c r="B160" s="61">
        <f>B159/B158</f>
        <v>0.52222222222222225</v>
      </c>
      <c r="C160" s="61">
        <f t="shared" ref="C160:F160" si="46">C159/C158</f>
        <v>0.5</v>
      </c>
      <c r="D160" s="486"/>
      <c r="E160" s="61">
        <f t="shared" si="46"/>
        <v>0.52491694352159468</v>
      </c>
      <c r="F160" s="496">
        <f t="shared" si="46"/>
        <v>0.50847457627118642</v>
      </c>
      <c r="G160" s="62"/>
    </row>
    <row r="161" spans="1:16" ht="12" customHeight="1">
      <c r="A161" s="479" t="s">
        <v>1</v>
      </c>
      <c r="B161" s="480">
        <f>B151</f>
        <v>4</v>
      </c>
      <c r="C161" s="480">
        <f t="shared" ref="C161:G161" si="47">C151</f>
        <v>8.5</v>
      </c>
      <c r="D161" s="481">
        <f t="shared" si="47"/>
        <v>0.47058823529411764</v>
      </c>
      <c r="E161" s="480">
        <f t="shared" si="47"/>
        <v>4.7</v>
      </c>
      <c r="F161" s="497">
        <f t="shared" si="47"/>
        <v>10</v>
      </c>
      <c r="G161" s="489">
        <f t="shared" si="47"/>
        <v>0.47000000000000003</v>
      </c>
    </row>
    <row r="162" spans="1:16" ht="12" customHeight="1" thickBot="1">
      <c r="A162" s="471" t="s">
        <v>45</v>
      </c>
      <c r="B162" s="472">
        <f>B161/B158</f>
        <v>0.14814814814814814</v>
      </c>
      <c r="C162" s="472">
        <f t="shared" ref="C162:F162" si="48">C161/C158</f>
        <v>0.15178571428571427</v>
      </c>
      <c r="D162" s="487"/>
      <c r="E162" s="472">
        <f t="shared" si="48"/>
        <v>0.15614617940199335</v>
      </c>
      <c r="F162" s="498">
        <f t="shared" si="48"/>
        <v>0.16949152542372881</v>
      </c>
      <c r="G162" s="490"/>
    </row>
    <row r="167" spans="1:16" s="357" customFormat="1" ht="20.25" customHeight="1">
      <c r="A167" s="358" t="s">
        <v>108</v>
      </c>
    </row>
    <row r="170" spans="1:16">
      <c r="A170" s="9" t="s">
        <v>93</v>
      </c>
      <c r="J170" s="9"/>
    </row>
    <row r="171" spans="1:16" ht="11.25" customHeight="1">
      <c r="D171" s="27" t="str">
        <f>Input!G43</f>
        <v>Actual</v>
      </c>
      <c r="E171" s="54" t="s">
        <v>119</v>
      </c>
      <c r="F171" s="54" t="s">
        <v>121</v>
      </c>
      <c r="K171" s="102" t="s">
        <v>178</v>
      </c>
      <c r="L171" s="102" t="s">
        <v>600</v>
      </c>
      <c r="M171" s="104" t="s">
        <v>179</v>
      </c>
      <c r="N171" s="102" t="s">
        <v>78</v>
      </c>
      <c r="O171" s="102" t="s">
        <v>0</v>
      </c>
      <c r="P171" s="102" t="s">
        <v>1</v>
      </c>
    </row>
    <row r="172" spans="1:16">
      <c r="A172" s="27" t="str">
        <f>Input!E4</f>
        <v>€m</v>
      </c>
      <c r="D172" s="27">
        <f>Input!G42</f>
        <v>2012</v>
      </c>
      <c r="E172" s="27">
        <f>Input!H42</f>
        <v>2013</v>
      </c>
      <c r="F172" s="98">
        <f>E172</f>
        <v>2013</v>
      </c>
      <c r="J172" s="102" t="str">
        <f>A172</f>
        <v>€m</v>
      </c>
      <c r="K172" s="102"/>
      <c r="L172" s="102"/>
      <c r="M172" s="102"/>
      <c r="N172" s="102"/>
      <c r="O172" s="102"/>
      <c r="P172" s="102"/>
    </row>
    <row r="173" spans="1:16">
      <c r="A173" s="27" t="str">
        <f>Input!D45</f>
        <v>Sales</v>
      </c>
      <c r="D173" s="33">
        <f>Input!G45</f>
        <v>56</v>
      </c>
      <c r="E173" s="33">
        <f>Input!H45</f>
        <v>59</v>
      </c>
      <c r="F173" s="98">
        <f>G18</f>
        <v>60</v>
      </c>
      <c r="J173" s="16" t="str">
        <f>CONCATENATE(D171," ",D172)</f>
        <v>Actual 2012</v>
      </c>
      <c r="K173" s="107">
        <f>D174</f>
        <v>22.5</v>
      </c>
      <c r="L173" s="107">
        <f>D175</f>
        <v>17</v>
      </c>
      <c r="M173" s="107">
        <f>ABS(D176)</f>
        <v>3</v>
      </c>
      <c r="N173" s="107">
        <f>D177</f>
        <v>5</v>
      </c>
      <c r="O173" s="107">
        <f>D178</f>
        <v>19.5</v>
      </c>
      <c r="P173" s="107">
        <f>D179</f>
        <v>14.5</v>
      </c>
    </row>
    <row r="174" spans="1:16">
      <c r="A174" s="27" t="str">
        <f>Input!D46</f>
        <v>Cost of material</v>
      </c>
      <c r="D174" s="33">
        <f>Input!G46</f>
        <v>22.5</v>
      </c>
      <c r="E174" s="33">
        <f>Input!H46</f>
        <v>23</v>
      </c>
      <c r="F174" s="97">
        <f>E174/E$173*F$173</f>
        <v>23.389830508474578</v>
      </c>
      <c r="J174" s="16" t="str">
        <f>CONCATENATE(E171," ",E172)</f>
        <v>Budget 2013</v>
      </c>
      <c r="K174" s="107">
        <f>E174</f>
        <v>23</v>
      </c>
      <c r="L174" s="107">
        <f>E175</f>
        <v>18</v>
      </c>
      <c r="M174" s="107">
        <f>ABS(E176)</f>
        <v>3</v>
      </c>
      <c r="N174" s="107">
        <f>E177</f>
        <v>5</v>
      </c>
      <c r="O174" s="107">
        <f>E178</f>
        <v>21</v>
      </c>
      <c r="P174" s="107">
        <f>E179</f>
        <v>16</v>
      </c>
    </row>
    <row r="175" spans="1:16">
      <c r="A175" s="27" t="str">
        <f>Input!D50</f>
        <v>Personnel expenses</v>
      </c>
      <c r="D175" s="33">
        <f>Input!G50</f>
        <v>17</v>
      </c>
      <c r="E175" s="33">
        <f>Input!H50</f>
        <v>18</v>
      </c>
      <c r="F175" s="97">
        <f t="shared" ref="F175:F177" si="49">E175/E$173*F$173</f>
        <v>18.305084745762713</v>
      </c>
      <c r="J175" s="16" t="str">
        <f>CONCATENATE(F171," ",F172)</f>
        <v>FC 2013</v>
      </c>
      <c r="K175" s="107">
        <f>F174</f>
        <v>23.389830508474578</v>
      </c>
      <c r="L175" s="107">
        <f>F175</f>
        <v>18.305084745762713</v>
      </c>
      <c r="M175" s="107">
        <f>ABS(F176)</f>
        <v>3.050847457627119</v>
      </c>
      <c r="N175" s="107">
        <f>F177</f>
        <v>5.0847457627118642</v>
      </c>
      <c r="O175" s="107">
        <f>F178</f>
        <v>21.35593220338983</v>
      </c>
      <c r="P175" s="107">
        <f>F179</f>
        <v>16.271186440677965</v>
      </c>
    </row>
    <row r="176" spans="1:16">
      <c r="A176" s="27" t="str">
        <f>Input!D52</f>
        <v>Other operating result</v>
      </c>
      <c r="D176" s="33">
        <f>Input!G52</f>
        <v>3</v>
      </c>
      <c r="E176" s="33">
        <f>Input!H52</f>
        <v>3</v>
      </c>
      <c r="F176" s="97">
        <f t="shared" si="49"/>
        <v>3.050847457627119</v>
      </c>
      <c r="O176" s="33"/>
    </row>
    <row r="177" spans="1:16">
      <c r="A177" s="27" t="str">
        <f>Input!D56</f>
        <v>Depreciation</v>
      </c>
      <c r="D177" s="33">
        <f>Input!G56</f>
        <v>5</v>
      </c>
      <c r="E177" s="33">
        <f>Input!H56</f>
        <v>5</v>
      </c>
      <c r="F177" s="97">
        <f t="shared" si="49"/>
        <v>5.0847457627118642</v>
      </c>
      <c r="J177" s="54" t="s">
        <v>124</v>
      </c>
      <c r="K177" s="54"/>
      <c r="L177" s="54"/>
      <c r="M177" s="54"/>
      <c r="N177" s="54"/>
      <c r="O177" s="54"/>
      <c r="P177" s="54"/>
    </row>
    <row r="178" spans="1:16">
      <c r="A178" s="27" t="str">
        <f>Input!D54</f>
        <v>EBITDA</v>
      </c>
      <c r="D178" s="33">
        <f>Input!G54</f>
        <v>19.5</v>
      </c>
      <c r="E178" s="33">
        <f>Input!H54</f>
        <v>21</v>
      </c>
      <c r="F178" s="33">
        <f>F173-F174-F175+F176</f>
        <v>21.35593220338983</v>
      </c>
      <c r="J178" s="27" t="str">
        <f>J173</f>
        <v>Actual 2012</v>
      </c>
      <c r="K178" s="106">
        <f>K173/$D$173</f>
        <v>0.4017857142857143</v>
      </c>
      <c r="L178" s="106">
        <f t="shared" ref="L178:P178" si="50">L173/$D$173</f>
        <v>0.30357142857142855</v>
      </c>
      <c r="M178" s="106">
        <f t="shared" si="50"/>
        <v>5.3571428571428568E-2</v>
      </c>
      <c r="N178" s="106">
        <f t="shared" si="50"/>
        <v>8.9285714285714288E-2</v>
      </c>
      <c r="O178" s="106">
        <f t="shared" si="50"/>
        <v>0.3482142857142857</v>
      </c>
      <c r="P178" s="106">
        <f t="shared" si="50"/>
        <v>0.25892857142857145</v>
      </c>
    </row>
    <row r="179" spans="1:16">
      <c r="A179" s="27" t="str">
        <f>Input!D58</f>
        <v>EBIT</v>
      </c>
      <c r="D179" s="33">
        <f>Input!G58</f>
        <v>14.5</v>
      </c>
      <c r="E179" s="33">
        <f>Input!H58</f>
        <v>16</v>
      </c>
      <c r="F179" s="33">
        <f>F178-F177</f>
        <v>16.271186440677965</v>
      </c>
      <c r="J179" s="27" t="str">
        <f t="shared" ref="J179:J180" si="51">J174</f>
        <v>Budget 2013</v>
      </c>
      <c r="K179" s="106">
        <f>K174/$E$173</f>
        <v>0.38983050847457629</v>
      </c>
      <c r="L179" s="106">
        <f t="shared" ref="L179:P179" si="52">L174/$E$173</f>
        <v>0.30508474576271188</v>
      </c>
      <c r="M179" s="106">
        <f t="shared" si="52"/>
        <v>5.0847457627118647E-2</v>
      </c>
      <c r="N179" s="106">
        <f t="shared" si="52"/>
        <v>8.4745762711864403E-2</v>
      </c>
      <c r="O179" s="106">
        <f t="shared" si="52"/>
        <v>0.3559322033898305</v>
      </c>
      <c r="P179" s="106">
        <f t="shared" si="52"/>
        <v>0.2711864406779661</v>
      </c>
    </row>
    <row r="180" spans="1:16">
      <c r="D180" s="33"/>
      <c r="E180" s="33"/>
      <c r="F180" s="33"/>
      <c r="J180" s="27" t="str">
        <f t="shared" si="51"/>
        <v>FC 2013</v>
      </c>
      <c r="K180" s="106">
        <f>K175/$F$173</f>
        <v>0.38983050847457629</v>
      </c>
      <c r="L180" s="106">
        <f t="shared" ref="L180:P180" si="53">L175/$F$173</f>
        <v>0.30508474576271188</v>
      </c>
      <c r="M180" s="106">
        <f t="shared" si="53"/>
        <v>5.0847457627118647E-2</v>
      </c>
      <c r="N180" s="106">
        <f t="shared" si="53"/>
        <v>8.4745762711864403E-2</v>
      </c>
      <c r="O180" s="106">
        <f t="shared" si="53"/>
        <v>0.3559322033898305</v>
      </c>
      <c r="P180" s="106">
        <f t="shared" si="53"/>
        <v>0.2711864406779661</v>
      </c>
    </row>
    <row r="181" spans="1:16">
      <c r="D181" s="33"/>
      <c r="E181" s="33"/>
      <c r="F181" s="33"/>
    </row>
    <row r="182" spans="1:16">
      <c r="A182" s="85" t="s">
        <v>106</v>
      </c>
      <c r="B182" s="85"/>
      <c r="C182" s="85"/>
      <c r="D182" s="86">
        <f>D179-(D173-D174-D175+D176-D177)</f>
        <v>0</v>
      </c>
      <c r="E182" s="86">
        <f t="shared" ref="E182:F182" si="54">E179-(E173-E174-E175+E176-E177)</f>
        <v>0</v>
      </c>
      <c r="F182" s="86">
        <f t="shared" si="54"/>
        <v>0</v>
      </c>
    </row>
  </sheetData>
  <pageMargins left="0.7" right="0.7" top="0.78740157499999996" bottom="0.78740157499999996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G206"/>
  <sheetViews>
    <sheetView topLeftCell="A10" zoomScale="115" zoomScaleNormal="115" workbookViewId="0">
      <selection activeCell="L106" sqref="L106"/>
    </sheetView>
  </sheetViews>
  <sheetFormatPr defaultColWidth="11.5" defaultRowHeight="11.25"/>
  <cols>
    <col min="1" max="1" width="18.6640625" style="27" customWidth="1"/>
    <col min="2" max="2" width="6.33203125" style="27" customWidth="1"/>
    <col min="3" max="8" width="7" style="27" customWidth="1"/>
    <col min="9" max="9" width="10" style="27" customWidth="1"/>
    <col min="10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131</v>
      </c>
    </row>
    <row r="2" spans="1:7" ht="20.25" customHeight="1">
      <c r="A2" s="48" t="s">
        <v>198</v>
      </c>
    </row>
    <row r="3" spans="1:7" ht="20.25" customHeight="1">
      <c r="A3" s="48" t="s">
        <v>201</v>
      </c>
    </row>
    <row r="4" spans="1:7" ht="20.25" customHeight="1">
      <c r="A4" s="48" t="s">
        <v>199</v>
      </c>
    </row>
    <row r="5" spans="1:7" ht="20.25" customHeight="1">
      <c r="A5" s="48" t="s">
        <v>204</v>
      </c>
    </row>
    <row r="6" spans="1:7" ht="20.25" customHeight="1">
      <c r="A6" s="48" t="s">
        <v>205</v>
      </c>
    </row>
    <row r="7" spans="1:7" ht="20.25" customHeight="1">
      <c r="A7" s="48" t="s">
        <v>207</v>
      </c>
    </row>
    <row r="8" spans="1:7" ht="20.25" customHeight="1">
      <c r="A8" s="48" t="s">
        <v>371</v>
      </c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3" spans="1:7" ht="13.5" customHeight="1"/>
    <row r="14" spans="1:7">
      <c r="A14" s="9" t="s">
        <v>122</v>
      </c>
    </row>
    <row r="15" spans="1:7">
      <c r="B15" s="54">
        <f>Input!E12</f>
        <v>2010</v>
      </c>
      <c r="C15" s="54">
        <f>Input!F12</f>
        <v>2011</v>
      </c>
      <c r="D15" s="54">
        <f>Input!G12</f>
        <v>2012</v>
      </c>
      <c r="E15" s="54">
        <f>Input!H12</f>
        <v>2013</v>
      </c>
      <c r="F15" s="54">
        <f>Input!I12</f>
        <v>2014</v>
      </c>
      <c r="G15" s="54">
        <f>Input!J12</f>
        <v>2015</v>
      </c>
    </row>
    <row r="16" spans="1:7">
      <c r="A16" s="27" t="str">
        <f>Input!E4</f>
        <v>€m</v>
      </c>
      <c r="B16" s="54" t="str">
        <f>Input!E13</f>
        <v>Actual</v>
      </c>
      <c r="C16" s="54" t="str">
        <f>Input!F13</f>
        <v>Actual</v>
      </c>
      <c r="D16" s="54" t="str">
        <f>Input!G13</f>
        <v>Actual</v>
      </c>
      <c r="E16" s="54" t="str">
        <f>Input!H13</f>
        <v>Plan</v>
      </c>
      <c r="F16" s="54" t="str">
        <f>Input!I13</f>
        <v>Plan</v>
      </c>
      <c r="G16" s="54" t="str">
        <f>Input!J13</f>
        <v>Plan</v>
      </c>
    </row>
    <row r="17" spans="1:7">
      <c r="A17" s="27" t="str">
        <f>Input!D70</f>
        <v>Sales</v>
      </c>
      <c r="B17" s="33">
        <f>Input!E70</f>
        <v>50</v>
      </c>
      <c r="C17" s="33">
        <f>Input!F70</f>
        <v>54</v>
      </c>
      <c r="D17" s="33">
        <f>Input!G70</f>
        <v>56</v>
      </c>
      <c r="E17" s="33">
        <f>Input!H70</f>
        <v>59</v>
      </c>
      <c r="F17" s="33">
        <f>Input!I70</f>
        <v>61</v>
      </c>
      <c r="G17" s="33">
        <f>Input!J70</f>
        <v>67</v>
      </c>
    </row>
    <row r="18" spans="1:7">
      <c r="A18" s="27" t="str">
        <f>Input!D22</f>
        <v>Selling expenses</v>
      </c>
      <c r="B18" s="33">
        <f>Input!E22</f>
        <v>7</v>
      </c>
      <c r="C18" s="33">
        <f>Input!F22</f>
        <v>8</v>
      </c>
      <c r="D18" s="33">
        <f>Input!G22</f>
        <v>8.5</v>
      </c>
      <c r="E18" s="33">
        <f>Input!H22</f>
        <v>9</v>
      </c>
      <c r="F18" s="33">
        <f>Input!I22</f>
        <v>9.5</v>
      </c>
      <c r="G18" s="33">
        <f>Input!J22</f>
        <v>10.5</v>
      </c>
    </row>
    <row r="19" spans="1:7">
      <c r="A19" s="27" t="s">
        <v>132</v>
      </c>
      <c r="B19" s="33"/>
      <c r="C19" s="33"/>
      <c r="D19" s="33"/>
      <c r="E19" s="33"/>
      <c r="F19" s="33"/>
      <c r="G19" s="33"/>
    </row>
    <row r="20" spans="1:7">
      <c r="A20" s="113" t="s">
        <v>71</v>
      </c>
      <c r="B20" s="97">
        <v>3.5</v>
      </c>
      <c r="C20" s="97">
        <v>4</v>
      </c>
      <c r="D20" s="97">
        <v>4</v>
      </c>
      <c r="E20" s="97">
        <v>4.2</v>
      </c>
      <c r="F20" s="97">
        <v>4.5</v>
      </c>
      <c r="G20" s="97">
        <v>5</v>
      </c>
    </row>
    <row r="21" spans="1:7">
      <c r="A21" s="113" t="s">
        <v>72</v>
      </c>
      <c r="B21" s="97">
        <v>2</v>
      </c>
      <c r="C21" s="97">
        <v>2.5</v>
      </c>
      <c r="D21" s="97">
        <v>3</v>
      </c>
      <c r="E21" s="97">
        <v>3.3</v>
      </c>
      <c r="F21" s="97">
        <v>3.5</v>
      </c>
      <c r="G21" s="97">
        <v>4</v>
      </c>
    </row>
    <row r="22" spans="1:7">
      <c r="A22" s="113" t="s">
        <v>73</v>
      </c>
      <c r="B22" s="97">
        <v>1</v>
      </c>
      <c r="C22" s="97">
        <v>1</v>
      </c>
      <c r="D22" s="97">
        <v>1</v>
      </c>
      <c r="E22" s="97">
        <v>1</v>
      </c>
      <c r="F22" s="97">
        <v>1</v>
      </c>
      <c r="G22" s="97">
        <v>1</v>
      </c>
    </row>
    <row r="23" spans="1:7">
      <c r="A23" s="113" t="s">
        <v>58</v>
      </c>
      <c r="B23" s="97">
        <v>0.5</v>
      </c>
      <c r="C23" s="97">
        <v>0.5</v>
      </c>
      <c r="D23" s="97">
        <v>0.5</v>
      </c>
      <c r="E23" s="97">
        <v>0.5</v>
      </c>
      <c r="F23" s="97">
        <v>0.5</v>
      </c>
      <c r="G23" s="97">
        <v>0.5</v>
      </c>
    </row>
    <row r="24" spans="1:7">
      <c r="A24" s="85" t="s">
        <v>118</v>
      </c>
      <c r="B24" s="86">
        <f t="shared" ref="B24:G24" si="0">B18-SUM(B20:B23)</f>
        <v>0</v>
      </c>
      <c r="C24" s="86">
        <f t="shared" si="0"/>
        <v>0</v>
      </c>
      <c r="D24" s="86">
        <f t="shared" si="0"/>
        <v>0</v>
      </c>
      <c r="E24" s="86">
        <f t="shared" si="0"/>
        <v>0</v>
      </c>
      <c r="F24" s="86">
        <f t="shared" si="0"/>
        <v>0</v>
      </c>
      <c r="G24" s="86">
        <f t="shared" si="0"/>
        <v>0</v>
      </c>
    </row>
    <row r="28" spans="1:7" ht="19.5" customHeight="1">
      <c r="A28" s="377" t="str">
        <f>A18</f>
        <v>Selling expenses</v>
      </c>
      <c r="B28" s="377"/>
      <c r="C28" s="377"/>
      <c r="D28" s="377"/>
      <c r="E28" s="377"/>
      <c r="F28" s="377"/>
      <c r="G28" s="377"/>
    </row>
    <row r="29" spans="1:7" ht="12" customHeight="1">
      <c r="A29" s="18"/>
      <c r="B29" s="3">
        <f>B15</f>
        <v>2010</v>
      </c>
      <c r="C29" s="3">
        <f t="shared" ref="C29:G29" si="1">C15</f>
        <v>2011</v>
      </c>
      <c r="D29" s="3">
        <f t="shared" si="1"/>
        <v>2012</v>
      </c>
      <c r="E29" s="406">
        <f t="shared" si="1"/>
        <v>2013</v>
      </c>
      <c r="F29" s="407">
        <f t="shared" si="1"/>
        <v>2014</v>
      </c>
      <c r="G29" s="440">
        <f t="shared" si="1"/>
        <v>2015</v>
      </c>
    </row>
    <row r="30" spans="1:7" ht="12" customHeight="1">
      <c r="A30" s="4" t="str">
        <f>A16</f>
        <v>€m</v>
      </c>
      <c r="B30" s="795" t="str">
        <f>C16</f>
        <v>Actual</v>
      </c>
      <c r="C30" s="795"/>
      <c r="D30" s="795"/>
      <c r="E30" s="796" t="str">
        <f>F16</f>
        <v>Plan</v>
      </c>
      <c r="F30" s="797"/>
      <c r="G30" s="798"/>
    </row>
    <row r="31" spans="1:7" ht="12" customHeight="1">
      <c r="A31" s="114" t="str">
        <f>A20</f>
        <v>Packaging costs</v>
      </c>
      <c r="B31" s="56">
        <f t="shared" ref="B31:G31" si="2">B20</f>
        <v>3.5</v>
      </c>
      <c r="C31" s="56">
        <f t="shared" si="2"/>
        <v>4</v>
      </c>
      <c r="D31" s="56">
        <f t="shared" si="2"/>
        <v>4</v>
      </c>
      <c r="E31" s="431">
        <f t="shared" si="2"/>
        <v>4.2</v>
      </c>
      <c r="F31" s="56">
        <f t="shared" si="2"/>
        <v>4.5</v>
      </c>
      <c r="G31" s="57">
        <f t="shared" si="2"/>
        <v>5</v>
      </c>
    </row>
    <row r="32" spans="1:7" ht="12" customHeight="1">
      <c r="A32" s="114" t="str">
        <f t="shared" ref="A32:G32" si="3">A21</f>
        <v>Freight costs</v>
      </c>
      <c r="B32" s="56">
        <f t="shared" si="3"/>
        <v>2</v>
      </c>
      <c r="C32" s="56">
        <f t="shared" si="3"/>
        <v>2.5</v>
      </c>
      <c r="D32" s="56">
        <f t="shared" si="3"/>
        <v>3</v>
      </c>
      <c r="E32" s="431">
        <f t="shared" si="3"/>
        <v>3.3</v>
      </c>
      <c r="F32" s="56">
        <f t="shared" si="3"/>
        <v>3.5</v>
      </c>
      <c r="G32" s="57">
        <f t="shared" si="3"/>
        <v>4</v>
      </c>
    </row>
    <row r="33" spans="1:7" ht="21.75" customHeight="1">
      <c r="A33" s="114" t="str">
        <f t="shared" ref="A33:G33" si="4">A22</f>
        <v>Transportation insurance</v>
      </c>
      <c r="B33" s="56">
        <f t="shared" si="4"/>
        <v>1</v>
      </c>
      <c r="C33" s="56">
        <f t="shared" si="4"/>
        <v>1</v>
      </c>
      <c r="D33" s="56">
        <f t="shared" si="4"/>
        <v>1</v>
      </c>
      <c r="E33" s="431">
        <f t="shared" si="4"/>
        <v>1</v>
      </c>
      <c r="F33" s="56">
        <f t="shared" si="4"/>
        <v>1</v>
      </c>
      <c r="G33" s="57">
        <f t="shared" si="4"/>
        <v>1</v>
      </c>
    </row>
    <row r="34" spans="1:7" ht="12" customHeight="1">
      <c r="A34" s="114" t="str">
        <f t="shared" ref="A34:G34" si="5">A23</f>
        <v>Other</v>
      </c>
      <c r="B34" s="56">
        <f t="shared" si="5"/>
        <v>0.5</v>
      </c>
      <c r="C34" s="56">
        <f t="shared" si="5"/>
        <v>0.5</v>
      </c>
      <c r="D34" s="56">
        <f t="shared" si="5"/>
        <v>0.5</v>
      </c>
      <c r="E34" s="431">
        <f t="shared" si="5"/>
        <v>0.5</v>
      </c>
      <c r="F34" s="56">
        <f t="shared" si="5"/>
        <v>0.5</v>
      </c>
      <c r="G34" s="57">
        <f t="shared" si="5"/>
        <v>0.5</v>
      </c>
    </row>
    <row r="35" spans="1:7" ht="12" customHeight="1">
      <c r="A35" s="71" t="s">
        <v>74</v>
      </c>
      <c r="B35" s="72">
        <f>SUM(B31:B34)</f>
        <v>7</v>
      </c>
      <c r="C35" s="72">
        <f t="shared" ref="C35:G35" si="6">SUM(C31:C34)</f>
        <v>8</v>
      </c>
      <c r="D35" s="72">
        <f t="shared" si="6"/>
        <v>8.5</v>
      </c>
      <c r="E35" s="459">
        <f t="shared" si="6"/>
        <v>9</v>
      </c>
      <c r="F35" s="72">
        <f t="shared" si="6"/>
        <v>9.5</v>
      </c>
      <c r="G35" s="73">
        <f t="shared" si="6"/>
        <v>10.5</v>
      </c>
    </row>
    <row r="36" spans="1:7" ht="12" customHeight="1" thickBot="1">
      <c r="A36" s="564" t="str">
        <f>CONCATENATE("In % of ",A17)</f>
        <v>In % of Sales</v>
      </c>
      <c r="B36" s="63">
        <f>B35/B17</f>
        <v>0.14000000000000001</v>
      </c>
      <c r="C36" s="63">
        <f t="shared" ref="C36:G36" si="7">C35/C17</f>
        <v>0.14814814814814814</v>
      </c>
      <c r="D36" s="63">
        <f t="shared" si="7"/>
        <v>0.15178571428571427</v>
      </c>
      <c r="E36" s="434">
        <f t="shared" si="7"/>
        <v>0.15254237288135594</v>
      </c>
      <c r="F36" s="63">
        <f t="shared" si="7"/>
        <v>0.15573770491803279</v>
      </c>
      <c r="G36" s="64">
        <f t="shared" si="7"/>
        <v>0.15671641791044777</v>
      </c>
    </row>
    <row r="40" spans="1:7" s="357" customFormat="1" ht="20.25" customHeight="1">
      <c r="A40" s="358" t="s">
        <v>114</v>
      </c>
    </row>
    <row r="42" spans="1:7">
      <c r="A42" s="9" t="s">
        <v>122</v>
      </c>
    </row>
    <row r="43" spans="1:7">
      <c r="B43" s="54">
        <f>Input!E12</f>
        <v>2010</v>
      </c>
      <c r="C43" s="54">
        <f>Input!F12</f>
        <v>2011</v>
      </c>
      <c r="D43" s="54">
        <f>Input!G12</f>
        <v>2012</v>
      </c>
      <c r="E43" s="54">
        <f>Input!H12</f>
        <v>2013</v>
      </c>
      <c r="F43" s="54">
        <f>Input!I12</f>
        <v>2014</v>
      </c>
      <c r="G43" s="54">
        <f>Input!J12</f>
        <v>2015</v>
      </c>
    </row>
    <row r="44" spans="1:7">
      <c r="A44" s="27" t="str">
        <f>Input!E4</f>
        <v>€m</v>
      </c>
      <c r="B44" s="54" t="str">
        <f>Input!E13</f>
        <v>Actual</v>
      </c>
      <c r="C44" s="54" t="str">
        <f>Input!F13</f>
        <v>Actual</v>
      </c>
      <c r="D44" s="54" t="str">
        <f>Input!G13</f>
        <v>Actual</v>
      </c>
      <c r="E44" s="54" t="str">
        <f>Input!H13</f>
        <v>Plan</v>
      </c>
      <c r="F44" s="54" t="str">
        <f>Input!I13</f>
        <v>Plan</v>
      </c>
      <c r="G44" s="54" t="str">
        <f>Input!J13</f>
        <v>Plan</v>
      </c>
    </row>
    <row r="45" spans="1:7">
      <c r="A45" s="27" t="s">
        <v>78</v>
      </c>
      <c r="B45" s="33">
        <f>Input!E75</f>
        <v>5</v>
      </c>
      <c r="C45" s="33">
        <f>Input!F75</f>
        <v>5</v>
      </c>
      <c r="D45" s="33">
        <f>Input!G75</f>
        <v>5</v>
      </c>
      <c r="E45" s="33">
        <f>Input!H75</f>
        <v>5</v>
      </c>
      <c r="F45" s="33">
        <f>Input!I75</f>
        <v>5</v>
      </c>
      <c r="G45" s="33">
        <f>Input!J75</f>
        <v>5</v>
      </c>
    </row>
    <row r="46" spans="1:7">
      <c r="A46" s="27" t="s">
        <v>133</v>
      </c>
      <c r="B46" s="33"/>
      <c r="C46" s="33"/>
      <c r="D46" s="33"/>
      <c r="E46" s="33"/>
      <c r="F46" s="33"/>
      <c r="G46" s="33"/>
    </row>
    <row r="47" spans="1:7">
      <c r="A47" s="108" t="str">
        <f>Input!D16</f>
        <v>Cost of goods sold</v>
      </c>
      <c r="B47" s="97">
        <v>2</v>
      </c>
      <c r="C47" s="97">
        <v>2</v>
      </c>
      <c r="D47" s="97">
        <v>2</v>
      </c>
      <c r="E47" s="97">
        <v>2</v>
      </c>
      <c r="F47" s="97">
        <v>2</v>
      </c>
      <c r="G47" s="97">
        <v>2</v>
      </c>
    </row>
    <row r="48" spans="1:7">
      <c r="A48" s="108" t="s">
        <v>123</v>
      </c>
      <c r="B48" s="97">
        <v>0</v>
      </c>
      <c r="C48" s="97">
        <v>0</v>
      </c>
      <c r="D48" s="97">
        <v>0</v>
      </c>
      <c r="E48" s="97">
        <v>0</v>
      </c>
      <c r="F48" s="97">
        <v>0</v>
      </c>
      <c r="G48" s="97">
        <v>0</v>
      </c>
    </row>
    <row r="49" spans="1:7">
      <c r="A49" s="108" t="str">
        <f>Input!D22</f>
        <v>Selling expenses</v>
      </c>
      <c r="B49" s="97">
        <v>1.5</v>
      </c>
      <c r="C49" s="97">
        <v>1.5</v>
      </c>
      <c r="D49" s="97">
        <v>1.5</v>
      </c>
      <c r="E49" s="97">
        <v>1.5</v>
      </c>
      <c r="F49" s="97">
        <v>1.5</v>
      </c>
      <c r="G49" s="97">
        <v>1.5</v>
      </c>
    </row>
    <row r="50" spans="1:7">
      <c r="A50" s="108" t="str">
        <f>Input!D24</f>
        <v>General &amp; administrative expenses</v>
      </c>
      <c r="B50" s="97">
        <v>1</v>
      </c>
      <c r="C50" s="97">
        <v>1</v>
      </c>
      <c r="D50" s="97">
        <v>1</v>
      </c>
      <c r="E50" s="97">
        <v>1</v>
      </c>
      <c r="F50" s="97">
        <v>1</v>
      </c>
      <c r="G50" s="97">
        <v>1</v>
      </c>
    </row>
    <row r="51" spans="1:7">
      <c r="A51" s="108" t="str">
        <f>Input!D26</f>
        <v>Other operating result</v>
      </c>
      <c r="B51" s="97">
        <v>0.5</v>
      </c>
      <c r="C51" s="97">
        <v>0.5</v>
      </c>
      <c r="D51" s="97">
        <v>0.5</v>
      </c>
      <c r="E51" s="97">
        <v>0.5</v>
      </c>
      <c r="F51" s="97">
        <v>0.5</v>
      </c>
      <c r="G51" s="97">
        <v>0.5</v>
      </c>
    </row>
    <row r="52" spans="1:7">
      <c r="A52" s="85" t="s">
        <v>118</v>
      </c>
      <c r="B52" s="86">
        <f t="shared" ref="B52:G52" si="8">B45-SUM(B47:B51)</f>
        <v>0</v>
      </c>
      <c r="C52" s="86">
        <f t="shared" si="8"/>
        <v>0</v>
      </c>
      <c r="D52" s="86">
        <f t="shared" si="8"/>
        <v>0</v>
      </c>
      <c r="E52" s="86">
        <f t="shared" si="8"/>
        <v>0</v>
      </c>
      <c r="F52" s="86">
        <f t="shared" si="8"/>
        <v>0</v>
      </c>
      <c r="G52" s="86">
        <f t="shared" si="8"/>
        <v>0</v>
      </c>
    </row>
    <row r="55" spans="1:7" ht="19.5" customHeight="1">
      <c r="A55" s="377" t="str">
        <f>A45</f>
        <v>Depreciation</v>
      </c>
      <c r="B55" s="377"/>
      <c r="C55" s="377"/>
      <c r="D55" s="377"/>
      <c r="E55" s="377"/>
      <c r="F55" s="377"/>
      <c r="G55" s="377"/>
    </row>
    <row r="56" spans="1:7" ht="12" customHeight="1">
      <c r="A56" s="18"/>
      <c r="B56" s="3">
        <f>B43</f>
        <v>2010</v>
      </c>
      <c r="C56" s="3">
        <f t="shared" ref="C56:G56" si="9">C43</f>
        <v>2011</v>
      </c>
      <c r="D56" s="3">
        <f t="shared" si="9"/>
        <v>2012</v>
      </c>
      <c r="E56" s="406">
        <f t="shared" si="9"/>
        <v>2013</v>
      </c>
      <c r="F56" s="407">
        <f t="shared" si="9"/>
        <v>2014</v>
      </c>
      <c r="G56" s="440">
        <f t="shared" si="9"/>
        <v>2015</v>
      </c>
    </row>
    <row r="57" spans="1:7" ht="12" customHeight="1">
      <c r="A57" s="4" t="str">
        <f>A44</f>
        <v>€m</v>
      </c>
      <c r="B57" s="795" t="str">
        <f>C44</f>
        <v>Actual</v>
      </c>
      <c r="C57" s="795"/>
      <c r="D57" s="795"/>
      <c r="E57" s="796" t="str">
        <f>F44</f>
        <v>Plan</v>
      </c>
      <c r="F57" s="797"/>
      <c r="G57" s="798"/>
    </row>
    <row r="58" spans="1:7" ht="12" customHeight="1">
      <c r="A58" s="118" t="s">
        <v>79</v>
      </c>
      <c r="B58" s="56"/>
      <c r="C58" s="56"/>
      <c r="D58" s="56"/>
      <c r="E58" s="431"/>
      <c r="F58" s="56"/>
      <c r="G58" s="57"/>
    </row>
    <row r="59" spans="1:7" ht="13.5" customHeight="1">
      <c r="A59" s="117" t="str">
        <f>A47</f>
        <v>Cost of goods sold</v>
      </c>
      <c r="B59" s="56">
        <f>B47</f>
        <v>2</v>
      </c>
      <c r="C59" s="56">
        <f t="shared" ref="C59:F59" si="10">C47</f>
        <v>2</v>
      </c>
      <c r="D59" s="56">
        <f t="shared" si="10"/>
        <v>2</v>
      </c>
      <c r="E59" s="431">
        <f t="shared" si="10"/>
        <v>2</v>
      </c>
      <c r="F59" s="56">
        <f t="shared" si="10"/>
        <v>2</v>
      </c>
      <c r="G59" s="57">
        <f>G47</f>
        <v>2</v>
      </c>
    </row>
    <row r="60" spans="1:7" ht="13.5" customHeight="1">
      <c r="A60" s="117" t="str">
        <f t="shared" ref="A60:G63" si="11">A48</f>
        <v>R&amp;D costs</v>
      </c>
      <c r="B60" s="56">
        <f t="shared" si="11"/>
        <v>0</v>
      </c>
      <c r="C60" s="56">
        <f t="shared" si="11"/>
        <v>0</v>
      </c>
      <c r="D60" s="56">
        <f t="shared" si="11"/>
        <v>0</v>
      </c>
      <c r="E60" s="431">
        <f t="shared" si="11"/>
        <v>0</v>
      </c>
      <c r="F60" s="56">
        <f t="shared" si="11"/>
        <v>0</v>
      </c>
      <c r="G60" s="57">
        <f t="shared" si="11"/>
        <v>0</v>
      </c>
    </row>
    <row r="61" spans="1:7" ht="13.5" customHeight="1">
      <c r="A61" s="117" t="str">
        <f t="shared" si="11"/>
        <v>Selling expenses</v>
      </c>
      <c r="B61" s="56">
        <f t="shared" si="11"/>
        <v>1.5</v>
      </c>
      <c r="C61" s="56">
        <f t="shared" si="11"/>
        <v>1.5</v>
      </c>
      <c r="D61" s="56">
        <f t="shared" si="11"/>
        <v>1.5</v>
      </c>
      <c r="E61" s="431">
        <f t="shared" si="11"/>
        <v>1.5</v>
      </c>
      <c r="F61" s="56">
        <f t="shared" si="11"/>
        <v>1.5</v>
      </c>
      <c r="G61" s="57">
        <f t="shared" si="11"/>
        <v>1.5</v>
      </c>
    </row>
    <row r="62" spans="1:7" ht="33.75">
      <c r="A62" s="117" t="str">
        <f t="shared" si="11"/>
        <v>General &amp; administrative expenses</v>
      </c>
      <c r="B62" s="56">
        <f t="shared" si="11"/>
        <v>1</v>
      </c>
      <c r="C62" s="56">
        <f t="shared" si="11"/>
        <v>1</v>
      </c>
      <c r="D62" s="56">
        <f t="shared" si="11"/>
        <v>1</v>
      </c>
      <c r="E62" s="431">
        <f t="shared" si="11"/>
        <v>1</v>
      </c>
      <c r="F62" s="56">
        <f t="shared" si="11"/>
        <v>1</v>
      </c>
      <c r="G62" s="57">
        <f t="shared" si="11"/>
        <v>1</v>
      </c>
    </row>
    <row r="63" spans="1:7" ht="21.75" customHeight="1">
      <c r="A63" s="117" t="str">
        <f t="shared" si="11"/>
        <v>Other operating result</v>
      </c>
      <c r="B63" s="56">
        <f t="shared" si="11"/>
        <v>0.5</v>
      </c>
      <c r="C63" s="56">
        <f t="shared" si="11"/>
        <v>0.5</v>
      </c>
      <c r="D63" s="56">
        <f t="shared" si="11"/>
        <v>0.5</v>
      </c>
      <c r="E63" s="431">
        <f t="shared" si="11"/>
        <v>0.5</v>
      </c>
      <c r="F63" s="56">
        <f t="shared" si="11"/>
        <v>0.5</v>
      </c>
      <c r="G63" s="57">
        <f t="shared" si="11"/>
        <v>0.5</v>
      </c>
    </row>
    <row r="64" spans="1:7" ht="12" customHeight="1" thickBot="1">
      <c r="A64" s="115" t="s">
        <v>74</v>
      </c>
      <c r="B64" s="87">
        <f>SUM(B59:B63)</f>
        <v>5</v>
      </c>
      <c r="C64" s="87">
        <f t="shared" ref="C64:G64" si="12">SUM(C59:C63)</f>
        <v>5</v>
      </c>
      <c r="D64" s="87">
        <f t="shared" si="12"/>
        <v>5</v>
      </c>
      <c r="E64" s="470">
        <f t="shared" si="12"/>
        <v>5</v>
      </c>
      <c r="F64" s="87">
        <f t="shared" si="12"/>
        <v>5</v>
      </c>
      <c r="G64" s="116">
        <f t="shared" si="12"/>
        <v>5</v>
      </c>
    </row>
    <row r="67" spans="1:7" s="357" customFormat="1" ht="20.25" customHeight="1">
      <c r="A67" s="358" t="s">
        <v>105</v>
      </c>
    </row>
    <row r="69" spans="1:7">
      <c r="A69" s="9" t="s">
        <v>122</v>
      </c>
    </row>
    <row r="70" spans="1:7">
      <c r="B70" s="54">
        <f>Input!E12</f>
        <v>2010</v>
      </c>
      <c r="C70" s="54">
        <f>Input!F12</f>
        <v>2011</v>
      </c>
      <c r="D70" s="54">
        <f>Input!G12</f>
        <v>2012</v>
      </c>
      <c r="E70" s="54">
        <f>Input!H12</f>
        <v>2013</v>
      </c>
      <c r="F70" s="54">
        <f>Input!I12</f>
        <v>2014</v>
      </c>
      <c r="G70" s="54">
        <f>Input!J12</f>
        <v>2015</v>
      </c>
    </row>
    <row r="71" spans="1:7">
      <c r="A71" s="27" t="str">
        <f>Input!E4</f>
        <v>€m</v>
      </c>
      <c r="B71" s="54" t="str">
        <f>Input!E13</f>
        <v>Actual</v>
      </c>
      <c r="C71" s="54" t="str">
        <f>Input!F13</f>
        <v>Actual</v>
      </c>
      <c r="D71" s="54" t="str">
        <f>Input!G13</f>
        <v>Actual</v>
      </c>
      <c r="E71" s="54" t="str">
        <f>Input!H13</f>
        <v>Plan</v>
      </c>
      <c r="F71" s="54" t="str">
        <f>Input!I13</f>
        <v>Plan</v>
      </c>
      <c r="G71" s="54" t="str">
        <f>Input!J13</f>
        <v>Plan</v>
      </c>
    </row>
    <row r="72" spans="1:7">
      <c r="A72" s="27" t="str">
        <f>Input!D70</f>
        <v>Sales</v>
      </c>
      <c r="B72" s="54">
        <f>Input!E70</f>
        <v>50</v>
      </c>
      <c r="C72" s="54">
        <f>Input!F70</f>
        <v>54</v>
      </c>
      <c r="D72" s="54">
        <f>Input!G70</f>
        <v>56</v>
      </c>
      <c r="E72" s="54">
        <f>Input!H70</f>
        <v>59</v>
      </c>
      <c r="F72" s="54">
        <f>Input!I70</f>
        <v>61</v>
      </c>
      <c r="G72" s="54">
        <f>Input!J70</f>
        <v>67</v>
      </c>
    </row>
    <row r="73" spans="1:7">
      <c r="A73" s="27" t="s">
        <v>78</v>
      </c>
      <c r="B73" s="33">
        <f>Input!E75</f>
        <v>5</v>
      </c>
      <c r="C73" s="33">
        <f>Input!F75</f>
        <v>5</v>
      </c>
      <c r="D73" s="33">
        <f>Input!G75</f>
        <v>5</v>
      </c>
      <c r="E73" s="33">
        <f>Input!H75</f>
        <v>5</v>
      </c>
      <c r="F73" s="33">
        <f>Input!I75</f>
        <v>5</v>
      </c>
      <c r="G73" s="33">
        <f>Input!J75</f>
        <v>5</v>
      </c>
    </row>
    <row r="74" spans="1:7">
      <c r="A74" s="27" t="s">
        <v>80</v>
      </c>
      <c r="B74" s="156">
        <f>Input!E80</f>
        <v>3</v>
      </c>
      <c r="C74" s="156">
        <f>Input!F80</f>
        <v>4</v>
      </c>
      <c r="D74" s="156">
        <f>Input!G80</f>
        <v>4.5</v>
      </c>
      <c r="E74" s="156">
        <f>Input!H80</f>
        <v>8</v>
      </c>
      <c r="F74" s="156">
        <f>Input!I80</f>
        <v>9</v>
      </c>
      <c r="G74" s="156">
        <f>Input!J80</f>
        <v>10</v>
      </c>
    </row>
    <row r="75" spans="1:7" customFormat="1">
      <c r="A75" s="85" t="s">
        <v>118</v>
      </c>
      <c r="B75" s="119">
        <f>(B74/B72)-'02_Comparison'!B161</f>
        <v>0</v>
      </c>
      <c r="C75" s="119">
        <f>(C74/C72)-'02_Comparison'!C161</f>
        <v>0</v>
      </c>
      <c r="D75" s="119">
        <f>(D74/D72)-'02_Comparison'!D161</f>
        <v>0</v>
      </c>
      <c r="E75" s="119">
        <f>(E74/E72)-'02_Comparison'!E161</f>
        <v>0</v>
      </c>
      <c r="F75" s="119">
        <f>(F74/F72)-'02_Comparison'!F161</f>
        <v>0</v>
      </c>
      <c r="G75" s="119">
        <f>(G74/G72)-'02_Comparison'!G161</f>
        <v>0</v>
      </c>
    </row>
    <row r="77" spans="1:7" ht="19.5" customHeight="1">
      <c r="A77" s="377" t="s">
        <v>134</v>
      </c>
      <c r="B77" s="377"/>
      <c r="C77" s="377"/>
      <c r="D77" s="377"/>
      <c r="E77" s="377"/>
      <c r="F77" s="377"/>
      <c r="G77" s="377"/>
    </row>
    <row r="78" spans="1:7" ht="12" customHeight="1">
      <c r="A78" s="417"/>
      <c r="B78" s="3">
        <f>B70</f>
        <v>2010</v>
      </c>
      <c r="C78" s="3">
        <f t="shared" ref="C78:G78" si="13">C70</f>
        <v>2011</v>
      </c>
      <c r="D78" s="3">
        <f t="shared" si="13"/>
        <v>2012</v>
      </c>
      <c r="E78" s="406">
        <f t="shared" si="13"/>
        <v>2013</v>
      </c>
      <c r="F78" s="407">
        <f t="shared" si="13"/>
        <v>2014</v>
      </c>
      <c r="G78" s="408">
        <f t="shared" si="13"/>
        <v>2015</v>
      </c>
    </row>
    <row r="79" spans="1:7" ht="12" customHeight="1">
      <c r="A79" s="397" t="str">
        <f>A71</f>
        <v>€m</v>
      </c>
      <c r="B79" s="793" t="str">
        <f>C71</f>
        <v>Actual</v>
      </c>
      <c r="C79" s="793"/>
      <c r="D79" s="793"/>
      <c r="E79" s="790" t="str">
        <f>F71</f>
        <v>Plan</v>
      </c>
      <c r="F79" s="791"/>
      <c r="G79" s="794"/>
    </row>
    <row r="80" spans="1:7" ht="13.5" customHeight="1">
      <c r="A80" s="560" t="str">
        <f>A72</f>
        <v>Sales</v>
      </c>
      <c r="B80" s="478">
        <f t="shared" ref="B80:G81" si="14">B72</f>
        <v>50</v>
      </c>
      <c r="C80" s="478">
        <f t="shared" si="14"/>
        <v>54</v>
      </c>
      <c r="D80" s="478">
        <f t="shared" si="14"/>
        <v>56</v>
      </c>
      <c r="E80" s="562">
        <f t="shared" si="14"/>
        <v>59</v>
      </c>
      <c r="F80" s="478">
        <f t="shared" si="14"/>
        <v>61</v>
      </c>
      <c r="G80" s="561">
        <f t="shared" si="14"/>
        <v>67</v>
      </c>
    </row>
    <row r="81" spans="1:7" ht="13.5" customHeight="1">
      <c r="A81" s="559" t="str">
        <f>A73</f>
        <v>Depreciation</v>
      </c>
      <c r="B81" s="59">
        <f t="shared" si="14"/>
        <v>5</v>
      </c>
      <c r="C81" s="59">
        <f t="shared" si="14"/>
        <v>5</v>
      </c>
      <c r="D81" s="59">
        <f t="shared" si="14"/>
        <v>5</v>
      </c>
      <c r="E81" s="433">
        <f t="shared" si="14"/>
        <v>5</v>
      </c>
      <c r="F81" s="59">
        <f t="shared" si="14"/>
        <v>5</v>
      </c>
      <c r="G81" s="451">
        <f t="shared" si="14"/>
        <v>5</v>
      </c>
    </row>
    <row r="82" spans="1:7" ht="13.5" customHeight="1">
      <c r="A82" s="537" t="str">
        <f>CONCATENATE(A81, " ratio")</f>
        <v>Depreciation ratio</v>
      </c>
      <c r="B82" s="61">
        <f t="shared" ref="B82:G82" si="15">B81/B80</f>
        <v>0.1</v>
      </c>
      <c r="C82" s="61">
        <f t="shared" si="15"/>
        <v>9.2592592592592587E-2</v>
      </c>
      <c r="D82" s="61">
        <f t="shared" si="15"/>
        <v>8.9285714285714288E-2</v>
      </c>
      <c r="E82" s="432">
        <f t="shared" si="15"/>
        <v>8.4745762711864403E-2</v>
      </c>
      <c r="F82" s="61">
        <f t="shared" si="15"/>
        <v>8.1967213114754092E-2</v>
      </c>
      <c r="G82" s="452">
        <f t="shared" si="15"/>
        <v>7.4626865671641784E-2</v>
      </c>
    </row>
    <row r="83" spans="1:7" ht="13.5" customHeight="1">
      <c r="A83" s="559" t="str">
        <f>A74</f>
        <v>Investments</v>
      </c>
      <c r="B83" s="59">
        <f t="shared" ref="B83:G83" si="16">B74</f>
        <v>3</v>
      </c>
      <c r="C83" s="59">
        <f t="shared" si="16"/>
        <v>4</v>
      </c>
      <c r="D83" s="59">
        <f t="shared" si="16"/>
        <v>4.5</v>
      </c>
      <c r="E83" s="433">
        <f t="shared" si="16"/>
        <v>8</v>
      </c>
      <c r="F83" s="59">
        <f t="shared" si="16"/>
        <v>9</v>
      </c>
      <c r="G83" s="451">
        <f t="shared" si="16"/>
        <v>10</v>
      </c>
    </row>
    <row r="84" spans="1:7" ht="13.5" customHeight="1">
      <c r="A84" s="556" t="str">
        <f>CONCATENATE(A83, " ratio")</f>
        <v>Investments ratio</v>
      </c>
      <c r="B84" s="557">
        <f t="shared" ref="B84:G84" si="17">B83/B80</f>
        <v>0.06</v>
      </c>
      <c r="C84" s="557">
        <f t="shared" si="17"/>
        <v>7.407407407407407E-2</v>
      </c>
      <c r="D84" s="557">
        <f t="shared" si="17"/>
        <v>8.0357142857142863E-2</v>
      </c>
      <c r="E84" s="563">
        <f t="shared" si="17"/>
        <v>0.13559322033898305</v>
      </c>
      <c r="F84" s="557">
        <f t="shared" si="17"/>
        <v>0.14754098360655737</v>
      </c>
      <c r="G84" s="558">
        <f t="shared" si="17"/>
        <v>0.14925373134328357</v>
      </c>
    </row>
    <row r="89" spans="1:7" s="357" customFormat="1" ht="20.25" customHeight="1">
      <c r="A89" s="358" t="s">
        <v>107</v>
      </c>
    </row>
    <row r="91" spans="1:7">
      <c r="A91" s="9" t="s">
        <v>122</v>
      </c>
    </row>
    <row r="92" spans="1:7">
      <c r="B92" s="54">
        <f>Input!E12</f>
        <v>2010</v>
      </c>
      <c r="C92" s="54">
        <f>Input!F12</f>
        <v>2011</v>
      </c>
      <c r="D92" s="54">
        <f>Input!G12</f>
        <v>2012</v>
      </c>
      <c r="E92" s="54">
        <f>Input!H12</f>
        <v>2013</v>
      </c>
      <c r="F92" s="54">
        <f>Input!I12</f>
        <v>2014</v>
      </c>
      <c r="G92" s="54">
        <f>Input!J12</f>
        <v>2015</v>
      </c>
    </row>
    <row r="93" spans="1:7">
      <c r="A93" s="27" t="str">
        <f>Input!E4</f>
        <v>€m</v>
      </c>
      <c r="B93" s="54" t="str">
        <f>Input!E13</f>
        <v>Actual</v>
      </c>
      <c r="C93" s="54" t="str">
        <f>Input!F13</f>
        <v>Actual</v>
      </c>
      <c r="D93" s="54" t="str">
        <f>Input!G13</f>
        <v>Actual</v>
      </c>
      <c r="E93" s="54" t="str">
        <f>Input!H13</f>
        <v>Plan</v>
      </c>
      <c r="F93" s="54" t="str">
        <f>Input!I13</f>
        <v>Plan</v>
      </c>
      <c r="G93" s="54" t="str">
        <f>Input!J13</f>
        <v>Plan</v>
      </c>
    </row>
    <row r="94" spans="1:7" ht="22.5">
      <c r="A94" s="120" t="s">
        <v>83</v>
      </c>
      <c r="B94" s="97">
        <v>90</v>
      </c>
      <c r="C94" s="97">
        <f>B99</f>
        <v>88</v>
      </c>
      <c r="D94" s="97">
        <f t="shared" ref="D94:G94" si="18">C99</f>
        <v>87</v>
      </c>
      <c r="E94" s="97">
        <f t="shared" si="18"/>
        <v>85</v>
      </c>
      <c r="F94" s="97">
        <f t="shared" si="18"/>
        <v>86.5</v>
      </c>
      <c r="G94" s="97">
        <f t="shared" si="18"/>
        <v>89</v>
      </c>
    </row>
    <row r="95" spans="1:7">
      <c r="A95" s="120" t="s">
        <v>84</v>
      </c>
      <c r="B95" s="33">
        <f>Input!E80</f>
        <v>3</v>
      </c>
      <c r="C95" s="33">
        <f>Input!F80</f>
        <v>4</v>
      </c>
      <c r="D95" s="33">
        <f>Input!G80</f>
        <v>4.5</v>
      </c>
      <c r="E95" s="33">
        <f>Input!H80</f>
        <v>8</v>
      </c>
      <c r="F95" s="33">
        <f>Input!I80</f>
        <v>9</v>
      </c>
      <c r="G95" s="33">
        <f>Input!J80</f>
        <v>10</v>
      </c>
    </row>
    <row r="96" spans="1:7">
      <c r="A96" s="120" t="s">
        <v>85</v>
      </c>
      <c r="B96" s="97">
        <v>0</v>
      </c>
      <c r="C96" s="97">
        <v>0</v>
      </c>
      <c r="D96" s="97">
        <v>0.5</v>
      </c>
      <c r="E96" s="97">
        <v>1</v>
      </c>
      <c r="F96" s="97">
        <v>1</v>
      </c>
      <c r="G96" s="97">
        <v>1</v>
      </c>
    </row>
    <row r="97" spans="1:7">
      <c r="A97" s="120" t="s">
        <v>86</v>
      </c>
      <c r="B97" s="33">
        <f>Input!E75</f>
        <v>5</v>
      </c>
      <c r="C97" s="33">
        <f>Input!F75</f>
        <v>5</v>
      </c>
      <c r="D97" s="33">
        <f>Input!G75</f>
        <v>5</v>
      </c>
      <c r="E97" s="33">
        <f>Input!H75</f>
        <v>5</v>
      </c>
      <c r="F97" s="33">
        <f>Input!I75</f>
        <v>5</v>
      </c>
      <c r="G97" s="33">
        <f>Input!J75</f>
        <v>5</v>
      </c>
    </row>
    <row r="98" spans="1:7">
      <c r="A98" s="120" t="s">
        <v>87</v>
      </c>
      <c r="B98" s="97">
        <v>0</v>
      </c>
      <c r="C98" s="97">
        <v>0</v>
      </c>
      <c r="D98" s="97">
        <v>-1</v>
      </c>
      <c r="E98" s="97">
        <v>-0.5</v>
      </c>
      <c r="F98" s="97">
        <v>-0.5</v>
      </c>
      <c r="G98" s="97">
        <v>0</v>
      </c>
    </row>
    <row r="99" spans="1:7" ht="22.5">
      <c r="A99" s="120" t="s">
        <v>88</v>
      </c>
      <c r="B99" s="97">
        <v>88</v>
      </c>
      <c r="C99" s="97">
        <v>87</v>
      </c>
      <c r="D99" s="97">
        <v>85</v>
      </c>
      <c r="E99" s="97">
        <v>86.5</v>
      </c>
      <c r="F99" s="97">
        <v>89</v>
      </c>
      <c r="G99" s="97">
        <v>93</v>
      </c>
    </row>
    <row r="100" spans="1:7">
      <c r="A100" s="85" t="s">
        <v>106</v>
      </c>
      <c r="B100" s="86">
        <f>B99-(B94+B95-B96-B97+B98)</f>
        <v>0</v>
      </c>
      <c r="C100" s="86">
        <f t="shared" ref="C100:G100" si="19">C99-(C94+C95-C96-C97+C98)</f>
        <v>0</v>
      </c>
      <c r="D100" s="86">
        <f t="shared" si="19"/>
        <v>0</v>
      </c>
      <c r="E100" s="86">
        <f t="shared" si="19"/>
        <v>0</v>
      </c>
      <c r="F100" s="86">
        <f t="shared" si="19"/>
        <v>0</v>
      </c>
      <c r="G100" s="86">
        <f t="shared" si="19"/>
        <v>0</v>
      </c>
    </row>
    <row r="103" spans="1:7" ht="19.5" customHeight="1">
      <c r="A103" s="377" t="s">
        <v>82</v>
      </c>
      <c r="B103" s="377"/>
      <c r="C103" s="377"/>
      <c r="D103" s="377"/>
      <c r="E103" s="377"/>
      <c r="F103" s="377"/>
      <c r="G103" s="377"/>
    </row>
    <row r="104" spans="1:7" ht="12" customHeight="1">
      <c r="A104" s="417"/>
      <c r="B104" s="3">
        <f>B92</f>
        <v>2010</v>
      </c>
      <c r="C104" s="3">
        <f t="shared" ref="C104:G104" si="20">C92</f>
        <v>2011</v>
      </c>
      <c r="D104" s="3">
        <f t="shared" si="20"/>
        <v>2012</v>
      </c>
      <c r="E104" s="406">
        <f t="shared" si="20"/>
        <v>2013</v>
      </c>
      <c r="F104" s="407">
        <f t="shared" si="20"/>
        <v>2014</v>
      </c>
      <c r="G104" s="408">
        <f t="shared" si="20"/>
        <v>2015</v>
      </c>
    </row>
    <row r="105" spans="1:7" ht="12" customHeight="1">
      <c r="A105" s="397" t="str">
        <f>A93</f>
        <v>€m</v>
      </c>
      <c r="B105" s="793" t="str">
        <f>C93</f>
        <v>Actual</v>
      </c>
      <c r="C105" s="793"/>
      <c r="D105" s="793"/>
      <c r="E105" s="790" t="str">
        <f>F93</f>
        <v>Plan</v>
      </c>
      <c r="F105" s="791"/>
      <c r="G105" s="794"/>
    </row>
    <row r="106" spans="1:7" ht="23.25" customHeight="1">
      <c r="A106" s="552" t="str">
        <f>A94</f>
        <v>Opening balance of fixed assets</v>
      </c>
      <c r="B106" s="553">
        <f>B94</f>
        <v>90</v>
      </c>
      <c r="C106" s="553">
        <f t="shared" ref="C106:G106" si="21">C94</f>
        <v>88</v>
      </c>
      <c r="D106" s="553">
        <f t="shared" si="21"/>
        <v>87</v>
      </c>
      <c r="E106" s="554">
        <f t="shared" si="21"/>
        <v>85</v>
      </c>
      <c r="F106" s="553">
        <f t="shared" si="21"/>
        <v>86.5</v>
      </c>
      <c r="G106" s="555">
        <f t="shared" si="21"/>
        <v>89</v>
      </c>
    </row>
    <row r="107" spans="1:7" ht="12" customHeight="1">
      <c r="A107" s="550" t="str">
        <f t="shared" ref="A107:B111" si="22">A95</f>
        <v>+ Investments</v>
      </c>
      <c r="B107" s="56">
        <f t="shared" si="22"/>
        <v>3</v>
      </c>
      <c r="C107" s="56">
        <f t="shared" ref="C107:G107" si="23">C95</f>
        <v>4</v>
      </c>
      <c r="D107" s="56">
        <f t="shared" si="23"/>
        <v>4.5</v>
      </c>
      <c r="E107" s="431">
        <f t="shared" si="23"/>
        <v>8</v>
      </c>
      <c r="F107" s="56">
        <f t="shared" si="23"/>
        <v>9</v>
      </c>
      <c r="G107" s="453">
        <f t="shared" si="23"/>
        <v>10</v>
      </c>
    </row>
    <row r="108" spans="1:7" ht="12" customHeight="1">
      <c r="A108" s="550" t="str">
        <f t="shared" si="22"/>
        <v>- Divestments</v>
      </c>
      <c r="B108" s="56">
        <f t="shared" si="22"/>
        <v>0</v>
      </c>
      <c r="C108" s="56">
        <f t="shared" ref="C108:G108" si="24">C96</f>
        <v>0</v>
      </c>
      <c r="D108" s="56">
        <f t="shared" si="24"/>
        <v>0.5</v>
      </c>
      <c r="E108" s="431">
        <f t="shared" si="24"/>
        <v>1</v>
      </c>
      <c r="F108" s="56">
        <f t="shared" si="24"/>
        <v>1</v>
      </c>
      <c r="G108" s="453">
        <f t="shared" si="24"/>
        <v>1</v>
      </c>
    </row>
    <row r="109" spans="1:7" ht="12" customHeight="1">
      <c r="A109" s="550" t="str">
        <f t="shared" si="22"/>
        <v>- Depreciation</v>
      </c>
      <c r="B109" s="56">
        <f t="shared" si="22"/>
        <v>5</v>
      </c>
      <c r="C109" s="56">
        <f t="shared" ref="C109:G109" si="25">C97</f>
        <v>5</v>
      </c>
      <c r="D109" s="56">
        <f t="shared" si="25"/>
        <v>5</v>
      </c>
      <c r="E109" s="431">
        <f t="shared" si="25"/>
        <v>5</v>
      </c>
      <c r="F109" s="56">
        <f t="shared" si="25"/>
        <v>5</v>
      </c>
      <c r="G109" s="453">
        <f t="shared" si="25"/>
        <v>5</v>
      </c>
    </row>
    <row r="110" spans="1:7" ht="12" customHeight="1">
      <c r="A110" s="550" t="str">
        <f t="shared" si="22"/>
        <v>+/- Revaluations</v>
      </c>
      <c r="B110" s="444">
        <f t="shared" si="22"/>
        <v>0</v>
      </c>
      <c r="C110" s="444">
        <f t="shared" ref="C110:G110" si="26">C98</f>
        <v>0</v>
      </c>
      <c r="D110" s="444">
        <f t="shared" si="26"/>
        <v>-1</v>
      </c>
      <c r="E110" s="460">
        <f t="shared" si="26"/>
        <v>-0.5</v>
      </c>
      <c r="F110" s="444">
        <f t="shared" si="26"/>
        <v>-0.5</v>
      </c>
      <c r="G110" s="455">
        <f t="shared" si="26"/>
        <v>0</v>
      </c>
    </row>
    <row r="111" spans="1:7" s="9" customFormat="1" ht="23.25" customHeight="1" thickBot="1">
      <c r="A111" s="551" t="str">
        <f t="shared" si="22"/>
        <v>Closing balance of fixed assets</v>
      </c>
      <c r="B111" s="87">
        <f t="shared" si="22"/>
        <v>88</v>
      </c>
      <c r="C111" s="87">
        <f t="shared" ref="C111:G111" si="27">C99</f>
        <v>87</v>
      </c>
      <c r="D111" s="87">
        <f t="shared" si="27"/>
        <v>85</v>
      </c>
      <c r="E111" s="470">
        <f t="shared" si="27"/>
        <v>86.5</v>
      </c>
      <c r="F111" s="87">
        <f t="shared" si="27"/>
        <v>89</v>
      </c>
      <c r="G111" s="466">
        <f t="shared" si="27"/>
        <v>93</v>
      </c>
    </row>
    <row r="117" spans="1:7" s="357" customFormat="1" ht="20.25" customHeight="1">
      <c r="A117" s="358" t="s">
        <v>108</v>
      </c>
    </row>
    <row r="119" spans="1:7">
      <c r="A119" s="9" t="s">
        <v>122</v>
      </c>
    </row>
    <row r="120" spans="1:7">
      <c r="B120" s="54">
        <f>Input!E12</f>
        <v>2010</v>
      </c>
      <c r="C120" s="54">
        <f>Input!F12</f>
        <v>2011</v>
      </c>
      <c r="D120" s="54">
        <f>Input!G12</f>
        <v>2012</v>
      </c>
      <c r="E120" s="54">
        <f>Input!H12</f>
        <v>2013</v>
      </c>
      <c r="F120" s="54">
        <f>Input!I12</f>
        <v>2014</v>
      </c>
      <c r="G120" s="54">
        <f>Input!J12</f>
        <v>2015</v>
      </c>
    </row>
    <row r="121" spans="1:7">
      <c r="A121" s="27" t="str">
        <f>Input!E4</f>
        <v>€m</v>
      </c>
      <c r="B121" s="54" t="str">
        <f>Input!E13</f>
        <v>Actual</v>
      </c>
      <c r="C121" s="54" t="str">
        <f>Input!F13</f>
        <v>Actual</v>
      </c>
      <c r="D121" s="54" t="str">
        <f>Input!G13</f>
        <v>Actual</v>
      </c>
      <c r="E121" s="54" t="str">
        <f>Input!H13</f>
        <v>Plan</v>
      </c>
      <c r="F121" s="54" t="str">
        <f>Input!I13</f>
        <v>Plan</v>
      </c>
      <c r="G121" s="54" t="str">
        <f>Input!J13</f>
        <v>Plan</v>
      </c>
    </row>
    <row r="122" spans="1:7">
      <c r="A122" s="92" t="s">
        <v>75</v>
      </c>
      <c r="B122" s="97">
        <v>-2.7257240204429305</v>
      </c>
      <c r="C122" s="97">
        <v>-2.8257240204429301</v>
      </c>
      <c r="D122" s="97">
        <v>-2.7257240204429305</v>
      </c>
      <c r="E122" s="97">
        <v>-2.8257240204429301</v>
      </c>
      <c r="F122" s="97">
        <v>-2.7257240204429305</v>
      </c>
      <c r="G122" s="97">
        <v>-2.8257240204429301</v>
      </c>
    </row>
    <row r="123" spans="1:7">
      <c r="A123" s="92" t="s">
        <v>20</v>
      </c>
      <c r="B123" s="97">
        <v>-2.0442930153321979</v>
      </c>
      <c r="C123" s="97">
        <v>-2.2442930153321998</v>
      </c>
      <c r="D123" s="97">
        <v>-2.0442930153321979</v>
      </c>
      <c r="E123" s="97">
        <v>-2.2442930153321998</v>
      </c>
      <c r="F123" s="97">
        <v>-2.0442930153321979</v>
      </c>
      <c r="G123" s="97">
        <v>-2.2442930153321998</v>
      </c>
    </row>
    <row r="124" spans="1:7">
      <c r="A124" s="92" t="s">
        <v>77</v>
      </c>
      <c r="B124" s="97">
        <v>-0.68143100511073262</v>
      </c>
      <c r="C124" s="97">
        <v>-0.981431005110733</v>
      </c>
      <c r="D124" s="97">
        <v>-0.68143100511073262</v>
      </c>
      <c r="E124" s="97">
        <v>-0.981431005110733</v>
      </c>
      <c r="F124" s="97">
        <v>-0.68143100511073262</v>
      </c>
      <c r="G124" s="97">
        <v>-0.981431005110733</v>
      </c>
    </row>
    <row r="125" spans="1:7">
      <c r="A125" s="92" t="s">
        <v>21</v>
      </c>
      <c r="B125" s="97">
        <v>-0.54514480408858612</v>
      </c>
      <c r="C125" s="97">
        <v>-0.345144804088586</v>
      </c>
      <c r="D125" s="97">
        <v>-0.54514480408858612</v>
      </c>
      <c r="E125" s="97">
        <v>-0.345144804088586</v>
      </c>
      <c r="F125" s="97">
        <v>-0.54514480408858612</v>
      </c>
      <c r="G125" s="97">
        <v>-0.345144804088586</v>
      </c>
    </row>
    <row r="126" spans="1:7">
      <c r="A126" s="92" t="s">
        <v>22</v>
      </c>
      <c r="B126" s="97">
        <v>-1.1448040885860309</v>
      </c>
      <c r="C126" s="97">
        <v>-1.0448040885860299</v>
      </c>
      <c r="D126" s="97">
        <v>-1.1448040885860309</v>
      </c>
      <c r="E126" s="97">
        <v>-1.0448040885860299</v>
      </c>
      <c r="F126" s="97">
        <v>-1.1448040885860309</v>
      </c>
      <c r="G126" s="97">
        <v>-1.0448040885860299</v>
      </c>
    </row>
    <row r="127" spans="1:7">
      <c r="A127" s="92" t="s">
        <v>136</v>
      </c>
      <c r="B127" s="97">
        <v>-0.85860306643952289</v>
      </c>
      <c r="C127" s="97">
        <v>-0.55860306643952296</v>
      </c>
      <c r="D127" s="97">
        <v>-0.858603066439523</v>
      </c>
      <c r="E127" s="97">
        <v>-0.55860306643952296</v>
      </c>
      <c r="F127" s="97">
        <v>-0.85860306643952311</v>
      </c>
      <c r="G127" s="97">
        <v>-0.55860306643952296</v>
      </c>
    </row>
    <row r="128" spans="1:7">
      <c r="A128" s="27" t="str">
        <f>CHOOSE(Input!$B$6,Input!D26,Input!D52)</f>
        <v>Other operating result</v>
      </c>
      <c r="B128" s="33">
        <f>CHOOSE(Input!$B$6,Input!E26,Input!E52)</f>
        <v>-8</v>
      </c>
      <c r="C128" s="33">
        <f>CHOOSE(Input!$B$6,Input!F26,Input!F52)</f>
        <v>-8</v>
      </c>
      <c r="D128" s="33">
        <f>CHOOSE(Input!$B$6,Input!G26,Input!G52)</f>
        <v>-8</v>
      </c>
      <c r="E128" s="33">
        <f>CHOOSE(Input!$B$6,Input!H26,Input!H52)</f>
        <v>-8</v>
      </c>
      <c r="F128" s="33">
        <f>CHOOSE(Input!$B$6,Input!I26,Input!I52)</f>
        <v>-8</v>
      </c>
      <c r="G128" s="33">
        <f>CHOOSE(Input!$B$6,Input!J26,Input!J52)</f>
        <v>-8</v>
      </c>
    </row>
    <row r="129" spans="1:7">
      <c r="A129" s="121" t="s">
        <v>106</v>
      </c>
      <c r="B129" s="121">
        <f>B128-SUM(B122:B127)</f>
        <v>0</v>
      </c>
      <c r="C129" s="121">
        <f t="shared" ref="C129:G129" si="28">C128-SUM(C122:C127)</f>
        <v>0</v>
      </c>
      <c r="D129" s="121">
        <f t="shared" si="28"/>
        <v>0</v>
      </c>
      <c r="E129" s="121">
        <f t="shared" si="28"/>
        <v>0</v>
      </c>
      <c r="F129" s="121">
        <f t="shared" si="28"/>
        <v>0</v>
      </c>
      <c r="G129" s="121">
        <f t="shared" si="28"/>
        <v>0</v>
      </c>
    </row>
    <row r="131" spans="1:7">
      <c r="A131" s="27" t="s">
        <v>47</v>
      </c>
      <c r="B131" s="27">
        <f>Input!E70</f>
        <v>50</v>
      </c>
      <c r="C131" s="27">
        <f>Input!F70</f>
        <v>54</v>
      </c>
      <c r="D131" s="27">
        <f>Input!G70</f>
        <v>56</v>
      </c>
      <c r="E131" s="27">
        <f>Input!H70</f>
        <v>59</v>
      </c>
      <c r="F131" s="27">
        <f>Input!I70</f>
        <v>61</v>
      </c>
      <c r="G131" s="27">
        <f>Input!J70</f>
        <v>67</v>
      </c>
    </row>
    <row r="132" spans="1:7">
      <c r="A132" s="27" t="s">
        <v>135</v>
      </c>
      <c r="B132" s="103">
        <f>Input!E82</f>
        <v>395</v>
      </c>
      <c r="C132" s="103">
        <f>Input!F82</f>
        <v>417</v>
      </c>
      <c r="D132" s="103">
        <f>Input!G82</f>
        <v>439</v>
      </c>
      <c r="E132" s="103">
        <f>Input!H82</f>
        <v>462</v>
      </c>
      <c r="F132" s="103">
        <f>Input!I82</f>
        <v>484</v>
      </c>
      <c r="G132" s="103">
        <f>Input!J82</f>
        <v>506</v>
      </c>
    </row>
    <row r="135" spans="1:7" ht="19.5" customHeight="1">
      <c r="A135" s="377" t="str">
        <f>A128</f>
        <v>Other operating result</v>
      </c>
      <c r="B135" s="377"/>
      <c r="C135" s="377"/>
      <c r="D135" s="377"/>
      <c r="E135" s="377"/>
      <c r="F135" s="377"/>
      <c r="G135" s="377"/>
    </row>
    <row r="136" spans="1:7" ht="12" customHeight="1">
      <c r="A136" s="417"/>
      <c r="B136" s="3">
        <f>B120</f>
        <v>2010</v>
      </c>
      <c r="C136" s="3">
        <f t="shared" ref="C136:G136" si="29">C120</f>
        <v>2011</v>
      </c>
      <c r="D136" s="3">
        <f t="shared" si="29"/>
        <v>2012</v>
      </c>
      <c r="E136" s="406">
        <f t="shared" si="29"/>
        <v>2013</v>
      </c>
      <c r="F136" s="407">
        <f t="shared" si="29"/>
        <v>2014</v>
      </c>
      <c r="G136" s="408">
        <f t="shared" si="29"/>
        <v>2015</v>
      </c>
    </row>
    <row r="137" spans="1:7" ht="12" customHeight="1">
      <c r="A137" s="397" t="str">
        <f>A121</f>
        <v>€m</v>
      </c>
      <c r="B137" s="793" t="str">
        <f>C121</f>
        <v>Actual</v>
      </c>
      <c r="C137" s="793"/>
      <c r="D137" s="793"/>
      <c r="E137" s="790" t="str">
        <f>F121</f>
        <v>Plan</v>
      </c>
      <c r="F137" s="791"/>
      <c r="G137" s="794"/>
    </row>
    <row r="138" spans="1:7" ht="12" customHeight="1">
      <c r="A138" s="536" t="str">
        <f>A122</f>
        <v>Rent</v>
      </c>
      <c r="B138" s="444">
        <f>B122</f>
        <v>-2.7257240204429305</v>
      </c>
      <c r="C138" s="444">
        <f t="shared" ref="C138:G138" si="30">C122</f>
        <v>-2.8257240204429301</v>
      </c>
      <c r="D138" s="444">
        <f t="shared" si="30"/>
        <v>-2.7257240204429305</v>
      </c>
      <c r="E138" s="460">
        <f t="shared" si="30"/>
        <v>-2.8257240204429301</v>
      </c>
      <c r="F138" s="444">
        <f t="shared" si="30"/>
        <v>-2.7257240204429305</v>
      </c>
      <c r="G138" s="455">
        <f t="shared" si="30"/>
        <v>-2.8257240204429301</v>
      </c>
    </row>
    <row r="139" spans="1:7" ht="12" customHeight="1">
      <c r="A139" s="537" t="s">
        <v>76</v>
      </c>
      <c r="B139" s="543"/>
      <c r="C139" s="543">
        <f>C138/B138-1</f>
        <v>3.6687499999999762E-2</v>
      </c>
      <c r="D139" s="543">
        <f>D138/C138-1</f>
        <v>-3.5389160185687496E-2</v>
      </c>
      <c r="E139" s="544">
        <f>E138/D138-1</f>
        <v>3.6687499999999762E-2</v>
      </c>
      <c r="F139" s="543">
        <f>F138/E138-1</f>
        <v>-3.5389160185687496E-2</v>
      </c>
      <c r="G139" s="545">
        <f>G138/F138-1</f>
        <v>3.6687499999999762E-2</v>
      </c>
    </row>
    <row r="140" spans="1:7" ht="12" customHeight="1">
      <c r="A140" s="536" t="str">
        <f>A123</f>
        <v>IT</v>
      </c>
      <c r="B140" s="444">
        <f>B123</f>
        <v>-2.0442930153321979</v>
      </c>
      <c r="C140" s="444">
        <f t="shared" ref="C140:G140" si="31">C123</f>
        <v>-2.2442930153321998</v>
      </c>
      <c r="D140" s="444">
        <f t="shared" si="31"/>
        <v>-2.0442930153321979</v>
      </c>
      <c r="E140" s="460">
        <f t="shared" si="31"/>
        <v>-2.2442930153321998</v>
      </c>
      <c r="F140" s="444">
        <f t="shared" si="31"/>
        <v>-2.0442930153321979</v>
      </c>
      <c r="G140" s="455">
        <f t="shared" si="31"/>
        <v>-2.2442930153321998</v>
      </c>
    </row>
    <row r="141" spans="1:7" s="122" customFormat="1" ht="12" customHeight="1">
      <c r="A141" s="537" t="s">
        <v>76</v>
      </c>
      <c r="B141" s="543"/>
      <c r="C141" s="543">
        <f>C140/B140-1</f>
        <v>9.7833333333334327E-2</v>
      </c>
      <c r="D141" s="543">
        <f>D140/C140-1</f>
        <v>-8.911492333384019E-2</v>
      </c>
      <c r="E141" s="544">
        <f>E140/D140-1</f>
        <v>9.7833333333334327E-2</v>
      </c>
      <c r="F141" s="543">
        <f>F140/E140-1</f>
        <v>-8.911492333384019E-2</v>
      </c>
      <c r="G141" s="545">
        <f>G140/F140-1</f>
        <v>9.7833333333334327E-2</v>
      </c>
    </row>
    <row r="142" spans="1:7" ht="12" customHeight="1">
      <c r="A142" s="536" t="str">
        <f>A124</f>
        <v>Advertising</v>
      </c>
      <c r="B142" s="444">
        <f>B124</f>
        <v>-0.68143100511073262</v>
      </c>
      <c r="C142" s="444">
        <f t="shared" ref="C142:G142" si="32">C124</f>
        <v>-0.981431005110733</v>
      </c>
      <c r="D142" s="444">
        <f t="shared" si="32"/>
        <v>-0.68143100511073262</v>
      </c>
      <c r="E142" s="460">
        <f t="shared" si="32"/>
        <v>-0.981431005110733</v>
      </c>
      <c r="F142" s="444">
        <f t="shared" si="32"/>
        <v>-0.68143100511073262</v>
      </c>
      <c r="G142" s="455">
        <f t="shared" si="32"/>
        <v>-0.981431005110733</v>
      </c>
    </row>
    <row r="143" spans="1:7" s="122" customFormat="1" ht="12" customHeight="1">
      <c r="A143" s="537" t="s">
        <v>76</v>
      </c>
      <c r="B143" s="543"/>
      <c r="C143" s="543">
        <f>C142/B142-1</f>
        <v>0.44025000000000047</v>
      </c>
      <c r="D143" s="543">
        <f>D142/C142-1</f>
        <v>-0.30567609789967043</v>
      </c>
      <c r="E143" s="544">
        <f>E142/D142-1</f>
        <v>0.44025000000000047</v>
      </c>
      <c r="F143" s="543">
        <f>F142/E142-1</f>
        <v>-0.30567609789967043</v>
      </c>
      <c r="G143" s="545">
        <f>G142/F142-1</f>
        <v>0.44025000000000047</v>
      </c>
    </row>
    <row r="144" spans="1:7" ht="12" customHeight="1">
      <c r="A144" s="536" t="str">
        <f>A125</f>
        <v>XXX</v>
      </c>
      <c r="B144" s="444">
        <f>B125</f>
        <v>-0.54514480408858612</v>
      </c>
      <c r="C144" s="444">
        <f t="shared" ref="C144:G144" si="33">C125</f>
        <v>-0.345144804088586</v>
      </c>
      <c r="D144" s="444">
        <f t="shared" si="33"/>
        <v>-0.54514480408858612</v>
      </c>
      <c r="E144" s="460">
        <f t="shared" si="33"/>
        <v>-0.345144804088586</v>
      </c>
      <c r="F144" s="444">
        <f t="shared" si="33"/>
        <v>-0.54514480408858612</v>
      </c>
      <c r="G144" s="455">
        <f t="shared" si="33"/>
        <v>-0.345144804088586</v>
      </c>
    </row>
    <row r="145" spans="1:7" s="122" customFormat="1" ht="12" customHeight="1">
      <c r="A145" s="537" t="s">
        <v>76</v>
      </c>
      <c r="B145" s="543"/>
      <c r="C145" s="543">
        <f>C144/B144-1</f>
        <v>-0.36687500000000017</v>
      </c>
      <c r="D145" s="543">
        <f>D144/C144-1</f>
        <v>0.57946692991115545</v>
      </c>
      <c r="E145" s="544">
        <f>E144/D144-1</f>
        <v>-0.36687500000000017</v>
      </c>
      <c r="F145" s="543">
        <f>F144/E144-1</f>
        <v>0.57946692991115545</v>
      </c>
      <c r="G145" s="545">
        <f>G144/F144-1</f>
        <v>-0.36687500000000017</v>
      </c>
    </row>
    <row r="146" spans="1:7" ht="12" customHeight="1">
      <c r="A146" s="536" t="str">
        <f>A126</f>
        <v>YYY</v>
      </c>
      <c r="B146" s="444">
        <f>B126</f>
        <v>-1.1448040885860309</v>
      </c>
      <c r="C146" s="444">
        <f t="shared" ref="C146:G146" si="34">C126</f>
        <v>-1.0448040885860299</v>
      </c>
      <c r="D146" s="444">
        <f t="shared" si="34"/>
        <v>-1.1448040885860309</v>
      </c>
      <c r="E146" s="460">
        <f t="shared" si="34"/>
        <v>-1.0448040885860299</v>
      </c>
      <c r="F146" s="444">
        <f t="shared" si="34"/>
        <v>-1.1448040885860309</v>
      </c>
      <c r="G146" s="455">
        <f t="shared" si="34"/>
        <v>-1.0448040885860299</v>
      </c>
    </row>
    <row r="147" spans="1:7" s="122" customFormat="1" ht="12" customHeight="1">
      <c r="A147" s="537" t="s">
        <v>76</v>
      </c>
      <c r="B147" s="543"/>
      <c r="C147" s="543">
        <f>C146/B146-1</f>
        <v>-8.7351190476191332E-2</v>
      </c>
      <c r="D147" s="543">
        <f>D146/C146-1</f>
        <v>9.5711723463232756E-2</v>
      </c>
      <c r="E147" s="544">
        <f>E146/D146-1</f>
        <v>-8.7351190476191332E-2</v>
      </c>
      <c r="F147" s="543">
        <f>F146/E146-1</f>
        <v>9.5711723463232756E-2</v>
      </c>
      <c r="G147" s="545">
        <f>G146/F146-1</f>
        <v>-8.7351190476191332E-2</v>
      </c>
    </row>
    <row r="148" spans="1:7" ht="12" customHeight="1">
      <c r="A148" s="536" t="str">
        <f>A127</f>
        <v>Others</v>
      </c>
      <c r="B148" s="444">
        <f>B127</f>
        <v>-0.85860306643952289</v>
      </c>
      <c r="C148" s="444">
        <f t="shared" ref="C148:G148" si="35">C127</f>
        <v>-0.55860306643952296</v>
      </c>
      <c r="D148" s="444">
        <f t="shared" si="35"/>
        <v>-0.858603066439523</v>
      </c>
      <c r="E148" s="460">
        <f t="shared" si="35"/>
        <v>-0.55860306643952296</v>
      </c>
      <c r="F148" s="444">
        <f t="shared" si="35"/>
        <v>-0.85860306643952311</v>
      </c>
      <c r="G148" s="455">
        <f t="shared" si="35"/>
        <v>-0.55860306643952296</v>
      </c>
    </row>
    <row r="149" spans="1:7" s="122" customFormat="1" ht="12" customHeight="1">
      <c r="A149" s="537" t="s">
        <v>76</v>
      </c>
      <c r="B149" s="543"/>
      <c r="C149" s="543">
        <f>C148/B148-1</f>
        <v>-0.34940476190476188</v>
      </c>
      <c r="D149" s="543">
        <f>D148/C148-1</f>
        <v>0.53705397987191228</v>
      </c>
      <c r="E149" s="544">
        <f>E148/D148-1</f>
        <v>-0.349404761904762</v>
      </c>
      <c r="F149" s="543">
        <f>F148/E148-1</f>
        <v>0.5370539798719125</v>
      </c>
      <c r="G149" s="545">
        <f>G148/F148-1</f>
        <v>-0.349404761904762</v>
      </c>
    </row>
    <row r="150" spans="1:7" ht="24.75" customHeight="1">
      <c r="A150" s="538" t="str">
        <f>A128</f>
        <v>Other operating result</v>
      </c>
      <c r="B150" s="540">
        <f>SUM(B138,B140,B142,B144,B146,B148)</f>
        <v>-8.0000000000000018</v>
      </c>
      <c r="C150" s="540">
        <f t="shared" ref="C150:G150" si="36">SUM(C138,C140,C142,C144,C146,C148)</f>
        <v>-8.0000000000000036</v>
      </c>
      <c r="D150" s="540">
        <f t="shared" si="36"/>
        <v>-8.0000000000000018</v>
      </c>
      <c r="E150" s="541">
        <f t="shared" si="36"/>
        <v>-8.0000000000000036</v>
      </c>
      <c r="F150" s="540">
        <f t="shared" si="36"/>
        <v>-8.0000000000000018</v>
      </c>
      <c r="G150" s="542">
        <f t="shared" si="36"/>
        <v>-8.0000000000000036</v>
      </c>
    </row>
    <row r="151" spans="1:7" ht="12" customHeight="1">
      <c r="A151" s="539" t="s">
        <v>23</v>
      </c>
      <c r="B151" s="444"/>
      <c r="C151" s="444"/>
      <c r="D151" s="444"/>
      <c r="E151" s="460"/>
      <c r="F151" s="444"/>
      <c r="G151" s="455"/>
    </row>
    <row r="152" spans="1:7" ht="22.5" customHeight="1">
      <c r="A152" s="536" t="s">
        <v>614</v>
      </c>
      <c r="B152" s="444">
        <f>B122/B132*1000</f>
        <v>-6.9005671403618498</v>
      </c>
      <c r="C152" s="444">
        <f t="shared" ref="C152:G152" si="37">C122/C132*1000</f>
        <v>-6.7763165957864029</v>
      </c>
      <c r="D152" s="444">
        <f t="shared" si="37"/>
        <v>-6.2089385431501833</v>
      </c>
      <c r="E152" s="460">
        <f t="shared" si="37"/>
        <v>-6.116285758534481</v>
      </c>
      <c r="F152" s="444">
        <f t="shared" si="37"/>
        <v>-5.6316611992622532</v>
      </c>
      <c r="G152" s="455">
        <f t="shared" si="37"/>
        <v>-5.5844348230097438</v>
      </c>
    </row>
    <row r="153" spans="1:7" ht="22.5" customHeight="1">
      <c r="A153" s="536" t="s">
        <v>613</v>
      </c>
      <c r="B153" s="444">
        <f>B123/B132*1000</f>
        <v>-5.1754253552713871</v>
      </c>
      <c r="C153" s="444">
        <f t="shared" ref="C153:G153" si="38">C123/C132*1000</f>
        <v>-5.3819976386863306</v>
      </c>
      <c r="D153" s="444">
        <f t="shared" si="38"/>
        <v>-4.6567039073626368</v>
      </c>
      <c r="E153" s="460">
        <f t="shared" si="38"/>
        <v>-4.8577770894636361</v>
      </c>
      <c r="F153" s="444">
        <f t="shared" si="38"/>
        <v>-4.2237458994466897</v>
      </c>
      <c r="G153" s="455">
        <f t="shared" si="38"/>
        <v>-4.4353616903798416</v>
      </c>
    </row>
    <row r="154" spans="1:7" ht="22.5" customHeight="1" thickBot="1">
      <c r="A154" s="546" t="s">
        <v>596</v>
      </c>
      <c r="B154" s="547">
        <f>B124/B131</f>
        <v>-1.3628620102214653E-2</v>
      </c>
      <c r="C154" s="547">
        <f t="shared" ref="C154:G154" si="39">C124/C131</f>
        <v>-1.8174648242791351E-2</v>
      </c>
      <c r="D154" s="547">
        <f t="shared" si="39"/>
        <v>-1.2168410805548797E-2</v>
      </c>
      <c r="E154" s="548">
        <f t="shared" si="39"/>
        <v>-1.6634423815436152E-2</v>
      </c>
      <c r="F154" s="547">
        <f t="shared" si="39"/>
        <v>-1.1171000083782502E-2</v>
      </c>
      <c r="G154" s="549">
        <f t="shared" si="39"/>
        <v>-1.4648223956876613E-2</v>
      </c>
    </row>
    <row r="157" spans="1:7" s="357" customFormat="1" ht="20.25" customHeight="1">
      <c r="A157" s="358" t="s">
        <v>128</v>
      </c>
    </row>
    <row r="159" spans="1:7">
      <c r="A159" s="9" t="s">
        <v>122</v>
      </c>
    </row>
    <row r="160" spans="1:7">
      <c r="B160" s="54">
        <f>Input!E42</f>
        <v>2010</v>
      </c>
      <c r="C160" s="54">
        <f>Input!F42</f>
        <v>2011</v>
      </c>
      <c r="D160" s="54">
        <f>Input!G42</f>
        <v>2012</v>
      </c>
      <c r="E160" s="54">
        <f>Input!H42</f>
        <v>2013</v>
      </c>
      <c r="F160" s="54">
        <f>Input!I42</f>
        <v>2014</v>
      </c>
      <c r="G160" s="54">
        <f>Input!J42</f>
        <v>2015</v>
      </c>
    </row>
    <row r="161" spans="1:7">
      <c r="A161" s="167" t="s">
        <v>612</v>
      </c>
      <c r="B161" s="54" t="str">
        <f>Input!E43</f>
        <v>Actual</v>
      </c>
      <c r="C161" s="54" t="str">
        <f>Input!F43</f>
        <v>Actual</v>
      </c>
      <c r="D161" s="54" t="str">
        <f>Input!G43</f>
        <v>Actual</v>
      </c>
      <c r="E161" s="54" t="str">
        <f>Input!H43</f>
        <v>Plan</v>
      </c>
      <c r="F161" s="54" t="str">
        <f>Input!I43</f>
        <v>Plan</v>
      </c>
      <c r="G161" s="54" t="str">
        <f>Input!J43</f>
        <v>Plan</v>
      </c>
    </row>
    <row r="162" spans="1:7">
      <c r="A162" s="92" t="s">
        <v>32</v>
      </c>
    </row>
    <row r="163" spans="1:7">
      <c r="A163" s="92" t="s">
        <v>184</v>
      </c>
      <c r="B163" s="141">
        <v>126.66666666666664</v>
      </c>
      <c r="C163" s="141">
        <v>129.49640287769785</v>
      </c>
      <c r="D163" s="141">
        <v>127.56264236902049</v>
      </c>
      <c r="E163" s="141">
        <v>127.70562770562771</v>
      </c>
      <c r="F163" s="141">
        <v>126.03305785123966</v>
      </c>
      <c r="G163" s="141">
        <v>132.41106719367588</v>
      </c>
    </row>
    <row r="164" spans="1:7">
      <c r="A164" s="92" t="s">
        <v>183</v>
      </c>
      <c r="B164" s="141">
        <v>38.195</v>
      </c>
      <c r="C164" s="141">
        <v>38.548108881316004</v>
      </c>
      <c r="D164" s="141">
        <v>39.213923190664595</v>
      </c>
      <c r="E164" s="141">
        <v>39.635072529809378</v>
      </c>
      <c r="F164" s="141">
        <v>40.393468174568653</v>
      </c>
      <c r="G164" s="141">
        <v>40.82587892656543</v>
      </c>
    </row>
    <row r="165" spans="1:7">
      <c r="A165" s="92" t="s">
        <v>182</v>
      </c>
      <c r="B165" s="141">
        <v>88.471666666666636</v>
      </c>
      <c r="C165" s="141">
        <v>90.948293996381835</v>
      </c>
      <c r="D165" s="141">
        <v>88.348719178355907</v>
      </c>
      <c r="E165" s="141">
        <v>88.070555175818328</v>
      </c>
      <c r="F165" s="141">
        <v>85.639589676671008</v>
      </c>
      <c r="G165" s="141">
        <v>91.585188267110439</v>
      </c>
    </row>
    <row r="166" spans="1:7">
      <c r="A166" s="92" t="s">
        <v>181</v>
      </c>
      <c r="B166" s="141">
        <v>180</v>
      </c>
      <c r="C166" s="141">
        <v>190.15199999999999</v>
      </c>
      <c r="D166" s="141">
        <v>200.18399999999997</v>
      </c>
      <c r="E166" s="141">
        <v>210.67199999999997</v>
      </c>
      <c r="F166" s="141">
        <v>220.70399999999998</v>
      </c>
      <c r="G166" s="141">
        <v>230.73599999999999</v>
      </c>
    </row>
    <row r="167" spans="1:7">
      <c r="A167" s="92" t="s">
        <v>33</v>
      </c>
      <c r="B167" s="103"/>
      <c r="C167" s="103"/>
      <c r="D167" s="103"/>
      <c r="E167" s="103"/>
      <c r="F167" s="103"/>
      <c r="G167" s="103"/>
    </row>
    <row r="168" spans="1:7">
      <c r="A168" s="27" t="str">
        <f>A163</f>
        <v>Earnings per employee</v>
      </c>
      <c r="B168" s="141">
        <v>121.42857142857143</v>
      </c>
      <c r="C168" s="141">
        <v>200.73869475847897</v>
      </c>
      <c r="D168" s="141">
        <v>191.03114777262067</v>
      </c>
      <c r="E168" s="141">
        <v>187.00874243237962</v>
      </c>
      <c r="F168" s="141">
        <v>176.9419857430249</v>
      </c>
      <c r="G168" s="141">
        <v>189.02794984806383</v>
      </c>
    </row>
    <row r="169" spans="1:7">
      <c r="A169" s="27" t="str">
        <f t="shared" ref="A169:A171" si="40">A164</f>
        <v>Personnel costs per employee</v>
      </c>
      <c r="B169" s="141">
        <v>35</v>
      </c>
      <c r="C169" s="141">
        <v>35.159842051171097</v>
      </c>
      <c r="D169" s="141">
        <v>35.324644184493131</v>
      </c>
      <c r="E169" s="141">
        <v>35.518992285909583</v>
      </c>
      <c r="F169" s="141">
        <v>35.44825389921084</v>
      </c>
      <c r="G169" s="141">
        <v>35.383666676572858</v>
      </c>
    </row>
    <row r="170" spans="1:7">
      <c r="A170" s="27" t="str">
        <f t="shared" si="40"/>
        <v>Contribution margin per employee</v>
      </c>
      <c r="B170" s="141">
        <v>86.428571428571431</v>
      </c>
      <c r="C170" s="141">
        <v>165.57885270730787</v>
      </c>
      <c r="D170" s="141">
        <v>155.70650358812753</v>
      </c>
      <c r="E170" s="141">
        <v>151.48975014647004</v>
      </c>
      <c r="F170" s="141">
        <v>141.49373184381406</v>
      </c>
      <c r="G170" s="141">
        <v>153.64428317149097</v>
      </c>
    </row>
    <row r="171" spans="1:7">
      <c r="A171" s="27" t="str">
        <f t="shared" si="40"/>
        <v>Headcount (FTE)</v>
      </c>
      <c r="B171" s="141">
        <v>140</v>
      </c>
      <c r="C171" s="141">
        <v>147.89599999999999</v>
      </c>
      <c r="D171" s="141">
        <v>155.69866666666664</v>
      </c>
      <c r="E171" s="141">
        <v>163.85599999999999</v>
      </c>
      <c r="F171" s="141">
        <v>171.65866666666665</v>
      </c>
      <c r="G171" s="141">
        <v>179.46133333333333</v>
      </c>
    </row>
    <row r="172" spans="1:7">
      <c r="A172" s="92" t="s">
        <v>34</v>
      </c>
      <c r="B172" s="103"/>
      <c r="C172" s="103"/>
      <c r="D172" s="103"/>
      <c r="E172" s="103"/>
      <c r="F172" s="103"/>
      <c r="G172" s="103"/>
    </row>
    <row r="173" spans="1:7">
      <c r="A173" s="27" t="str">
        <f>A168</f>
        <v>Earnings per employee</v>
      </c>
      <c r="B173" s="141">
        <v>140</v>
      </c>
      <c r="C173" s="141">
        <v>145.77811435062478</v>
      </c>
      <c r="D173" s="141">
        <v>152.31986572353441</v>
      </c>
      <c r="E173" s="141">
        <v>159.21052631578954</v>
      </c>
      <c r="F173" s="141">
        <v>167.17105263157902</v>
      </c>
      <c r="G173" s="141">
        <v>175.89302059496578</v>
      </c>
    </row>
    <row r="174" spans="1:7">
      <c r="A174" s="27" t="str">
        <f t="shared" ref="A174:A176" si="41">A169</f>
        <v>Personnel costs per employee</v>
      </c>
      <c r="B174" s="141">
        <v>43</v>
      </c>
      <c r="C174" s="141">
        <v>43.796541713997222</v>
      </c>
      <c r="D174" s="141">
        <v>43.759741038244812</v>
      </c>
      <c r="E174" s="141">
        <v>43.631806789701528</v>
      </c>
      <c r="F174" s="141">
        <v>43.497172683775545</v>
      </c>
      <c r="G174" s="141">
        <v>43.998335760349491</v>
      </c>
    </row>
    <row r="175" spans="1:7">
      <c r="A175" s="27" t="str">
        <f t="shared" si="41"/>
        <v>Contribution margin per employee</v>
      </c>
      <c r="B175" s="141">
        <v>97</v>
      </c>
      <c r="C175" s="141">
        <v>101.98157263662756</v>
      </c>
      <c r="D175" s="141">
        <v>108.56012468528959</v>
      </c>
      <c r="E175" s="141">
        <v>115.57871952608801</v>
      </c>
      <c r="F175" s="141">
        <v>123.67387994780347</v>
      </c>
      <c r="G175" s="141">
        <v>131.89468483461627</v>
      </c>
    </row>
    <row r="176" spans="1:7">
      <c r="A176" s="27" t="str">
        <f t="shared" si="41"/>
        <v>Headcount (FTE)</v>
      </c>
      <c r="B176" s="141">
        <v>75</v>
      </c>
      <c r="C176" s="141">
        <v>79.23</v>
      </c>
      <c r="D176" s="141">
        <v>83.41</v>
      </c>
      <c r="E176" s="141">
        <v>87.78</v>
      </c>
      <c r="F176" s="141">
        <v>91.960000000000008</v>
      </c>
      <c r="G176" s="141">
        <v>96.14</v>
      </c>
    </row>
    <row r="177" spans="1:7">
      <c r="A177" s="27" t="str">
        <f>Input!E3</f>
        <v>XXX AG</v>
      </c>
      <c r="B177" s="103"/>
      <c r="C177" s="103"/>
      <c r="D177" s="103"/>
      <c r="E177" s="103"/>
      <c r="F177" s="103"/>
      <c r="G177" s="103"/>
    </row>
    <row r="178" spans="1:7">
      <c r="A178" s="27" t="str">
        <f>A173</f>
        <v>Earnings per employee</v>
      </c>
      <c r="B178" s="103">
        <f>(B163*B$166+B168*B$171+B173*B$176)/(B$166+B$171+B$176)</f>
        <v>127.34177215189874</v>
      </c>
      <c r="C178" s="103">
        <f t="shared" ref="C178:G178" si="42">(C163*C$166+C168*C$171+C173*C$176)/(C$166+C$171+C$176)</f>
        <v>157.83829964675829</v>
      </c>
      <c r="D178" s="103">
        <f t="shared" si="42"/>
        <v>154.75854745279915</v>
      </c>
      <c r="E178" s="103">
        <f t="shared" si="42"/>
        <v>154.7063959524819</v>
      </c>
      <c r="F178" s="103">
        <f t="shared" si="42"/>
        <v>151.88774016358238</v>
      </c>
      <c r="G178" s="103">
        <f t="shared" si="42"/>
        <v>160.73387751446336</v>
      </c>
    </row>
    <row r="179" spans="1:7">
      <c r="A179" s="27" t="str">
        <f t="shared" ref="A179:A181" si="43">A174</f>
        <v>Personnel costs per employee</v>
      </c>
      <c r="B179" s="103">
        <f t="shared" ref="B179:G179" si="44">(B164*B$166+B169*B$171+B174*B$176)/(B$166+B$171+B$176)</f>
        <v>37.97493670886076</v>
      </c>
      <c r="C179" s="103">
        <f t="shared" si="44"/>
        <v>38.343742061647148</v>
      </c>
      <c r="D179" s="103">
        <f t="shared" si="44"/>
        <v>38.698574526625386</v>
      </c>
      <c r="E179" s="103">
        <f t="shared" si="44"/>
        <v>38.935082239545928</v>
      </c>
      <c r="F179" s="103">
        <f t="shared" si="44"/>
        <v>39.230044983784914</v>
      </c>
      <c r="G179" s="103">
        <f t="shared" si="44"/>
        <v>39.499358793742253</v>
      </c>
    </row>
    <row r="180" spans="1:7">
      <c r="A180" s="27" t="str">
        <f t="shared" si="43"/>
        <v>Contribution margin per employee</v>
      </c>
      <c r="B180" s="103">
        <f t="shared" ref="B180:G180" si="45">(B165*B$166+B170*B$171+B175*B$176)/(B$166+B$171+B$176)</f>
        <v>89.366835443037957</v>
      </c>
      <c r="C180" s="103">
        <f t="shared" si="45"/>
        <v>119.49455758511111</v>
      </c>
      <c r="D180" s="103">
        <f t="shared" si="45"/>
        <v>116.05997292617377</v>
      </c>
      <c r="E180" s="103">
        <f t="shared" si="45"/>
        <v>115.77131371293598</v>
      </c>
      <c r="F180" s="103">
        <f t="shared" si="45"/>
        <v>112.65769517979749</v>
      </c>
      <c r="G180" s="103">
        <f t="shared" si="45"/>
        <v>121.23451872072111</v>
      </c>
    </row>
    <row r="181" spans="1:7">
      <c r="A181" s="27" t="str">
        <f t="shared" si="43"/>
        <v>Headcount (FTE)</v>
      </c>
      <c r="B181" s="103">
        <f>B166+B171+B176</f>
        <v>395</v>
      </c>
      <c r="C181" s="103">
        <f t="shared" ref="C181:G181" si="46">C166+C171+C176</f>
        <v>417.27800000000002</v>
      </c>
      <c r="D181" s="103">
        <f t="shared" si="46"/>
        <v>439.29266666666661</v>
      </c>
      <c r="E181" s="103">
        <f t="shared" si="46"/>
        <v>462.30799999999999</v>
      </c>
      <c r="F181" s="103">
        <f t="shared" si="46"/>
        <v>484.32266666666669</v>
      </c>
      <c r="G181" s="103">
        <f t="shared" si="46"/>
        <v>506.33733333333328</v>
      </c>
    </row>
    <row r="184" spans="1:7" ht="19.5" customHeight="1">
      <c r="A184" s="377" t="s">
        <v>185</v>
      </c>
      <c r="B184" s="377"/>
      <c r="C184" s="377"/>
      <c r="D184" s="377"/>
      <c r="E184" s="377"/>
      <c r="F184" s="377"/>
      <c r="G184" s="377"/>
    </row>
    <row r="185" spans="1:7">
      <c r="A185" s="384"/>
      <c r="B185" s="3">
        <f>B160</f>
        <v>2010</v>
      </c>
      <c r="C185" s="3">
        <f t="shared" ref="C185:G185" si="47">C160</f>
        <v>2011</v>
      </c>
      <c r="D185" s="3">
        <f t="shared" si="47"/>
        <v>2012</v>
      </c>
      <c r="E185" s="406">
        <f t="shared" si="47"/>
        <v>2013</v>
      </c>
      <c r="F185" s="407">
        <f t="shared" si="47"/>
        <v>2014</v>
      </c>
      <c r="G185" s="408">
        <f t="shared" si="47"/>
        <v>2015</v>
      </c>
    </row>
    <row r="186" spans="1:7">
      <c r="A186" s="523" t="str">
        <f>A161</f>
        <v>€000</v>
      </c>
      <c r="B186" s="795" t="str">
        <f>C161</f>
        <v>Actual</v>
      </c>
      <c r="C186" s="795"/>
      <c r="D186" s="795"/>
      <c r="E186" s="796" t="str">
        <f>F161</f>
        <v>Plan</v>
      </c>
      <c r="F186" s="797"/>
      <c r="G186" s="799"/>
    </row>
    <row r="187" spans="1:7">
      <c r="A187" s="524" t="str">
        <f>A162</f>
        <v>Segment A</v>
      </c>
      <c r="B187" s="22"/>
      <c r="C187" s="22"/>
      <c r="D187" s="22"/>
      <c r="E187" s="529"/>
      <c r="F187" s="22"/>
      <c r="G187" s="516"/>
    </row>
    <row r="188" spans="1:7" ht="22.5">
      <c r="A188" s="385" t="str">
        <f t="shared" ref="A188:G206" si="48">A163</f>
        <v>Earnings per employee</v>
      </c>
      <c r="B188" s="7">
        <f t="shared" si="48"/>
        <v>126.66666666666664</v>
      </c>
      <c r="C188" s="7">
        <f t="shared" si="48"/>
        <v>129.49640287769785</v>
      </c>
      <c r="D188" s="7">
        <f t="shared" si="48"/>
        <v>127.56264236902049</v>
      </c>
      <c r="E188" s="530">
        <f t="shared" si="48"/>
        <v>127.70562770562771</v>
      </c>
      <c r="F188" s="7">
        <f t="shared" si="48"/>
        <v>126.03305785123966</v>
      </c>
      <c r="G188" s="517">
        <f t="shared" si="48"/>
        <v>132.41106719367588</v>
      </c>
    </row>
    <row r="189" spans="1:7" ht="22.5">
      <c r="A189" s="385" t="str">
        <f t="shared" si="48"/>
        <v>Personnel costs per employee</v>
      </c>
      <c r="B189" s="7">
        <f t="shared" si="48"/>
        <v>38.195</v>
      </c>
      <c r="C189" s="7">
        <f t="shared" si="48"/>
        <v>38.548108881316004</v>
      </c>
      <c r="D189" s="7">
        <f t="shared" si="48"/>
        <v>39.213923190664595</v>
      </c>
      <c r="E189" s="530">
        <f t="shared" si="48"/>
        <v>39.635072529809378</v>
      </c>
      <c r="F189" s="7">
        <f t="shared" si="48"/>
        <v>40.393468174568653</v>
      </c>
      <c r="G189" s="517">
        <f t="shared" si="48"/>
        <v>40.82587892656543</v>
      </c>
    </row>
    <row r="190" spans="1:7" ht="22.5">
      <c r="A190" s="385" t="str">
        <f t="shared" si="48"/>
        <v>Contribution margin per employee</v>
      </c>
      <c r="B190" s="7">
        <f t="shared" si="48"/>
        <v>88.471666666666636</v>
      </c>
      <c r="C190" s="7">
        <f t="shared" si="48"/>
        <v>90.948293996381835</v>
      </c>
      <c r="D190" s="7">
        <f t="shared" si="48"/>
        <v>88.348719178355907</v>
      </c>
      <c r="E190" s="530">
        <f t="shared" si="48"/>
        <v>88.070555175818328</v>
      </c>
      <c r="F190" s="7">
        <f t="shared" si="48"/>
        <v>85.639589676671008</v>
      </c>
      <c r="G190" s="517">
        <f t="shared" si="48"/>
        <v>91.585188267110439</v>
      </c>
    </row>
    <row r="191" spans="1:7">
      <c r="A191" s="524" t="str">
        <f t="shared" si="48"/>
        <v>Headcount (FTE)</v>
      </c>
      <c r="B191" s="139">
        <f t="shared" si="48"/>
        <v>180</v>
      </c>
      <c r="C191" s="139">
        <f t="shared" si="48"/>
        <v>190.15199999999999</v>
      </c>
      <c r="D191" s="139">
        <f t="shared" si="48"/>
        <v>200.18399999999997</v>
      </c>
      <c r="E191" s="531">
        <f t="shared" si="48"/>
        <v>210.67199999999997</v>
      </c>
      <c r="F191" s="139">
        <f t="shared" si="48"/>
        <v>220.70399999999998</v>
      </c>
      <c r="G191" s="518">
        <f t="shared" si="48"/>
        <v>230.73599999999999</v>
      </c>
    </row>
    <row r="192" spans="1:7">
      <c r="A192" s="525" t="str">
        <f t="shared" si="48"/>
        <v>Segment B</v>
      </c>
      <c r="B192" s="140"/>
      <c r="C192" s="140"/>
      <c r="D192" s="140"/>
      <c r="E192" s="532"/>
      <c r="F192" s="140"/>
      <c r="G192" s="519"/>
    </row>
    <row r="193" spans="1:7" ht="22.5">
      <c r="A193" s="385" t="str">
        <f t="shared" si="48"/>
        <v>Earnings per employee</v>
      </c>
      <c r="B193" s="7">
        <f t="shared" ref="B193:G193" si="49">B168</f>
        <v>121.42857142857143</v>
      </c>
      <c r="C193" s="7">
        <f t="shared" si="49"/>
        <v>200.73869475847897</v>
      </c>
      <c r="D193" s="7">
        <f t="shared" si="49"/>
        <v>191.03114777262067</v>
      </c>
      <c r="E193" s="530">
        <f t="shared" si="49"/>
        <v>187.00874243237962</v>
      </c>
      <c r="F193" s="7">
        <f t="shared" si="49"/>
        <v>176.9419857430249</v>
      </c>
      <c r="G193" s="517">
        <f t="shared" si="49"/>
        <v>189.02794984806383</v>
      </c>
    </row>
    <row r="194" spans="1:7" ht="22.5">
      <c r="A194" s="385" t="str">
        <f t="shared" si="48"/>
        <v>Personnel costs per employee</v>
      </c>
      <c r="B194" s="7">
        <f t="shared" ref="B194:G194" si="50">B169</f>
        <v>35</v>
      </c>
      <c r="C194" s="7">
        <f t="shared" si="50"/>
        <v>35.159842051171097</v>
      </c>
      <c r="D194" s="7">
        <f t="shared" si="50"/>
        <v>35.324644184493131</v>
      </c>
      <c r="E194" s="530">
        <f t="shared" si="50"/>
        <v>35.518992285909583</v>
      </c>
      <c r="F194" s="7">
        <f t="shared" si="50"/>
        <v>35.44825389921084</v>
      </c>
      <c r="G194" s="517">
        <f t="shared" si="50"/>
        <v>35.383666676572858</v>
      </c>
    </row>
    <row r="195" spans="1:7" ht="22.5">
      <c r="A195" s="385" t="str">
        <f t="shared" si="48"/>
        <v>Contribution margin per employee</v>
      </c>
      <c r="B195" s="7">
        <f t="shared" ref="B195:G195" si="51">B170</f>
        <v>86.428571428571431</v>
      </c>
      <c r="C195" s="7">
        <f t="shared" si="51"/>
        <v>165.57885270730787</v>
      </c>
      <c r="D195" s="7">
        <f t="shared" si="51"/>
        <v>155.70650358812753</v>
      </c>
      <c r="E195" s="530">
        <f t="shared" si="51"/>
        <v>151.48975014647004</v>
      </c>
      <c r="F195" s="7">
        <f t="shared" si="51"/>
        <v>141.49373184381406</v>
      </c>
      <c r="G195" s="517">
        <f t="shared" si="51"/>
        <v>153.64428317149097</v>
      </c>
    </row>
    <row r="196" spans="1:7">
      <c r="A196" s="524" t="str">
        <f t="shared" si="48"/>
        <v>Headcount (FTE)</v>
      </c>
      <c r="B196" s="139">
        <f t="shared" ref="B196:G196" si="52">B171</f>
        <v>140</v>
      </c>
      <c r="C196" s="139">
        <f t="shared" si="52"/>
        <v>147.89599999999999</v>
      </c>
      <c r="D196" s="139">
        <f t="shared" si="52"/>
        <v>155.69866666666664</v>
      </c>
      <c r="E196" s="531">
        <f t="shared" si="52"/>
        <v>163.85599999999999</v>
      </c>
      <c r="F196" s="139">
        <f t="shared" si="52"/>
        <v>171.65866666666665</v>
      </c>
      <c r="G196" s="518">
        <f t="shared" si="52"/>
        <v>179.46133333333333</v>
      </c>
    </row>
    <row r="197" spans="1:7">
      <c r="A197" s="525" t="str">
        <f t="shared" si="48"/>
        <v>Segment C</v>
      </c>
      <c r="B197" s="140"/>
      <c r="C197" s="140"/>
      <c r="D197" s="140"/>
      <c r="E197" s="532"/>
      <c r="F197" s="140"/>
      <c r="G197" s="519"/>
    </row>
    <row r="198" spans="1:7" ht="22.5">
      <c r="A198" s="385" t="str">
        <f t="shared" si="48"/>
        <v>Earnings per employee</v>
      </c>
      <c r="B198" s="7">
        <f t="shared" ref="B198:G198" si="53">B173</f>
        <v>140</v>
      </c>
      <c r="C198" s="7">
        <f t="shared" si="53"/>
        <v>145.77811435062478</v>
      </c>
      <c r="D198" s="7">
        <f t="shared" si="53"/>
        <v>152.31986572353441</v>
      </c>
      <c r="E198" s="530">
        <f t="shared" si="53"/>
        <v>159.21052631578954</v>
      </c>
      <c r="F198" s="7">
        <f t="shared" si="53"/>
        <v>167.17105263157902</v>
      </c>
      <c r="G198" s="517">
        <f t="shared" si="53"/>
        <v>175.89302059496578</v>
      </c>
    </row>
    <row r="199" spans="1:7" ht="22.5">
      <c r="A199" s="385" t="str">
        <f t="shared" si="48"/>
        <v>Personnel costs per employee</v>
      </c>
      <c r="B199" s="7">
        <f t="shared" ref="B199:G199" si="54">B174</f>
        <v>43</v>
      </c>
      <c r="C199" s="7">
        <f t="shared" si="54"/>
        <v>43.796541713997222</v>
      </c>
      <c r="D199" s="7">
        <f t="shared" si="54"/>
        <v>43.759741038244812</v>
      </c>
      <c r="E199" s="530">
        <f t="shared" si="54"/>
        <v>43.631806789701528</v>
      </c>
      <c r="F199" s="7">
        <f t="shared" si="54"/>
        <v>43.497172683775545</v>
      </c>
      <c r="G199" s="517">
        <f t="shared" si="54"/>
        <v>43.998335760349491</v>
      </c>
    </row>
    <row r="200" spans="1:7" ht="22.5">
      <c r="A200" s="385" t="str">
        <f t="shared" si="48"/>
        <v>Contribution margin per employee</v>
      </c>
      <c r="B200" s="7">
        <f t="shared" ref="B200:G200" si="55">B175</f>
        <v>97</v>
      </c>
      <c r="C200" s="7">
        <f t="shared" si="55"/>
        <v>101.98157263662756</v>
      </c>
      <c r="D200" s="7">
        <f t="shared" si="55"/>
        <v>108.56012468528959</v>
      </c>
      <c r="E200" s="530">
        <f t="shared" si="55"/>
        <v>115.57871952608801</v>
      </c>
      <c r="F200" s="7">
        <f t="shared" si="55"/>
        <v>123.67387994780347</v>
      </c>
      <c r="G200" s="517">
        <f t="shared" si="55"/>
        <v>131.89468483461627</v>
      </c>
    </row>
    <row r="201" spans="1:7">
      <c r="A201" s="524" t="str">
        <f t="shared" si="48"/>
        <v>Headcount (FTE)</v>
      </c>
      <c r="B201" s="139">
        <f t="shared" ref="B201:G201" si="56">B176</f>
        <v>75</v>
      </c>
      <c r="C201" s="139">
        <f t="shared" si="56"/>
        <v>79.23</v>
      </c>
      <c r="D201" s="139">
        <f t="shared" si="56"/>
        <v>83.41</v>
      </c>
      <c r="E201" s="531">
        <f t="shared" si="56"/>
        <v>87.78</v>
      </c>
      <c r="F201" s="139">
        <f t="shared" si="56"/>
        <v>91.960000000000008</v>
      </c>
      <c r="G201" s="518">
        <f t="shared" si="56"/>
        <v>96.14</v>
      </c>
    </row>
    <row r="202" spans="1:7">
      <c r="A202" s="526" t="str">
        <f t="shared" si="48"/>
        <v>XXX AG</v>
      </c>
      <c r="B202" s="138"/>
      <c r="C202" s="138"/>
      <c r="D202" s="138"/>
      <c r="E202" s="533"/>
      <c r="F202" s="138"/>
      <c r="G202" s="520"/>
    </row>
    <row r="203" spans="1:7" ht="22.5">
      <c r="A203" s="527" t="str">
        <f t="shared" si="48"/>
        <v>Earnings per employee</v>
      </c>
      <c r="B203" s="137">
        <f t="shared" ref="B203:G203" si="57">B178</f>
        <v>127.34177215189874</v>
      </c>
      <c r="C203" s="137">
        <f t="shared" si="57"/>
        <v>157.83829964675829</v>
      </c>
      <c r="D203" s="137">
        <f t="shared" si="57"/>
        <v>154.75854745279915</v>
      </c>
      <c r="E203" s="534">
        <f t="shared" si="57"/>
        <v>154.7063959524819</v>
      </c>
      <c r="F203" s="137">
        <f t="shared" si="57"/>
        <v>151.88774016358238</v>
      </c>
      <c r="G203" s="521">
        <f t="shared" si="57"/>
        <v>160.73387751446336</v>
      </c>
    </row>
    <row r="204" spans="1:7" ht="22.5">
      <c r="A204" s="527" t="str">
        <f t="shared" si="48"/>
        <v>Personnel costs per employee</v>
      </c>
      <c r="B204" s="137">
        <f t="shared" ref="B204:G204" si="58">B179</f>
        <v>37.97493670886076</v>
      </c>
      <c r="C204" s="137">
        <f t="shared" si="58"/>
        <v>38.343742061647148</v>
      </c>
      <c r="D204" s="137">
        <f t="shared" si="58"/>
        <v>38.698574526625386</v>
      </c>
      <c r="E204" s="534">
        <f t="shared" si="58"/>
        <v>38.935082239545928</v>
      </c>
      <c r="F204" s="137">
        <f t="shared" si="58"/>
        <v>39.230044983784914</v>
      </c>
      <c r="G204" s="521">
        <f t="shared" si="58"/>
        <v>39.499358793742253</v>
      </c>
    </row>
    <row r="205" spans="1:7" ht="22.5">
      <c r="A205" s="527" t="str">
        <f t="shared" si="48"/>
        <v>Contribution margin per employee</v>
      </c>
      <c r="B205" s="137">
        <f t="shared" ref="B205:G205" si="59">B180</f>
        <v>89.366835443037957</v>
      </c>
      <c r="C205" s="137">
        <f t="shared" si="59"/>
        <v>119.49455758511111</v>
      </c>
      <c r="D205" s="137">
        <f t="shared" si="59"/>
        <v>116.05997292617377</v>
      </c>
      <c r="E205" s="534">
        <f t="shared" si="59"/>
        <v>115.77131371293598</v>
      </c>
      <c r="F205" s="137">
        <f t="shared" si="59"/>
        <v>112.65769517979749</v>
      </c>
      <c r="G205" s="521">
        <f t="shared" si="59"/>
        <v>121.23451872072111</v>
      </c>
    </row>
    <row r="206" spans="1:7" ht="12" thickBot="1">
      <c r="A206" s="528" t="str">
        <f t="shared" si="48"/>
        <v>Headcount (FTE)</v>
      </c>
      <c r="B206" s="136">
        <f t="shared" ref="B206:G206" si="60">B181</f>
        <v>395</v>
      </c>
      <c r="C206" s="136">
        <f t="shared" si="60"/>
        <v>417.27800000000002</v>
      </c>
      <c r="D206" s="136">
        <f t="shared" si="60"/>
        <v>439.29266666666661</v>
      </c>
      <c r="E206" s="535">
        <f t="shared" si="60"/>
        <v>462.30799999999999</v>
      </c>
      <c r="F206" s="136">
        <f t="shared" si="60"/>
        <v>484.32266666666669</v>
      </c>
      <c r="G206" s="522">
        <f t="shared" si="60"/>
        <v>506.33733333333328</v>
      </c>
    </row>
  </sheetData>
  <mergeCells count="12">
    <mergeCell ref="B105:D105"/>
    <mergeCell ref="E105:G105"/>
    <mergeCell ref="B137:D137"/>
    <mergeCell ref="E137:G137"/>
    <mergeCell ref="B186:D186"/>
    <mergeCell ref="E186:G186"/>
    <mergeCell ref="B30:D30"/>
    <mergeCell ref="E30:G30"/>
    <mergeCell ref="B57:D57"/>
    <mergeCell ref="E57:G57"/>
    <mergeCell ref="B79:D79"/>
    <mergeCell ref="E79:G79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G61"/>
  <sheetViews>
    <sheetView topLeftCell="A13" zoomScaleNormal="100" workbookViewId="0">
      <selection activeCell="A39" sqref="A39:G61"/>
    </sheetView>
  </sheetViews>
  <sheetFormatPr defaultColWidth="11.5" defaultRowHeight="11.25"/>
  <cols>
    <col min="1" max="1" width="24.1640625" style="27" customWidth="1"/>
    <col min="2" max="7" width="6" style="27" customWidth="1"/>
    <col min="8" max="8" width="7" style="27" customWidth="1"/>
    <col min="9" max="9" width="10" style="27" customWidth="1"/>
    <col min="10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131</v>
      </c>
    </row>
    <row r="2" spans="1:7" ht="20.25" customHeight="1">
      <c r="A2" s="48" t="s">
        <v>204</v>
      </c>
    </row>
    <row r="3" spans="1:7" ht="20.25" customHeight="1">
      <c r="A3" s="48"/>
    </row>
    <row r="4" spans="1:7" ht="20.25" customHeight="1">
      <c r="A4" s="48"/>
    </row>
    <row r="5" spans="1:7" ht="20.25" customHeight="1">
      <c r="A5" s="48"/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4" spans="1:7">
      <c r="A14" s="9" t="s">
        <v>122</v>
      </c>
    </row>
    <row r="15" spans="1:7">
      <c r="B15" s="54">
        <f>Input!E42</f>
        <v>2010</v>
      </c>
      <c r="C15" s="54">
        <f>Input!F42</f>
        <v>2011</v>
      </c>
      <c r="D15" s="54">
        <f>Input!G42</f>
        <v>2012</v>
      </c>
      <c r="E15" s="54">
        <f>Input!H42</f>
        <v>2013</v>
      </c>
      <c r="F15" s="54">
        <f>Input!I42</f>
        <v>2014</v>
      </c>
      <c r="G15" s="54">
        <f>Input!J42</f>
        <v>2015</v>
      </c>
    </row>
    <row r="16" spans="1:7">
      <c r="A16" s="167" t="s">
        <v>612</v>
      </c>
      <c r="B16" s="54" t="str">
        <f>Input!E43</f>
        <v>Actual</v>
      </c>
      <c r="C16" s="54" t="str">
        <f>Input!F43</f>
        <v>Actual</v>
      </c>
      <c r="D16" s="54" t="str">
        <f>Input!G43</f>
        <v>Actual</v>
      </c>
      <c r="E16" s="54" t="str">
        <f>Input!H43</f>
        <v>Plan</v>
      </c>
      <c r="F16" s="54" t="str">
        <f>Input!I43</f>
        <v>Plan</v>
      </c>
      <c r="G16" s="54" t="str">
        <f>Input!J43</f>
        <v>Plan</v>
      </c>
    </row>
    <row r="17" spans="1:7">
      <c r="A17" s="92" t="s">
        <v>32</v>
      </c>
    </row>
    <row r="18" spans="1:7">
      <c r="A18" s="92" t="s">
        <v>601</v>
      </c>
      <c r="B18" s="141">
        <v>126.66666666666664</v>
      </c>
      <c r="C18" s="141">
        <v>129.49640287769785</v>
      </c>
      <c r="D18" s="141">
        <v>127.56264236902049</v>
      </c>
      <c r="E18" s="141">
        <v>127.70562770562771</v>
      </c>
      <c r="F18" s="141">
        <v>126.03305785123966</v>
      </c>
      <c r="G18" s="141">
        <v>132.41106719367588</v>
      </c>
    </row>
    <row r="19" spans="1:7">
      <c r="A19" s="92" t="s">
        <v>602</v>
      </c>
      <c r="B19" s="141">
        <v>38.195</v>
      </c>
      <c r="C19" s="141">
        <v>38.548108881316004</v>
      </c>
      <c r="D19" s="141">
        <v>39.213923190664595</v>
      </c>
      <c r="E19" s="141">
        <v>39.635072529809378</v>
      </c>
      <c r="F19" s="141">
        <v>40.393468174568653</v>
      </c>
      <c r="G19" s="141">
        <v>40.82587892656543</v>
      </c>
    </row>
    <row r="20" spans="1:7">
      <c r="A20" s="92" t="s">
        <v>603</v>
      </c>
      <c r="B20" s="141">
        <v>88.471666666666636</v>
      </c>
      <c r="C20" s="141">
        <v>90.948293996381835</v>
      </c>
      <c r="D20" s="141">
        <v>88.348719178355907</v>
      </c>
      <c r="E20" s="141">
        <v>88.070555175818328</v>
      </c>
      <c r="F20" s="141">
        <v>85.639589676671008</v>
      </c>
      <c r="G20" s="141">
        <v>91.585188267110439</v>
      </c>
    </row>
    <row r="21" spans="1:7">
      <c r="A21" s="92" t="s">
        <v>181</v>
      </c>
      <c r="B21" s="141">
        <v>180</v>
      </c>
      <c r="C21" s="141">
        <v>190.15199999999999</v>
      </c>
      <c r="D21" s="141">
        <v>200.18399999999997</v>
      </c>
      <c r="E21" s="141">
        <v>210.67199999999997</v>
      </c>
      <c r="F21" s="141">
        <v>220.70399999999998</v>
      </c>
      <c r="G21" s="141">
        <v>230.73599999999999</v>
      </c>
    </row>
    <row r="22" spans="1:7">
      <c r="A22" s="92" t="s">
        <v>33</v>
      </c>
      <c r="B22" s="103"/>
      <c r="C22" s="103"/>
      <c r="D22" s="103"/>
      <c r="E22" s="103"/>
      <c r="F22" s="103"/>
      <c r="G22" s="103"/>
    </row>
    <row r="23" spans="1:7">
      <c r="A23" s="27" t="str">
        <f>A18</f>
        <v>Sales per FTE</v>
      </c>
      <c r="B23" s="141">
        <v>121.42857142857143</v>
      </c>
      <c r="C23" s="141">
        <v>200.73869475847897</v>
      </c>
      <c r="D23" s="141">
        <v>191.03114777262067</v>
      </c>
      <c r="E23" s="141">
        <v>187.00874243237962</v>
      </c>
      <c r="F23" s="141">
        <v>176.9419857430249</v>
      </c>
      <c r="G23" s="141">
        <v>189.02794984806383</v>
      </c>
    </row>
    <row r="24" spans="1:7">
      <c r="A24" s="27" t="str">
        <f t="shared" ref="A24:A26" si="0">A19</f>
        <v>Personnel expenses per FTE</v>
      </c>
      <c r="B24" s="141">
        <v>35</v>
      </c>
      <c r="C24" s="141">
        <v>35.159842051171097</v>
      </c>
      <c r="D24" s="141">
        <v>35.324644184493131</v>
      </c>
      <c r="E24" s="141">
        <v>35.518992285909583</v>
      </c>
      <c r="F24" s="141">
        <v>35.44825389921084</v>
      </c>
      <c r="G24" s="141">
        <v>35.383666676572858</v>
      </c>
    </row>
    <row r="25" spans="1:7">
      <c r="A25" s="27" t="str">
        <f t="shared" si="0"/>
        <v>Contribution margin per FTE</v>
      </c>
      <c r="B25" s="141">
        <v>86.428571428571431</v>
      </c>
      <c r="C25" s="141">
        <v>165.57885270730787</v>
      </c>
      <c r="D25" s="141">
        <v>155.70650358812753</v>
      </c>
      <c r="E25" s="141">
        <v>151.48975014647004</v>
      </c>
      <c r="F25" s="141">
        <v>141.49373184381406</v>
      </c>
      <c r="G25" s="141">
        <v>153.64428317149097</v>
      </c>
    </row>
    <row r="26" spans="1:7">
      <c r="A26" s="27" t="str">
        <f t="shared" si="0"/>
        <v>Headcount (FTE)</v>
      </c>
      <c r="B26" s="141">
        <v>140</v>
      </c>
      <c r="C26" s="141">
        <v>147.89599999999999</v>
      </c>
      <c r="D26" s="141">
        <v>155.69866666666664</v>
      </c>
      <c r="E26" s="141">
        <v>163.85599999999999</v>
      </c>
      <c r="F26" s="141">
        <v>171.65866666666665</v>
      </c>
      <c r="G26" s="141">
        <v>179.46133333333333</v>
      </c>
    </row>
    <row r="27" spans="1:7">
      <c r="A27" s="92" t="s">
        <v>34</v>
      </c>
      <c r="B27" s="103"/>
      <c r="C27" s="103"/>
      <c r="D27" s="103"/>
      <c r="E27" s="103"/>
      <c r="F27" s="103"/>
      <c r="G27" s="103"/>
    </row>
    <row r="28" spans="1:7">
      <c r="A28" s="27" t="str">
        <f>A23</f>
        <v>Sales per FTE</v>
      </c>
      <c r="B28" s="141">
        <v>140</v>
      </c>
      <c r="C28" s="141">
        <v>145.77811435062478</v>
      </c>
      <c r="D28" s="141">
        <v>152.31986572353441</v>
      </c>
      <c r="E28" s="141">
        <v>159.21052631578954</v>
      </c>
      <c r="F28" s="141">
        <v>167.17105263157902</v>
      </c>
      <c r="G28" s="141">
        <v>175.89302059496578</v>
      </c>
    </row>
    <row r="29" spans="1:7">
      <c r="A29" s="27" t="str">
        <f t="shared" ref="A29:A31" si="1">A24</f>
        <v>Personnel expenses per FTE</v>
      </c>
      <c r="B29" s="141">
        <v>43</v>
      </c>
      <c r="C29" s="141">
        <v>43.796541713997222</v>
      </c>
      <c r="D29" s="141">
        <v>43.759741038244812</v>
      </c>
      <c r="E29" s="141">
        <v>43.631806789701528</v>
      </c>
      <c r="F29" s="141">
        <v>43.497172683775545</v>
      </c>
      <c r="G29" s="141">
        <v>43.998335760349491</v>
      </c>
    </row>
    <row r="30" spans="1:7">
      <c r="A30" s="27" t="str">
        <f t="shared" si="1"/>
        <v>Contribution margin per FTE</v>
      </c>
      <c r="B30" s="141">
        <v>97</v>
      </c>
      <c r="C30" s="141">
        <v>101.98157263662756</v>
      </c>
      <c r="D30" s="141">
        <v>108.56012468528959</v>
      </c>
      <c r="E30" s="141">
        <v>115.57871952608801</v>
      </c>
      <c r="F30" s="141">
        <v>123.67387994780347</v>
      </c>
      <c r="G30" s="141">
        <v>131.89468483461627</v>
      </c>
    </row>
    <row r="31" spans="1:7">
      <c r="A31" s="27" t="str">
        <f t="shared" si="1"/>
        <v>Headcount (FTE)</v>
      </c>
      <c r="B31" s="141">
        <v>75</v>
      </c>
      <c r="C31" s="141">
        <v>79.23</v>
      </c>
      <c r="D31" s="141">
        <v>83.41</v>
      </c>
      <c r="E31" s="141">
        <v>87.78</v>
      </c>
      <c r="F31" s="141">
        <v>91.960000000000008</v>
      </c>
      <c r="G31" s="141">
        <v>96.14</v>
      </c>
    </row>
    <row r="32" spans="1:7">
      <c r="A32" s="27" t="str">
        <f>Input!E3</f>
        <v>XXX AG</v>
      </c>
      <c r="B32" s="103"/>
      <c r="C32" s="103"/>
      <c r="D32" s="103"/>
      <c r="E32" s="103"/>
      <c r="F32" s="103"/>
      <c r="G32" s="103"/>
    </row>
    <row r="33" spans="1:7">
      <c r="A33" s="27" t="str">
        <f>A28</f>
        <v>Sales per FTE</v>
      </c>
      <c r="B33" s="103">
        <f>(B18*B$21+B23*B$26+B28*B$31)/(B$21+B$26+B$31)</f>
        <v>127.34177215189874</v>
      </c>
      <c r="C33" s="103">
        <f t="shared" ref="C33:G33" si="2">(C18*C$21+C23*C$26+C28*C$31)/(C$21+C$26+C$31)</f>
        <v>157.83829964675829</v>
      </c>
      <c r="D33" s="103">
        <f t="shared" si="2"/>
        <v>154.75854745279915</v>
      </c>
      <c r="E33" s="103">
        <f t="shared" si="2"/>
        <v>154.7063959524819</v>
      </c>
      <c r="F33" s="103">
        <f t="shared" si="2"/>
        <v>151.88774016358238</v>
      </c>
      <c r="G33" s="103">
        <f t="shared" si="2"/>
        <v>160.73387751446336</v>
      </c>
    </row>
    <row r="34" spans="1:7">
      <c r="A34" s="27" t="str">
        <f t="shared" ref="A34:A36" si="3">A29</f>
        <v>Personnel expenses per FTE</v>
      </c>
      <c r="B34" s="103">
        <f t="shared" ref="B34:G35" si="4">(B19*B$21+B24*B$26+B29*B$31)/(B$21+B$26+B$31)</f>
        <v>37.97493670886076</v>
      </c>
      <c r="C34" s="103">
        <f t="shared" si="4"/>
        <v>38.343742061647148</v>
      </c>
      <c r="D34" s="103">
        <f t="shared" si="4"/>
        <v>38.698574526625386</v>
      </c>
      <c r="E34" s="103">
        <f t="shared" si="4"/>
        <v>38.935082239545928</v>
      </c>
      <c r="F34" s="103">
        <f t="shared" si="4"/>
        <v>39.230044983784914</v>
      </c>
      <c r="G34" s="103">
        <f t="shared" si="4"/>
        <v>39.499358793742253</v>
      </c>
    </row>
    <row r="35" spans="1:7">
      <c r="A35" s="27" t="str">
        <f t="shared" si="3"/>
        <v>Contribution margin per FTE</v>
      </c>
      <c r="B35" s="103">
        <f t="shared" si="4"/>
        <v>89.366835443037957</v>
      </c>
      <c r="C35" s="103">
        <f t="shared" si="4"/>
        <v>119.49455758511111</v>
      </c>
      <c r="D35" s="103">
        <f t="shared" si="4"/>
        <v>116.05997292617377</v>
      </c>
      <c r="E35" s="103">
        <f t="shared" si="4"/>
        <v>115.77131371293598</v>
      </c>
      <c r="F35" s="103">
        <f t="shared" si="4"/>
        <v>112.65769517979749</v>
      </c>
      <c r="G35" s="103">
        <f t="shared" si="4"/>
        <v>121.23451872072111</v>
      </c>
    </row>
    <row r="36" spans="1:7">
      <c r="A36" s="27" t="str">
        <f t="shared" si="3"/>
        <v>Headcount (FTE)</v>
      </c>
      <c r="B36" s="103">
        <f>B21+B26+B31</f>
        <v>395</v>
      </c>
      <c r="C36" s="103">
        <f t="shared" ref="C36:G36" si="5">C21+C26+C31</f>
        <v>417.27800000000002</v>
      </c>
      <c r="D36" s="103">
        <f t="shared" si="5"/>
        <v>439.29266666666661</v>
      </c>
      <c r="E36" s="103">
        <f t="shared" si="5"/>
        <v>462.30799999999999</v>
      </c>
      <c r="F36" s="103">
        <f t="shared" si="5"/>
        <v>484.32266666666669</v>
      </c>
      <c r="G36" s="103">
        <f t="shared" si="5"/>
        <v>506.33733333333328</v>
      </c>
    </row>
    <row r="37" spans="1:7">
      <c r="A37" s="154" t="s">
        <v>118</v>
      </c>
      <c r="B37" s="155">
        <f>Input!E82-'04_Cost split up_big'!B36</f>
        <v>0</v>
      </c>
      <c r="C37" s="155">
        <f>Input!F82-'04_Cost split up_big'!C36</f>
        <v>-0.27800000000002001</v>
      </c>
      <c r="D37" s="155">
        <f>Input!G82-'04_Cost split up_big'!D36</f>
        <v>-0.29266666666660512</v>
      </c>
      <c r="E37" s="155">
        <f>Input!H82-'04_Cost split up_big'!E36</f>
        <v>-0.30799999999999272</v>
      </c>
      <c r="F37" s="155">
        <f>Input!I82-'04_Cost split up_big'!F36</f>
        <v>-0.32266666666669153</v>
      </c>
      <c r="G37" s="155">
        <f>Input!J82-'04_Cost split up_big'!G36</f>
        <v>-0.33733333333327664</v>
      </c>
    </row>
    <row r="39" spans="1:7" ht="19.5" customHeight="1">
      <c r="A39" s="377" t="s">
        <v>185</v>
      </c>
      <c r="B39" s="377"/>
      <c r="C39" s="377"/>
      <c r="D39" s="377"/>
      <c r="E39" s="377"/>
      <c r="F39" s="377"/>
      <c r="G39" s="377"/>
    </row>
    <row r="40" spans="1:7">
      <c r="A40" s="565"/>
      <c r="B40" s="3">
        <f>B15</f>
        <v>2010</v>
      </c>
      <c r="C40" s="3">
        <f t="shared" ref="C40:G40" si="6">C15</f>
        <v>2011</v>
      </c>
      <c r="D40" s="3">
        <f t="shared" si="6"/>
        <v>2012</v>
      </c>
      <c r="E40" s="406">
        <f>E15</f>
        <v>2013</v>
      </c>
      <c r="F40" s="407">
        <f t="shared" si="6"/>
        <v>2014</v>
      </c>
      <c r="G40" s="408">
        <f t="shared" si="6"/>
        <v>2015</v>
      </c>
    </row>
    <row r="41" spans="1:7">
      <c r="A41" s="523" t="str">
        <f>A16</f>
        <v>€000</v>
      </c>
      <c r="B41" s="795" t="str">
        <f>C16</f>
        <v>Actual</v>
      </c>
      <c r="C41" s="795"/>
      <c r="D41" s="795"/>
      <c r="E41" s="796" t="str">
        <f>F16</f>
        <v>Plan</v>
      </c>
      <c r="F41" s="797"/>
      <c r="G41" s="799"/>
    </row>
    <row r="42" spans="1:7">
      <c r="A42" s="524" t="str">
        <f>A17</f>
        <v>Segment A</v>
      </c>
      <c r="B42" s="22"/>
      <c r="C42" s="22"/>
      <c r="D42" s="22"/>
      <c r="E42" s="529"/>
      <c r="F42" s="22"/>
      <c r="G42" s="516"/>
    </row>
    <row r="43" spans="1:7">
      <c r="A43" s="385" t="str">
        <f t="shared" ref="A43:G58" si="7">A18</f>
        <v>Sales per FTE</v>
      </c>
      <c r="B43" s="7">
        <f t="shared" si="7"/>
        <v>126.66666666666664</v>
      </c>
      <c r="C43" s="7">
        <f t="shared" si="7"/>
        <v>129.49640287769785</v>
      </c>
      <c r="D43" s="7">
        <f t="shared" si="7"/>
        <v>127.56264236902049</v>
      </c>
      <c r="E43" s="530">
        <f t="shared" si="7"/>
        <v>127.70562770562771</v>
      </c>
      <c r="F43" s="7">
        <f t="shared" si="7"/>
        <v>126.03305785123966</v>
      </c>
      <c r="G43" s="517">
        <f t="shared" si="7"/>
        <v>132.41106719367588</v>
      </c>
    </row>
    <row r="44" spans="1:7" ht="22.5">
      <c r="A44" s="385" t="str">
        <f t="shared" si="7"/>
        <v>Personnel expenses per FTE</v>
      </c>
      <c r="B44" s="7">
        <f t="shared" si="7"/>
        <v>38.195</v>
      </c>
      <c r="C44" s="7">
        <f t="shared" si="7"/>
        <v>38.548108881316004</v>
      </c>
      <c r="D44" s="7">
        <f t="shared" si="7"/>
        <v>39.213923190664595</v>
      </c>
      <c r="E44" s="530">
        <f t="shared" si="7"/>
        <v>39.635072529809378</v>
      </c>
      <c r="F44" s="7">
        <f t="shared" si="7"/>
        <v>40.393468174568653</v>
      </c>
      <c r="G44" s="517">
        <f t="shared" si="7"/>
        <v>40.82587892656543</v>
      </c>
    </row>
    <row r="45" spans="1:7">
      <c r="A45" s="385" t="str">
        <f t="shared" si="7"/>
        <v>Contribution margin per FTE</v>
      </c>
      <c r="B45" s="7">
        <f t="shared" si="7"/>
        <v>88.471666666666636</v>
      </c>
      <c r="C45" s="7">
        <f t="shared" si="7"/>
        <v>90.948293996381835</v>
      </c>
      <c r="D45" s="7">
        <f t="shared" si="7"/>
        <v>88.348719178355907</v>
      </c>
      <c r="E45" s="530">
        <f t="shared" si="7"/>
        <v>88.070555175818328</v>
      </c>
      <c r="F45" s="7">
        <f t="shared" si="7"/>
        <v>85.639589676671008</v>
      </c>
      <c r="G45" s="517">
        <f t="shared" si="7"/>
        <v>91.585188267110439</v>
      </c>
    </row>
    <row r="46" spans="1:7">
      <c r="A46" s="524" t="str">
        <f t="shared" si="7"/>
        <v>Headcount (FTE)</v>
      </c>
      <c r="B46" s="139">
        <f t="shared" si="7"/>
        <v>180</v>
      </c>
      <c r="C46" s="139">
        <f t="shared" si="7"/>
        <v>190.15199999999999</v>
      </c>
      <c r="D46" s="139">
        <f t="shared" si="7"/>
        <v>200.18399999999997</v>
      </c>
      <c r="E46" s="531">
        <f t="shared" si="7"/>
        <v>210.67199999999997</v>
      </c>
      <c r="F46" s="139">
        <f t="shared" si="7"/>
        <v>220.70399999999998</v>
      </c>
      <c r="G46" s="518">
        <f t="shared" si="7"/>
        <v>230.73599999999999</v>
      </c>
    </row>
    <row r="47" spans="1:7">
      <c r="A47" s="525" t="str">
        <f t="shared" si="7"/>
        <v>Segment B</v>
      </c>
      <c r="B47" s="140"/>
      <c r="C47" s="140"/>
      <c r="D47" s="140"/>
      <c r="E47" s="532"/>
      <c r="F47" s="140"/>
      <c r="G47" s="519"/>
    </row>
    <row r="48" spans="1:7">
      <c r="A48" s="385" t="str">
        <f t="shared" si="7"/>
        <v>Sales per FTE</v>
      </c>
      <c r="B48" s="7">
        <f t="shared" si="7"/>
        <v>121.42857142857143</v>
      </c>
      <c r="C48" s="7">
        <f t="shared" si="7"/>
        <v>200.73869475847897</v>
      </c>
      <c r="D48" s="7">
        <f t="shared" si="7"/>
        <v>191.03114777262067</v>
      </c>
      <c r="E48" s="530">
        <f t="shared" si="7"/>
        <v>187.00874243237962</v>
      </c>
      <c r="F48" s="7">
        <f t="shared" si="7"/>
        <v>176.9419857430249</v>
      </c>
      <c r="G48" s="517">
        <f t="shared" si="7"/>
        <v>189.02794984806383</v>
      </c>
    </row>
    <row r="49" spans="1:7" ht="22.5">
      <c r="A49" s="385" t="str">
        <f t="shared" si="7"/>
        <v>Personnel expenses per FTE</v>
      </c>
      <c r="B49" s="7">
        <f t="shared" si="7"/>
        <v>35</v>
      </c>
      <c r="C49" s="7">
        <f t="shared" si="7"/>
        <v>35.159842051171097</v>
      </c>
      <c r="D49" s="7">
        <f t="shared" si="7"/>
        <v>35.324644184493131</v>
      </c>
      <c r="E49" s="530">
        <f t="shared" si="7"/>
        <v>35.518992285909583</v>
      </c>
      <c r="F49" s="7">
        <f t="shared" si="7"/>
        <v>35.44825389921084</v>
      </c>
      <c r="G49" s="517">
        <f t="shared" si="7"/>
        <v>35.383666676572858</v>
      </c>
    </row>
    <row r="50" spans="1:7">
      <c r="A50" s="385" t="str">
        <f t="shared" si="7"/>
        <v>Contribution margin per FTE</v>
      </c>
      <c r="B50" s="7">
        <f t="shared" si="7"/>
        <v>86.428571428571431</v>
      </c>
      <c r="C50" s="7">
        <f t="shared" si="7"/>
        <v>165.57885270730787</v>
      </c>
      <c r="D50" s="7">
        <f t="shared" si="7"/>
        <v>155.70650358812753</v>
      </c>
      <c r="E50" s="530">
        <f t="shared" si="7"/>
        <v>151.48975014647004</v>
      </c>
      <c r="F50" s="7">
        <f t="shared" si="7"/>
        <v>141.49373184381406</v>
      </c>
      <c r="G50" s="517">
        <f t="shared" si="7"/>
        <v>153.64428317149097</v>
      </c>
    </row>
    <row r="51" spans="1:7">
      <c r="A51" s="524" t="str">
        <f t="shared" si="7"/>
        <v>Headcount (FTE)</v>
      </c>
      <c r="B51" s="139">
        <f t="shared" si="7"/>
        <v>140</v>
      </c>
      <c r="C51" s="139">
        <f t="shared" si="7"/>
        <v>147.89599999999999</v>
      </c>
      <c r="D51" s="139">
        <f t="shared" si="7"/>
        <v>155.69866666666664</v>
      </c>
      <c r="E51" s="531">
        <f t="shared" si="7"/>
        <v>163.85599999999999</v>
      </c>
      <c r="F51" s="139">
        <f t="shared" si="7"/>
        <v>171.65866666666665</v>
      </c>
      <c r="G51" s="518">
        <f t="shared" si="7"/>
        <v>179.46133333333333</v>
      </c>
    </row>
    <row r="52" spans="1:7">
      <c r="A52" s="525" t="str">
        <f t="shared" si="7"/>
        <v>Segment C</v>
      </c>
      <c r="B52" s="140"/>
      <c r="C52" s="140"/>
      <c r="D52" s="140"/>
      <c r="E52" s="532"/>
      <c r="F52" s="140"/>
      <c r="G52" s="519"/>
    </row>
    <row r="53" spans="1:7">
      <c r="A53" s="385" t="str">
        <f t="shared" si="7"/>
        <v>Sales per FTE</v>
      </c>
      <c r="B53" s="7">
        <f t="shared" si="7"/>
        <v>140</v>
      </c>
      <c r="C53" s="7">
        <f t="shared" si="7"/>
        <v>145.77811435062478</v>
      </c>
      <c r="D53" s="7">
        <f t="shared" si="7"/>
        <v>152.31986572353441</v>
      </c>
      <c r="E53" s="530">
        <f t="shared" si="7"/>
        <v>159.21052631578954</v>
      </c>
      <c r="F53" s="7">
        <f t="shared" si="7"/>
        <v>167.17105263157902</v>
      </c>
      <c r="G53" s="517">
        <f t="shared" si="7"/>
        <v>175.89302059496578</v>
      </c>
    </row>
    <row r="54" spans="1:7" ht="22.5">
      <c r="A54" s="385" t="str">
        <f t="shared" si="7"/>
        <v>Personnel expenses per FTE</v>
      </c>
      <c r="B54" s="7">
        <f t="shared" si="7"/>
        <v>43</v>
      </c>
      <c r="C54" s="7">
        <f t="shared" si="7"/>
        <v>43.796541713997222</v>
      </c>
      <c r="D54" s="7">
        <f t="shared" si="7"/>
        <v>43.759741038244812</v>
      </c>
      <c r="E54" s="530">
        <f t="shared" si="7"/>
        <v>43.631806789701528</v>
      </c>
      <c r="F54" s="7">
        <f t="shared" si="7"/>
        <v>43.497172683775545</v>
      </c>
      <c r="G54" s="517">
        <f t="shared" si="7"/>
        <v>43.998335760349491</v>
      </c>
    </row>
    <row r="55" spans="1:7">
      <c r="A55" s="385" t="str">
        <f t="shared" si="7"/>
        <v>Contribution margin per FTE</v>
      </c>
      <c r="B55" s="7">
        <f t="shared" si="7"/>
        <v>97</v>
      </c>
      <c r="C55" s="7">
        <f t="shared" si="7"/>
        <v>101.98157263662756</v>
      </c>
      <c r="D55" s="7">
        <f t="shared" si="7"/>
        <v>108.56012468528959</v>
      </c>
      <c r="E55" s="530">
        <f t="shared" si="7"/>
        <v>115.57871952608801</v>
      </c>
      <c r="F55" s="7">
        <f t="shared" si="7"/>
        <v>123.67387994780347</v>
      </c>
      <c r="G55" s="517">
        <f t="shared" si="7"/>
        <v>131.89468483461627</v>
      </c>
    </row>
    <row r="56" spans="1:7">
      <c r="A56" s="524" t="str">
        <f t="shared" si="7"/>
        <v>Headcount (FTE)</v>
      </c>
      <c r="B56" s="139">
        <f t="shared" si="7"/>
        <v>75</v>
      </c>
      <c r="C56" s="139">
        <f t="shared" si="7"/>
        <v>79.23</v>
      </c>
      <c r="D56" s="139">
        <f t="shared" si="7"/>
        <v>83.41</v>
      </c>
      <c r="E56" s="531">
        <f t="shared" si="7"/>
        <v>87.78</v>
      </c>
      <c r="F56" s="139">
        <f t="shared" si="7"/>
        <v>91.960000000000008</v>
      </c>
      <c r="G56" s="518">
        <f t="shared" si="7"/>
        <v>96.14</v>
      </c>
    </row>
    <row r="57" spans="1:7">
      <c r="A57" s="566" t="str">
        <f t="shared" si="7"/>
        <v>XXX AG</v>
      </c>
      <c r="B57" s="567"/>
      <c r="C57" s="567"/>
      <c r="D57" s="567"/>
      <c r="E57" s="568"/>
      <c r="F57" s="567"/>
      <c r="G57" s="569"/>
    </row>
    <row r="58" spans="1:7">
      <c r="A58" s="570" t="str">
        <f t="shared" si="7"/>
        <v>Sales per FTE</v>
      </c>
      <c r="B58" s="571">
        <f t="shared" si="7"/>
        <v>127.34177215189874</v>
      </c>
      <c r="C58" s="571">
        <f t="shared" si="7"/>
        <v>157.83829964675829</v>
      </c>
      <c r="D58" s="571">
        <f t="shared" si="7"/>
        <v>154.75854745279915</v>
      </c>
      <c r="E58" s="572">
        <f t="shared" si="7"/>
        <v>154.7063959524819</v>
      </c>
      <c r="F58" s="571">
        <f t="shared" si="7"/>
        <v>151.88774016358238</v>
      </c>
      <c r="G58" s="573">
        <f t="shared" si="7"/>
        <v>160.73387751446336</v>
      </c>
    </row>
    <row r="59" spans="1:7" ht="22.5">
      <c r="A59" s="570" t="str">
        <f t="shared" ref="A59:G61" si="8">A34</f>
        <v>Personnel expenses per FTE</v>
      </c>
      <c r="B59" s="571">
        <f t="shared" si="8"/>
        <v>37.97493670886076</v>
      </c>
      <c r="C59" s="571">
        <f t="shared" si="8"/>
        <v>38.343742061647148</v>
      </c>
      <c r="D59" s="571">
        <f t="shared" si="8"/>
        <v>38.698574526625386</v>
      </c>
      <c r="E59" s="572">
        <f t="shared" si="8"/>
        <v>38.935082239545928</v>
      </c>
      <c r="F59" s="571">
        <f t="shared" si="8"/>
        <v>39.230044983784914</v>
      </c>
      <c r="G59" s="573">
        <f t="shared" si="8"/>
        <v>39.499358793742253</v>
      </c>
    </row>
    <row r="60" spans="1:7">
      <c r="A60" s="570" t="str">
        <f t="shared" si="8"/>
        <v>Contribution margin per FTE</v>
      </c>
      <c r="B60" s="571">
        <f t="shared" si="8"/>
        <v>89.366835443037957</v>
      </c>
      <c r="C60" s="571">
        <f t="shared" si="8"/>
        <v>119.49455758511111</v>
      </c>
      <c r="D60" s="571">
        <f t="shared" si="8"/>
        <v>116.05997292617377</v>
      </c>
      <c r="E60" s="572">
        <f t="shared" si="8"/>
        <v>115.77131371293598</v>
      </c>
      <c r="F60" s="571">
        <f t="shared" si="8"/>
        <v>112.65769517979749</v>
      </c>
      <c r="G60" s="573">
        <f t="shared" si="8"/>
        <v>121.23451872072111</v>
      </c>
    </row>
    <row r="61" spans="1:7" ht="12" thickBot="1">
      <c r="A61" s="574" t="str">
        <f t="shared" si="8"/>
        <v>Headcount (FTE)</v>
      </c>
      <c r="B61" s="575">
        <f t="shared" si="8"/>
        <v>395</v>
      </c>
      <c r="C61" s="575">
        <f t="shared" si="8"/>
        <v>417.27800000000002</v>
      </c>
      <c r="D61" s="575">
        <f t="shared" si="8"/>
        <v>439.29266666666661</v>
      </c>
      <c r="E61" s="576">
        <f t="shared" si="8"/>
        <v>462.30799999999999</v>
      </c>
      <c r="F61" s="575">
        <f t="shared" si="8"/>
        <v>484.32266666666669</v>
      </c>
      <c r="G61" s="577">
        <f t="shared" si="8"/>
        <v>506.33733333333328</v>
      </c>
    </row>
  </sheetData>
  <mergeCells count="2">
    <mergeCell ref="B41:D41"/>
    <mergeCell ref="E41:G41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G44"/>
  <sheetViews>
    <sheetView zoomScale="70" zoomScaleNormal="70" workbookViewId="0">
      <selection activeCell="N30" sqref="N30"/>
    </sheetView>
  </sheetViews>
  <sheetFormatPr defaultColWidth="11.5" defaultRowHeight="11.25"/>
  <cols>
    <col min="1" max="1" width="20" style="27" customWidth="1"/>
    <col min="2" max="7" width="6.6640625" style="27" customWidth="1"/>
    <col min="8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271</v>
      </c>
    </row>
    <row r="2" spans="1:7" ht="20.25" customHeight="1">
      <c r="A2" s="48" t="s">
        <v>282</v>
      </c>
    </row>
    <row r="3" spans="1:7" ht="20.25" customHeight="1">
      <c r="A3" s="48"/>
    </row>
    <row r="4" spans="1:7" ht="20.25" customHeight="1">
      <c r="A4" s="48"/>
    </row>
    <row r="5" spans="1:7" ht="20.25" customHeight="1">
      <c r="A5" s="48"/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4" spans="1:7">
      <c r="A14" s="9" t="s">
        <v>122</v>
      </c>
    </row>
    <row r="16" spans="1:7">
      <c r="B16" s="54">
        <f>Input!E68</f>
        <v>2010</v>
      </c>
      <c r="C16" s="54">
        <f>Input!F68</f>
        <v>2011</v>
      </c>
      <c r="D16" s="54">
        <f>Input!G68</f>
        <v>2012</v>
      </c>
      <c r="E16" s="54">
        <f>Input!H68</f>
        <v>2013</v>
      </c>
      <c r="F16" s="54">
        <f>Input!I68</f>
        <v>2014</v>
      </c>
      <c r="G16" s="54">
        <f>Input!J68</f>
        <v>2015</v>
      </c>
    </row>
    <row r="17" spans="1:7">
      <c r="A17" s="27" t="str">
        <f>Input!E4</f>
        <v>€m</v>
      </c>
      <c r="B17" s="54" t="str">
        <f>Input!E69</f>
        <v>Actual</v>
      </c>
      <c r="C17" s="54" t="str">
        <f>Input!F69</f>
        <v>Actual</v>
      </c>
      <c r="D17" s="54" t="str">
        <f>Input!G69</f>
        <v>Actual</v>
      </c>
      <c r="E17" s="54" t="str">
        <f>Input!H69</f>
        <v>Plan</v>
      </c>
      <c r="F17" s="54" t="str">
        <f>Input!I69</f>
        <v>Plan</v>
      </c>
      <c r="G17" s="54" t="str">
        <f>Input!J69</f>
        <v>Plan</v>
      </c>
    </row>
    <row r="18" spans="1:7">
      <c r="A18" s="27" t="s">
        <v>225</v>
      </c>
      <c r="B18" s="33">
        <f>B19*0.6</f>
        <v>10.799999999999999</v>
      </c>
      <c r="C18" s="33">
        <v>11</v>
      </c>
      <c r="D18" s="33">
        <v>11.8</v>
      </c>
      <c r="E18" s="33">
        <v>12.9</v>
      </c>
      <c r="F18" s="33">
        <v>12.3</v>
      </c>
      <c r="G18" s="33">
        <v>16</v>
      </c>
    </row>
    <row r="19" spans="1:7">
      <c r="A19" s="27" t="str">
        <f>Input!D54</f>
        <v>EBITDA</v>
      </c>
      <c r="B19" s="33">
        <f>Input!E54</f>
        <v>18</v>
      </c>
      <c r="C19" s="33">
        <f>Input!F54</f>
        <v>19</v>
      </c>
      <c r="D19" s="33">
        <f>Input!G54</f>
        <v>19.5</v>
      </c>
      <c r="E19" s="33">
        <f>Input!H54</f>
        <v>21</v>
      </c>
      <c r="F19" s="33">
        <f>Input!I54</f>
        <v>22</v>
      </c>
      <c r="G19" s="33">
        <f>Input!J54</f>
        <v>26</v>
      </c>
    </row>
    <row r="20" spans="1:7" ht="22.5">
      <c r="A20" s="183" t="s">
        <v>582</v>
      </c>
      <c r="B20" s="65">
        <f t="shared" ref="B20:G20" si="0">B18/B19</f>
        <v>0.6</v>
      </c>
      <c r="C20" s="65">
        <f t="shared" si="0"/>
        <v>0.57894736842105265</v>
      </c>
      <c r="D20" s="65">
        <f t="shared" si="0"/>
        <v>0.6051282051282052</v>
      </c>
      <c r="E20" s="65">
        <f t="shared" si="0"/>
        <v>0.61428571428571432</v>
      </c>
      <c r="F20" s="65">
        <f t="shared" si="0"/>
        <v>0.55909090909090908</v>
      </c>
      <c r="G20" s="65">
        <f t="shared" si="0"/>
        <v>0.61538461538461542</v>
      </c>
    </row>
    <row r="21" spans="1:7">
      <c r="A21" s="27" t="str">
        <f>Input!D70</f>
        <v>Sales</v>
      </c>
      <c r="B21" s="33">
        <f>Input!E70</f>
        <v>50</v>
      </c>
      <c r="C21" s="33">
        <f>Input!F70</f>
        <v>54</v>
      </c>
      <c r="D21" s="33">
        <f>Input!G70</f>
        <v>56</v>
      </c>
      <c r="E21" s="33">
        <f>Input!H70</f>
        <v>59</v>
      </c>
      <c r="F21" s="33">
        <f>Input!I70</f>
        <v>61</v>
      </c>
      <c r="G21" s="33">
        <f>Input!J70</f>
        <v>67</v>
      </c>
    </row>
    <row r="22" spans="1:7">
      <c r="A22" s="27" t="s">
        <v>581</v>
      </c>
      <c r="B22" s="65">
        <f t="shared" ref="B22:G22" si="1">B18/B21</f>
        <v>0.21599999999999997</v>
      </c>
      <c r="C22" s="65">
        <f t="shared" si="1"/>
        <v>0.20370370370370369</v>
      </c>
      <c r="D22" s="65">
        <f t="shared" si="1"/>
        <v>0.21071428571428572</v>
      </c>
      <c r="E22" s="65">
        <f t="shared" si="1"/>
        <v>0.21864406779661016</v>
      </c>
      <c r="F22" s="65">
        <f t="shared" si="1"/>
        <v>0.2016393442622951</v>
      </c>
      <c r="G22" s="65">
        <f t="shared" si="1"/>
        <v>0.23880597014925373</v>
      </c>
    </row>
    <row r="26" spans="1:7" s="39" customFormat="1" ht="19.5" customHeight="1">
      <c r="A26" s="350" t="s">
        <v>225</v>
      </c>
      <c r="B26" s="350"/>
      <c r="C26" s="350"/>
      <c r="D26" s="350"/>
      <c r="E26" s="350"/>
      <c r="F26" s="350"/>
      <c r="G26" s="350"/>
    </row>
    <row r="27" spans="1:7" s="39" customFormat="1" ht="14.25">
      <c r="A27" s="581"/>
      <c r="B27" s="184">
        <f>B16</f>
        <v>2010</v>
      </c>
      <c r="C27" s="184">
        <f t="shared" ref="C27:G27" si="2">C16</f>
        <v>2011</v>
      </c>
      <c r="D27" s="184">
        <f t="shared" si="2"/>
        <v>2012</v>
      </c>
      <c r="E27" s="587">
        <f t="shared" si="2"/>
        <v>2013</v>
      </c>
      <c r="F27" s="588">
        <f t="shared" si="2"/>
        <v>2014</v>
      </c>
      <c r="G27" s="589">
        <f t="shared" si="2"/>
        <v>2015</v>
      </c>
    </row>
    <row r="28" spans="1:7" s="39" customFormat="1">
      <c r="A28" s="584" t="str">
        <f>A17</f>
        <v>€m</v>
      </c>
      <c r="B28" s="800" t="str">
        <f>B17</f>
        <v>Actual</v>
      </c>
      <c r="C28" s="800"/>
      <c r="D28" s="800"/>
      <c r="E28" s="801" t="str">
        <f>G17</f>
        <v>Plan</v>
      </c>
      <c r="F28" s="802"/>
      <c r="G28" s="803"/>
    </row>
    <row r="29" spans="1:7" s="39" customFormat="1" ht="15" customHeight="1">
      <c r="A29" s="582" t="str">
        <f t="shared" ref="A29:A33" si="3">A18</f>
        <v>Free cash flow</v>
      </c>
      <c r="B29" s="158">
        <v>60</v>
      </c>
      <c r="C29" s="158">
        <v>67</v>
      </c>
      <c r="D29" s="158">
        <v>71</v>
      </c>
      <c r="E29" s="590">
        <v>76</v>
      </c>
      <c r="F29" s="158">
        <v>77</v>
      </c>
      <c r="G29" s="579">
        <v>81</v>
      </c>
    </row>
    <row r="30" spans="1:7" s="39" customFormat="1" ht="14.25" customHeight="1">
      <c r="A30" s="583" t="str">
        <f t="shared" si="3"/>
        <v>EBITDA</v>
      </c>
      <c r="B30" s="182">
        <v>100</v>
      </c>
      <c r="C30" s="182">
        <v>110</v>
      </c>
      <c r="D30" s="182">
        <v>115</v>
      </c>
      <c r="E30" s="591">
        <v>118</v>
      </c>
      <c r="F30" s="182">
        <v>120</v>
      </c>
      <c r="G30" s="580">
        <v>122</v>
      </c>
    </row>
    <row r="31" spans="1:7" s="39" customFormat="1" ht="24" customHeight="1">
      <c r="A31" s="592" t="s">
        <v>582</v>
      </c>
      <c r="B31" s="593">
        <f>B29/B30</f>
        <v>0.6</v>
      </c>
      <c r="C31" s="593">
        <f t="shared" ref="C31:G31" si="4">C29/C30</f>
        <v>0.60909090909090913</v>
      </c>
      <c r="D31" s="593">
        <f t="shared" si="4"/>
        <v>0.61739130434782608</v>
      </c>
      <c r="E31" s="594">
        <f t="shared" si="4"/>
        <v>0.64406779661016944</v>
      </c>
      <c r="F31" s="593">
        <f t="shared" si="4"/>
        <v>0.64166666666666672</v>
      </c>
      <c r="G31" s="595">
        <f t="shared" si="4"/>
        <v>0.66393442622950816</v>
      </c>
    </row>
    <row r="32" spans="1:7" s="39" customFormat="1">
      <c r="A32" s="583" t="str">
        <f t="shared" si="3"/>
        <v>Sales</v>
      </c>
      <c r="B32" s="182">
        <v>200</v>
      </c>
      <c r="C32" s="182">
        <v>220</v>
      </c>
      <c r="D32" s="182">
        <v>240</v>
      </c>
      <c r="E32" s="591">
        <v>235</v>
      </c>
      <c r="F32" s="182">
        <v>240</v>
      </c>
      <c r="G32" s="580">
        <v>245</v>
      </c>
    </row>
    <row r="33" spans="1:7" s="39" customFormat="1" ht="24" customHeight="1" thickBot="1">
      <c r="A33" s="596" t="str">
        <f t="shared" si="3"/>
        <v>Free cash flow in % of sales</v>
      </c>
      <c r="B33" s="597">
        <f t="shared" ref="B33:G33" si="5">B29/B32</f>
        <v>0.3</v>
      </c>
      <c r="C33" s="597">
        <f t="shared" si="5"/>
        <v>0.30454545454545456</v>
      </c>
      <c r="D33" s="597">
        <f t="shared" si="5"/>
        <v>0.29583333333333334</v>
      </c>
      <c r="E33" s="598">
        <f t="shared" si="5"/>
        <v>0.32340425531914896</v>
      </c>
      <c r="F33" s="597">
        <f t="shared" si="5"/>
        <v>0.32083333333333336</v>
      </c>
      <c r="G33" s="599">
        <f t="shared" si="5"/>
        <v>0.33061224489795921</v>
      </c>
    </row>
    <row r="34" spans="1:7" s="39" customFormat="1"/>
    <row r="35" spans="1:7" s="39" customFormat="1"/>
    <row r="36" spans="1:7" s="39" customFormat="1"/>
    <row r="37" spans="1:7" s="39" customFormat="1"/>
    <row r="38" spans="1:7" s="39" customFormat="1"/>
    <row r="39" spans="1:7" s="39" customFormat="1"/>
    <row r="40" spans="1:7" s="39" customFormat="1"/>
    <row r="41" spans="1:7" s="39" customFormat="1"/>
    <row r="42" spans="1:7" s="39" customFormat="1"/>
    <row r="43" spans="1:7" s="39" customFormat="1"/>
    <row r="44" spans="1:7" s="39" customFormat="1"/>
  </sheetData>
  <mergeCells count="2">
    <mergeCell ref="B28:D28"/>
    <mergeCell ref="E28:G28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opLeftCell="A10" zoomScale="115" zoomScaleNormal="115" workbookViewId="0">
      <selection activeCell="K38" sqref="K38"/>
    </sheetView>
  </sheetViews>
  <sheetFormatPr defaultColWidth="11.5" defaultRowHeight="11.25"/>
  <cols>
    <col min="1" max="1" width="19.83203125" style="27" customWidth="1"/>
    <col min="2" max="7" width="6.6640625" style="27" customWidth="1"/>
    <col min="8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271</v>
      </c>
    </row>
    <row r="2" spans="1:7" ht="20.25" customHeight="1">
      <c r="A2" s="48" t="s">
        <v>282</v>
      </c>
    </row>
    <row r="3" spans="1:7" ht="20.25" customHeight="1">
      <c r="A3" s="48"/>
    </row>
    <row r="4" spans="1:7" ht="20.25" customHeight="1">
      <c r="A4" s="48"/>
    </row>
    <row r="5" spans="1:7" ht="20.25" customHeight="1">
      <c r="A5" s="48"/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4" spans="1:7">
      <c r="A14" s="9" t="s">
        <v>122</v>
      </c>
    </row>
    <row r="16" spans="1:7">
      <c r="B16" s="54">
        <f>[3]Input!E68</f>
        <v>2010</v>
      </c>
      <c r="C16" s="54">
        <f>[3]Input!F68</f>
        <v>2011</v>
      </c>
      <c r="D16" s="54">
        <f>[3]Input!G68</f>
        <v>2012</v>
      </c>
      <c r="E16" s="54">
        <f>[3]Input!H68</f>
        <v>2013</v>
      </c>
      <c r="F16" s="54">
        <f>[3]Input!I68</f>
        <v>2014</v>
      </c>
      <c r="G16" s="54">
        <f>[3]Input!J68</f>
        <v>2015</v>
      </c>
    </row>
    <row r="17" spans="1:7">
      <c r="A17" s="27" t="str">
        <f>[3]Input!E4</f>
        <v>€m</v>
      </c>
      <c r="B17" s="54" t="str">
        <f>[3]Input!E69</f>
        <v>Actual</v>
      </c>
      <c r="C17" s="54" t="str">
        <f>[3]Input!F69</f>
        <v>Actual</v>
      </c>
      <c r="D17" s="54" t="str">
        <f>[3]Input!G69</f>
        <v>Actual</v>
      </c>
      <c r="E17" s="54" t="str">
        <f>[3]Input!H69</f>
        <v>Plan</v>
      </c>
      <c r="F17" s="54" t="str">
        <f>[3]Input!I69</f>
        <v>Plan</v>
      </c>
      <c r="G17" s="54" t="str">
        <f>[3]Input!J69</f>
        <v>Plan</v>
      </c>
    </row>
    <row r="18" spans="1:7">
      <c r="A18" s="27" t="s">
        <v>225</v>
      </c>
      <c r="B18" s="33">
        <f>B19*0.6</f>
        <v>10.799999999999999</v>
      </c>
      <c r="C18" s="33">
        <v>11</v>
      </c>
      <c r="D18" s="33">
        <v>11.8</v>
      </c>
      <c r="E18" s="33">
        <v>12.9</v>
      </c>
      <c r="F18" s="33">
        <v>12.3</v>
      </c>
      <c r="G18" s="33">
        <v>16</v>
      </c>
    </row>
    <row r="19" spans="1:7">
      <c r="A19" s="27" t="str">
        <f>[3]Input!D54</f>
        <v>EBITDA</v>
      </c>
      <c r="B19" s="33">
        <f>[3]Input!E54</f>
        <v>18</v>
      </c>
      <c r="C19" s="33">
        <f>[3]Input!F54</f>
        <v>19</v>
      </c>
      <c r="D19" s="33">
        <f>[3]Input!G54</f>
        <v>19.5</v>
      </c>
      <c r="E19" s="33">
        <f>[3]Input!H54</f>
        <v>21</v>
      </c>
      <c r="F19" s="33">
        <f>[3]Input!I54</f>
        <v>22</v>
      </c>
      <c r="G19" s="33">
        <f>[3]Input!J54</f>
        <v>26</v>
      </c>
    </row>
    <row r="20" spans="1:7" ht="22.5">
      <c r="A20" s="183" t="s">
        <v>582</v>
      </c>
      <c r="B20" s="65">
        <f t="shared" ref="B20:G20" si="0">B18/B19</f>
        <v>0.6</v>
      </c>
      <c r="C20" s="65">
        <f t="shared" si="0"/>
        <v>0.57894736842105265</v>
      </c>
      <c r="D20" s="65">
        <f t="shared" si="0"/>
        <v>0.6051282051282052</v>
      </c>
      <c r="E20" s="65">
        <f t="shared" si="0"/>
        <v>0.61428571428571432</v>
      </c>
      <c r="F20" s="65">
        <f t="shared" si="0"/>
        <v>0.55909090909090908</v>
      </c>
      <c r="G20" s="65">
        <f t="shared" si="0"/>
        <v>0.61538461538461542</v>
      </c>
    </row>
    <row r="21" spans="1:7">
      <c r="A21" s="27" t="str">
        <f>[3]Input!D70</f>
        <v>Sales</v>
      </c>
      <c r="B21" s="33">
        <f>[3]Input!E70</f>
        <v>50</v>
      </c>
      <c r="C21" s="33">
        <f>[3]Input!F70</f>
        <v>54</v>
      </c>
      <c r="D21" s="33">
        <f>[3]Input!G70</f>
        <v>56</v>
      </c>
      <c r="E21" s="33">
        <f>[3]Input!H70</f>
        <v>59</v>
      </c>
      <c r="F21" s="33">
        <f>[3]Input!I70</f>
        <v>61</v>
      </c>
      <c r="G21" s="33">
        <f>[3]Input!J70</f>
        <v>67</v>
      </c>
    </row>
    <row r="22" spans="1:7">
      <c r="A22" s="27" t="s">
        <v>581</v>
      </c>
      <c r="B22" s="65">
        <f t="shared" ref="B22:G22" si="1">B18/B21</f>
        <v>0.21599999999999997</v>
      </c>
      <c r="C22" s="65">
        <f t="shared" si="1"/>
        <v>0.20370370370370369</v>
      </c>
      <c r="D22" s="65">
        <f t="shared" si="1"/>
        <v>0.21071428571428572</v>
      </c>
      <c r="E22" s="65">
        <f t="shared" si="1"/>
        <v>0.21864406779661016</v>
      </c>
      <c r="F22" s="65">
        <f t="shared" si="1"/>
        <v>0.2016393442622951</v>
      </c>
      <c r="G22" s="65">
        <f t="shared" si="1"/>
        <v>0.23880597014925373</v>
      </c>
    </row>
    <row r="26" spans="1:7" s="39" customFormat="1" ht="19.5" customHeight="1">
      <c r="A26" s="350" t="s">
        <v>225</v>
      </c>
      <c r="B26" s="350"/>
      <c r="C26" s="350"/>
      <c r="D26" s="350"/>
      <c r="E26" s="350"/>
      <c r="F26" s="350"/>
      <c r="G26" s="350"/>
    </row>
    <row r="27" spans="1:7" s="39" customFormat="1" ht="14.25">
      <c r="A27" s="759"/>
      <c r="B27" s="184">
        <f>B16</f>
        <v>2010</v>
      </c>
      <c r="C27" s="184">
        <f t="shared" ref="C27:G27" si="2">C16</f>
        <v>2011</v>
      </c>
      <c r="D27" s="184">
        <f t="shared" si="2"/>
        <v>2012</v>
      </c>
      <c r="E27" s="587">
        <f t="shared" si="2"/>
        <v>2013</v>
      </c>
      <c r="F27" s="760">
        <f t="shared" si="2"/>
        <v>2014</v>
      </c>
      <c r="G27" s="761">
        <f t="shared" si="2"/>
        <v>2015</v>
      </c>
    </row>
    <row r="28" spans="1:7" s="39" customFormat="1">
      <c r="A28" s="762" t="str">
        <f>A17</f>
        <v>€m</v>
      </c>
      <c r="B28" s="804" t="str">
        <f>C17</f>
        <v>Actual</v>
      </c>
      <c r="C28" s="804"/>
      <c r="D28" s="805"/>
      <c r="E28" s="806" t="str">
        <f>F17</f>
        <v>Plan</v>
      </c>
      <c r="F28" s="807"/>
      <c r="G28" s="808"/>
    </row>
    <row r="29" spans="1:7" s="39" customFormat="1" ht="15" customHeight="1">
      <c r="A29" s="763" t="str">
        <f t="shared" ref="A29:A33" si="3">A18</f>
        <v>Free cash flow</v>
      </c>
      <c r="B29" s="158">
        <v>60</v>
      </c>
      <c r="C29" s="158">
        <v>67</v>
      </c>
      <c r="D29" s="158">
        <v>71</v>
      </c>
      <c r="E29" s="590">
        <v>76</v>
      </c>
      <c r="F29" s="158">
        <v>77</v>
      </c>
      <c r="G29" s="764">
        <v>81</v>
      </c>
    </row>
    <row r="30" spans="1:7" s="39" customFormat="1" ht="14.25" customHeight="1">
      <c r="A30" s="765" t="str">
        <f t="shared" si="3"/>
        <v>EBITDA</v>
      </c>
      <c r="B30" s="182">
        <v>100</v>
      </c>
      <c r="C30" s="182">
        <v>110</v>
      </c>
      <c r="D30" s="182">
        <v>115</v>
      </c>
      <c r="E30" s="591">
        <v>118</v>
      </c>
      <c r="F30" s="182">
        <v>120</v>
      </c>
      <c r="G30" s="766">
        <v>122</v>
      </c>
    </row>
    <row r="31" spans="1:7" s="39" customFormat="1" ht="24" customHeight="1">
      <c r="A31" s="183" t="s">
        <v>615</v>
      </c>
      <c r="B31" s="767">
        <f>B29/B30</f>
        <v>0.6</v>
      </c>
      <c r="C31" s="767">
        <f t="shared" ref="C31:G31" si="4">C29/C30</f>
        <v>0.60909090909090913</v>
      </c>
      <c r="D31" s="767">
        <f t="shared" si="4"/>
        <v>0.61739130434782608</v>
      </c>
      <c r="E31" s="768">
        <f t="shared" si="4"/>
        <v>0.64406779661016944</v>
      </c>
      <c r="F31" s="767">
        <f t="shared" si="4"/>
        <v>0.64166666666666672</v>
      </c>
      <c r="G31" s="769">
        <f t="shared" si="4"/>
        <v>0.66393442622950816</v>
      </c>
    </row>
    <row r="32" spans="1:7" s="39" customFormat="1">
      <c r="A32" s="765" t="str">
        <f t="shared" si="3"/>
        <v>Sales</v>
      </c>
      <c r="B32" s="182">
        <v>200</v>
      </c>
      <c r="C32" s="182">
        <v>220</v>
      </c>
      <c r="D32" s="182">
        <v>240</v>
      </c>
      <c r="E32" s="591">
        <v>235</v>
      </c>
      <c r="F32" s="182">
        <v>240</v>
      </c>
      <c r="G32" s="766">
        <v>245</v>
      </c>
    </row>
    <row r="33" spans="1:7" s="39" customFormat="1" ht="24" customHeight="1" thickBot="1">
      <c r="A33" s="770" t="str">
        <f t="shared" si="3"/>
        <v>Free cash flow in % of sales</v>
      </c>
      <c r="B33" s="771">
        <f t="shared" ref="B33:G33" si="5">B29/B32</f>
        <v>0.3</v>
      </c>
      <c r="C33" s="771">
        <f t="shared" si="5"/>
        <v>0.30454545454545456</v>
      </c>
      <c r="D33" s="771">
        <f t="shared" si="5"/>
        <v>0.29583333333333334</v>
      </c>
      <c r="E33" s="772">
        <f t="shared" si="5"/>
        <v>0.32340425531914896</v>
      </c>
      <c r="F33" s="771">
        <f t="shared" si="5"/>
        <v>0.32083333333333336</v>
      </c>
      <c r="G33" s="773">
        <f t="shared" si="5"/>
        <v>0.33061224489795921</v>
      </c>
    </row>
    <row r="34" spans="1:7" s="39" customFormat="1"/>
    <row r="35" spans="1:7" s="39" customFormat="1"/>
    <row r="36" spans="1:7" s="39" customFormat="1"/>
    <row r="37" spans="1:7" s="39" customFormat="1"/>
    <row r="38" spans="1:7" s="39" customFormat="1"/>
    <row r="39" spans="1:7" s="39" customFormat="1"/>
    <row r="40" spans="1:7" s="39" customFormat="1"/>
    <row r="41" spans="1:7" s="39" customFormat="1"/>
    <row r="42" spans="1:7" s="39" customFormat="1"/>
    <row r="43" spans="1:7" s="39" customFormat="1"/>
    <row r="44" spans="1:7" s="39" customFormat="1"/>
  </sheetData>
  <mergeCells count="2">
    <mergeCell ref="B28:D28"/>
    <mergeCell ref="E28:G28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I218"/>
  <sheetViews>
    <sheetView topLeftCell="A38" zoomScaleNormal="100" workbookViewId="0">
      <selection activeCell="M59" sqref="M59"/>
    </sheetView>
  </sheetViews>
  <sheetFormatPr defaultColWidth="11.5" defaultRowHeight="11.25"/>
  <cols>
    <col min="1" max="1" width="3" style="27" customWidth="1"/>
    <col min="2" max="2" width="36.5" style="27" customWidth="1"/>
    <col min="3" max="3" width="2.83203125" style="27" customWidth="1"/>
    <col min="4" max="9" width="8.83203125" style="27" customWidth="1"/>
    <col min="10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271</v>
      </c>
    </row>
    <row r="2" spans="1:7" ht="20.25" customHeight="1">
      <c r="A2" s="48" t="s">
        <v>270</v>
      </c>
    </row>
    <row r="3" spans="1:7" ht="20.25" customHeight="1">
      <c r="A3" s="48"/>
    </row>
    <row r="4" spans="1:7" ht="20.25" customHeight="1">
      <c r="A4" s="48"/>
    </row>
    <row r="5" spans="1:7" ht="20.25" customHeight="1">
      <c r="A5" s="48"/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4" spans="1:7">
      <c r="A14" s="9" t="s">
        <v>122</v>
      </c>
    </row>
    <row r="15" spans="1:7">
      <c r="A15" s="9" t="str">
        <f>Input!E3</f>
        <v>XXX AG</v>
      </c>
    </row>
    <row r="16" spans="1:7">
      <c r="B16" s="54"/>
      <c r="C16" s="54"/>
      <c r="D16" s="54">
        <f>Input!H68</f>
        <v>2013</v>
      </c>
      <c r="E16" s="54">
        <f>Input!I68</f>
        <v>2014</v>
      </c>
      <c r="F16" s="54">
        <f>Input!J68</f>
        <v>2015</v>
      </c>
      <c r="G16" s="54"/>
    </row>
    <row r="17" spans="1:7">
      <c r="A17" s="27" t="str">
        <f>Input!E4</f>
        <v>€m</v>
      </c>
      <c r="B17" s="54"/>
      <c r="C17" s="54"/>
      <c r="D17" s="54" t="str">
        <f>Input!H69</f>
        <v>Plan</v>
      </c>
      <c r="E17" s="54" t="str">
        <f>Input!I69</f>
        <v>Plan</v>
      </c>
      <c r="F17" s="54" t="str">
        <f>Input!J69</f>
        <v>Plan</v>
      </c>
      <c r="G17" s="54"/>
    </row>
    <row r="18" spans="1:7">
      <c r="B18" s="27" t="str">
        <f>Input!D77</f>
        <v>EBIT</v>
      </c>
      <c r="D18" s="27">
        <f>Input!H77</f>
        <v>10</v>
      </c>
      <c r="E18" s="27">
        <f>Input!I77</f>
        <v>11</v>
      </c>
      <c r="F18" s="27">
        <f>Input!J77</f>
        <v>13</v>
      </c>
    </row>
    <row r="19" spans="1:7">
      <c r="B19" s="27" t="s">
        <v>208</v>
      </c>
      <c r="D19" s="92">
        <v>0</v>
      </c>
      <c r="E19" s="92">
        <v>0</v>
      </c>
      <c r="F19" s="92">
        <v>0</v>
      </c>
    </row>
    <row r="20" spans="1:7">
      <c r="B20" s="27" t="s">
        <v>209</v>
      </c>
      <c r="D20" s="92">
        <v>0</v>
      </c>
      <c r="E20" s="92">
        <v>0</v>
      </c>
      <c r="F20" s="92">
        <v>0</v>
      </c>
    </row>
    <row r="21" spans="1:7">
      <c r="B21" s="27" t="s">
        <v>210</v>
      </c>
      <c r="D21" s="92">
        <v>0</v>
      </c>
      <c r="E21" s="92">
        <v>0</v>
      </c>
      <c r="F21" s="92">
        <v>0</v>
      </c>
    </row>
    <row r="22" spans="1:7">
      <c r="B22" s="27" t="s">
        <v>211</v>
      </c>
      <c r="D22" s="92">
        <v>0</v>
      </c>
      <c r="E22" s="92">
        <v>0</v>
      </c>
      <c r="F22" s="92">
        <v>0</v>
      </c>
    </row>
    <row r="23" spans="1:7">
      <c r="B23" s="27" t="s">
        <v>212</v>
      </c>
      <c r="D23" s="92">
        <v>0</v>
      </c>
      <c r="E23" s="92">
        <v>0</v>
      </c>
      <c r="F23" s="92">
        <v>0</v>
      </c>
    </row>
    <row r="24" spans="1:7">
      <c r="B24" s="27" t="s">
        <v>213</v>
      </c>
      <c r="D24" s="92">
        <v>0</v>
      </c>
      <c r="E24" s="92">
        <v>0</v>
      </c>
      <c r="F24" s="92">
        <v>0</v>
      </c>
    </row>
    <row r="25" spans="1:7">
      <c r="B25" s="27" t="s">
        <v>214</v>
      </c>
      <c r="D25" s="27">
        <f>SUM(D18:D24)</f>
        <v>10</v>
      </c>
      <c r="E25" s="27">
        <f t="shared" ref="E25:F25" si="0">SUM(E18:E24)</f>
        <v>11</v>
      </c>
      <c r="F25" s="27">
        <f t="shared" si="0"/>
        <v>13</v>
      </c>
    </row>
    <row r="26" spans="1:7">
      <c r="B26" s="27" t="s">
        <v>215</v>
      </c>
      <c r="D26" s="167">
        <v>0</v>
      </c>
      <c r="E26" s="167">
        <v>0</v>
      </c>
      <c r="F26" s="167">
        <v>0</v>
      </c>
    </row>
    <row r="27" spans="1:7">
      <c r="B27" s="27" t="s">
        <v>216</v>
      </c>
      <c r="D27" s="92">
        <v>0</v>
      </c>
      <c r="E27" s="92">
        <v>0</v>
      </c>
      <c r="F27" s="92">
        <v>0</v>
      </c>
    </row>
    <row r="28" spans="1:7">
      <c r="B28" s="27" t="s">
        <v>217</v>
      </c>
      <c r="D28" s="92">
        <v>0</v>
      </c>
      <c r="E28" s="92">
        <v>0</v>
      </c>
      <c r="F28" s="92">
        <v>0</v>
      </c>
    </row>
    <row r="29" spans="1:7">
      <c r="B29" s="27" t="s">
        <v>218</v>
      </c>
      <c r="D29" s="27">
        <f>SUM(D25:D28)</f>
        <v>10</v>
      </c>
      <c r="E29" s="27">
        <f t="shared" ref="E29:F29" si="1">SUM(E25:E28)</f>
        <v>11</v>
      </c>
      <c r="F29" s="27">
        <f t="shared" si="1"/>
        <v>13</v>
      </c>
    </row>
    <row r="30" spans="1:7">
      <c r="B30" s="27" t="s">
        <v>78</v>
      </c>
      <c r="D30" s="27">
        <f>Input!H75</f>
        <v>5</v>
      </c>
      <c r="E30" s="27">
        <f>Input!I75</f>
        <v>5</v>
      </c>
      <c r="F30" s="27">
        <f>Input!J75</f>
        <v>5</v>
      </c>
    </row>
    <row r="31" spans="1:7">
      <c r="B31" s="27" t="s">
        <v>219</v>
      </c>
      <c r="D31" s="92">
        <v>0</v>
      </c>
      <c r="E31" s="92">
        <v>0</v>
      </c>
      <c r="F31" s="92">
        <v>0</v>
      </c>
    </row>
    <row r="32" spans="1:7">
      <c r="B32" s="27" t="s">
        <v>220</v>
      </c>
      <c r="D32" s="92">
        <v>0</v>
      </c>
      <c r="E32" s="92">
        <v>0</v>
      </c>
      <c r="F32" s="92">
        <v>0</v>
      </c>
    </row>
    <row r="33" spans="1:6">
      <c r="B33" s="27" t="s">
        <v>221</v>
      </c>
      <c r="D33" s="92">
        <v>0</v>
      </c>
      <c r="E33" s="92">
        <v>0</v>
      </c>
      <c r="F33" s="92">
        <v>0</v>
      </c>
    </row>
    <row r="34" spans="1:6">
      <c r="B34" s="27" t="s">
        <v>222</v>
      </c>
      <c r="D34" s="92">
        <v>0</v>
      </c>
      <c r="E34" s="92">
        <v>0</v>
      </c>
      <c r="F34" s="92">
        <v>0</v>
      </c>
    </row>
    <row r="35" spans="1:6">
      <c r="B35" s="27" t="s">
        <v>223</v>
      </c>
      <c r="D35" s="92">
        <v>0</v>
      </c>
      <c r="E35" s="92">
        <v>0</v>
      </c>
      <c r="F35" s="92">
        <v>0</v>
      </c>
    </row>
    <row r="36" spans="1:6">
      <c r="B36" s="27" t="s">
        <v>224</v>
      </c>
      <c r="D36" s="92">
        <v>0</v>
      </c>
      <c r="E36" s="92">
        <v>0</v>
      </c>
      <c r="F36" s="92">
        <v>0</v>
      </c>
    </row>
    <row r="37" spans="1:6">
      <c r="B37" s="27" t="s">
        <v>225</v>
      </c>
      <c r="D37" s="27">
        <f>SUM(D29:D36)</f>
        <v>15</v>
      </c>
      <c r="E37" s="27">
        <f t="shared" ref="E37:F37" si="2">SUM(E29:E36)</f>
        <v>16</v>
      </c>
      <c r="F37" s="27">
        <f t="shared" si="2"/>
        <v>18</v>
      </c>
    </row>
    <row r="38" spans="1:6">
      <c r="B38" s="27" t="s">
        <v>226</v>
      </c>
      <c r="D38" s="92">
        <v>0</v>
      </c>
      <c r="E38" s="92">
        <v>0</v>
      </c>
      <c r="F38" s="92">
        <v>0</v>
      </c>
    </row>
    <row r="39" spans="1:6">
      <c r="B39" s="27" t="s">
        <v>227</v>
      </c>
      <c r="D39" s="27">
        <f>SUM(D37:D38)</f>
        <v>15</v>
      </c>
      <c r="E39" s="27">
        <f t="shared" ref="E39:F39" si="3">SUM(E37:E38)</f>
        <v>16</v>
      </c>
      <c r="F39" s="27">
        <f t="shared" si="3"/>
        <v>18</v>
      </c>
    </row>
    <row r="43" spans="1:6" ht="19.5" customHeight="1">
      <c r="A43" s="637" t="str">
        <f>A15</f>
        <v>XXX AG</v>
      </c>
      <c r="B43" s="601"/>
      <c r="C43" s="601"/>
      <c r="D43" s="601"/>
      <c r="E43" s="601"/>
      <c r="F43" s="600"/>
    </row>
    <row r="44" spans="1:6">
      <c r="A44" s="638"/>
      <c r="B44" s="168"/>
      <c r="C44" s="168"/>
      <c r="D44" s="653">
        <f>D16</f>
        <v>2013</v>
      </c>
      <c r="E44" s="627">
        <f t="shared" ref="E44:F44" si="4">E16</f>
        <v>2014</v>
      </c>
      <c r="F44" s="628">
        <f t="shared" si="4"/>
        <v>2015</v>
      </c>
    </row>
    <row r="45" spans="1:6">
      <c r="A45" s="641"/>
      <c r="B45" s="642" t="str">
        <f>A17</f>
        <v>€m</v>
      </c>
      <c r="C45" s="616"/>
      <c r="D45" s="810" t="str">
        <f>E17</f>
        <v>Plan</v>
      </c>
      <c r="E45" s="811"/>
      <c r="F45" s="812"/>
    </row>
    <row r="46" spans="1:6">
      <c r="A46" s="643"/>
      <c r="B46" s="644" t="str">
        <f>B18</f>
        <v>EBIT</v>
      </c>
      <c r="C46" s="618"/>
      <c r="D46" s="632">
        <f>D18</f>
        <v>10</v>
      </c>
      <c r="E46" s="618">
        <f t="shared" ref="E46:F46" si="5">E18</f>
        <v>11</v>
      </c>
      <c r="F46" s="624">
        <f t="shared" si="5"/>
        <v>13</v>
      </c>
    </row>
    <row r="47" spans="1:6">
      <c r="A47" s="639"/>
      <c r="B47" s="170" t="str">
        <f t="shared" ref="B47:B67" si="6">B19</f>
        <v>Other interest and similar income</v>
      </c>
      <c r="C47" s="169"/>
      <c r="D47" s="631">
        <f t="shared" ref="D47:D67" si="7">D19</f>
        <v>0</v>
      </c>
      <c r="E47" s="169">
        <f t="shared" ref="E47:F47" si="8">E19</f>
        <v>0</v>
      </c>
      <c r="F47" s="623">
        <f t="shared" si="8"/>
        <v>0</v>
      </c>
    </row>
    <row r="48" spans="1:6">
      <c r="A48" s="639"/>
      <c r="B48" s="170" t="str">
        <f t="shared" si="6"/>
        <v>Other financial result (Participations, securities)</v>
      </c>
      <c r="C48" s="169"/>
      <c r="D48" s="631">
        <f t="shared" si="7"/>
        <v>0</v>
      </c>
      <c r="E48" s="169">
        <f t="shared" ref="E48:F48" si="9">E20</f>
        <v>0</v>
      </c>
      <c r="F48" s="623">
        <f t="shared" si="9"/>
        <v>0</v>
      </c>
    </row>
    <row r="49" spans="1:6">
      <c r="A49" s="639"/>
      <c r="B49" s="170" t="str">
        <f t="shared" si="6"/>
        <v>Extraordinary result</v>
      </c>
      <c r="C49" s="169"/>
      <c r="D49" s="631">
        <f t="shared" si="7"/>
        <v>0</v>
      </c>
      <c r="E49" s="169">
        <f t="shared" ref="E49:F49" si="10">E21</f>
        <v>0</v>
      </c>
      <c r="F49" s="623">
        <f t="shared" si="10"/>
        <v>0</v>
      </c>
    </row>
    <row r="50" spans="1:6">
      <c r="A50" s="640"/>
      <c r="B50" s="170" t="str">
        <f t="shared" si="6"/>
        <v>Income from profit transfer</v>
      </c>
      <c r="C50" s="169"/>
      <c r="D50" s="631">
        <f t="shared" si="7"/>
        <v>0</v>
      </c>
      <c r="E50" s="169">
        <f t="shared" ref="E50:F50" si="11">E22</f>
        <v>0</v>
      </c>
      <c r="F50" s="623">
        <f t="shared" si="11"/>
        <v>0</v>
      </c>
    </row>
    <row r="51" spans="1:6">
      <c r="A51" s="640"/>
      <c r="B51" s="170" t="str">
        <f t="shared" si="6"/>
        <v>Expense from profit transfer</v>
      </c>
      <c r="C51" s="169"/>
      <c r="D51" s="631">
        <f t="shared" si="7"/>
        <v>0</v>
      </c>
      <c r="E51" s="169">
        <f t="shared" ref="E51:F51" si="12">E23</f>
        <v>0</v>
      </c>
      <c r="F51" s="623">
        <f t="shared" si="12"/>
        <v>0</v>
      </c>
    </row>
    <row r="52" spans="1:6">
      <c r="A52" s="640"/>
      <c r="B52" s="170" t="str">
        <f t="shared" si="6"/>
        <v>(Plus) Adjusted (reclassified) expense (-) / income (+)</v>
      </c>
      <c r="C52" s="169"/>
      <c r="D52" s="631">
        <f t="shared" si="7"/>
        <v>0</v>
      </c>
      <c r="E52" s="169">
        <f t="shared" ref="E52:F52" si="13">E24</f>
        <v>0</v>
      </c>
      <c r="F52" s="623">
        <f t="shared" si="13"/>
        <v>0</v>
      </c>
    </row>
    <row r="53" spans="1:6">
      <c r="A53" s="643"/>
      <c r="B53" s="644" t="str">
        <f t="shared" si="6"/>
        <v>EBIT for the purpose of valuation</v>
      </c>
      <c r="C53" s="618"/>
      <c r="D53" s="632">
        <f t="shared" si="7"/>
        <v>10</v>
      </c>
      <c r="E53" s="618">
        <f t="shared" ref="E53:F53" si="14">E25</f>
        <v>11</v>
      </c>
      <c r="F53" s="624">
        <f t="shared" si="14"/>
        <v>13</v>
      </c>
    </row>
    <row r="54" spans="1:6">
      <c r="A54" s="639"/>
      <c r="B54" s="645" t="str">
        <f t="shared" si="6"/>
        <v>Adjustment corporate tax expense</v>
      </c>
      <c r="C54" s="619"/>
      <c r="D54" s="633">
        <f t="shared" si="7"/>
        <v>0</v>
      </c>
      <c r="E54" s="619">
        <f t="shared" ref="E54:F54" si="15">E26</f>
        <v>0</v>
      </c>
      <c r="F54" s="625">
        <f t="shared" si="15"/>
        <v>0</v>
      </c>
    </row>
    <row r="55" spans="1:6">
      <c r="A55" s="639"/>
      <c r="B55" s="170" t="str">
        <f t="shared" si="6"/>
        <v>Adjustment trade tax expense</v>
      </c>
      <c r="C55" s="169"/>
      <c r="D55" s="631">
        <f t="shared" si="7"/>
        <v>0</v>
      </c>
      <c r="E55" s="169">
        <f t="shared" ref="E55:F55" si="16">E27</f>
        <v>0</v>
      </c>
      <c r="F55" s="623">
        <f t="shared" si="16"/>
        <v>0</v>
      </c>
    </row>
    <row r="56" spans="1:6">
      <c r="A56" s="639"/>
      <c r="B56" s="170" t="str">
        <f t="shared" si="6"/>
        <v>Active/passive deferred tax expense</v>
      </c>
      <c r="C56" s="169"/>
      <c r="D56" s="631">
        <f t="shared" si="7"/>
        <v>0</v>
      </c>
      <c r="E56" s="169">
        <f t="shared" ref="E56:F56" si="17">E28</f>
        <v>0</v>
      </c>
      <c r="F56" s="623">
        <f t="shared" si="17"/>
        <v>0</v>
      </c>
    </row>
    <row r="57" spans="1:6">
      <c r="A57" s="643"/>
      <c r="B57" s="644" t="str">
        <f t="shared" si="6"/>
        <v>EAT</v>
      </c>
      <c r="C57" s="618"/>
      <c r="D57" s="632">
        <f t="shared" si="7"/>
        <v>10</v>
      </c>
      <c r="E57" s="618">
        <f t="shared" ref="E57:F57" si="18">E29</f>
        <v>11</v>
      </c>
      <c r="F57" s="624">
        <f t="shared" si="18"/>
        <v>13</v>
      </c>
    </row>
    <row r="58" spans="1:6">
      <c r="A58" s="639"/>
      <c r="B58" s="170" t="str">
        <f t="shared" si="6"/>
        <v>Depreciation</v>
      </c>
      <c r="C58" s="169"/>
      <c r="D58" s="631">
        <f t="shared" si="7"/>
        <v>5</v>
      </c>
      <c r="E58" s="169">
        <f t="shared" ref="E58:F58" si="19">E30</f>
        <v>5</v>
      </c>
      <c r="F58" s="623">
        <f t="shared" si="19"/>
        <v>5</v>
      </c>
    </row>
    <row r="59" spans="1:6">
      <c r="A59" s="639"/>
      <c r="B59" s="170" t="str">
        <f t="shared" si="6"/>
        <v>Investment/Divestment in/of fixed assets</v>
      </c>
      <c r="C59" s="169"/>
      <c r="D59" s="631">
        <f t="shared" si="7"/>
        <v>0</v>
      </c>
      <c r="E59" s="169">
        <f t="shared" ref="E59:F59" si="20">E31</f>
        <v>0</v>
      </c>
      <c r="F59" s="623">
        <f t="shared" si="20"/>
        <v>0</v>
      </c>
    </row>
    <row r="60" spans="1:6">
      <c r="A60" s="639"/>
      <c r="B60" s="170" t="str">
        <f t="shared" si="6"/>
        <v>Investment/Divestment in/of working capital</v>
      </c>
      <c r="C60" s="169"/>
      <c r="D60" s="631">
        <f t="shared" si="7"/>
        <v>0</v>
      </c>
      <c r="E60" s="169">
        <f t="shared" ref="E60:F60" si="21">E32</f>
        <v>0</v>
      </c>
      <c r="F60" s="623">
        <f t="shared" si="21"/>
        <v>0</v>
      </c>
    </row>
    <row r="61" spans="1:6">
      <c r="A61" s="639"/>
      <c r="B61" s="170" t="str">
        <f t="shared" si="6"/>
        <v>Increase/reduction of minority interest</v>
      </c>
      <c r="C61" s="169"/>
      <c r="D61" s="631">
        <f t="shared" si="7"/>
        <v>0</v>
      </c>
      <c r="E61" s="169">
        <f t="shared" ref="E61:F61" si="22">E33</f>
        <v>0</v>
      </c>
      <c r="F61" s="623">
        <f t="shared" si="22"/>
        <v>0</v>
      </c>
    </row>
    <row r="62" spans="1:6">
      <c r="A62" s="639"/>
      <c r="B62" s="170" t="str">
        <f t="shared" si="6"/>
        <v>Increase/reduction of the differential from consolidation</v>
      </c>
      <c r="C62" s="169"/>
      <c r="D62" s="631">
        <f t="shared" si="7"/>
        <v>0</v>
      </c>
      <c r="E62" s="169">
        <f t="shared" ref="E62:F62" si="23">E34</f>
        <v>0</v>
      </c>
      <c r="F62" s="623">
        <f t="shared" si="23"/>
        <v>0</v>
      </c>
    </row>
    <row r="63" spans="1:6">
      <c r="A63" s="639"/>
      <c r="B63" s="170" t="str">
        <f t="shared" si="6"/>
        <v>Increase/Decrease of other non interest bearing receivables</v>
      </c>
      <c r="C63" s="169"/>
      <c r="D63" s="631">
        <f t="shared" si="7"/>
        <v>0</v>
      </c>
      <c r="E63" s="169">
        <f t="shared" ref="E63:F63" si="24">E35</f>
        <v>0</v>
      </c>
      <c r="F63" s="623">
        <f t="shared" si="24"/>
        <v>0</v>
      </c>
    </row>
    <row r="64" spans="1:6">
      <c r="A64" s="639"/>
      <c r="B64" s="170" t="str">
        <f t="shared" si="6"/>
        <v>Increase/Decrease of other non interest bearing liabilities</v>
      </c>
      <c r="C64" s="169"/>
      <c r="D64" s="631">
        <f t="shared" si="7"/>
        <v>0</v>
      </c>
      <c r="E64" s="169">
        <f t="shared" ref="E64:F64" si="25">E36</f>
        <v>0</v>
      </c>
      <c r="F64" s="623">
        <f t="shared" si="25"/>
        <v>0</v>
      </c>
    </row>
    <row r="65" spans="1:9">
      <c r="A65" s="643"/>
      <c r="B65" s="644" t="str">
        <f t="shared" si="6"/>
        <v>Free cash flow</v>
      </c>
      <c r="C65" s="618"/>
      <c r="D65" s="632">
        <f t="shared" si="7"/>
        <v>15</v>
      </c>
      <c r="E65" s="618">
        <f t="shared" ref="E65:F65" si="26">E37</f>
        <v>16</v>
      </c>
      <c r="F65" s="624">
        <f t="shared" si="26"/>
        <v>18</v>
      </c>
    </row>
    <row r="66" spans="1:9">
      <c r="A66" s="646"/>
      <c r="B66" s="647" t="str">
        <f t="shared" si="6"/>
        <v>Effective income tax</v>
      </c>
      <c r="C66" s="648"/>
      <c r="D66" s="652">
        <f t="shared" si="7"/>
        <v>0</v>
      </c>
      <c r="E66" s="648">
        <f t="shared" ref="E66:F66" si="27">E38</f>
        <v>0</v>
      </c>
      <c r="F66" s="651">
        <f t="shared" si="27"/>
        <v>0</v>
      </c>
    </row>
    <row r="67" spans="1:9" ht="12" thickBot="1">
      <c r="A67" s="649"/>
      <c r="B67" s="650" t="str">
        <f t="shared" si="6"/>
        <v>Free cash flow after personal taxes</v>
      </c>
      <c r="C67" s="620"/>
      <c r="D67" s="634">
        <f t="shared" si="7"/>
        <v>15</v>
      </c>
      <c r="E67" s="620">
        <f t="shared" ref="E67:F67" si="28">E39</f>
        <v>16</v>
      </c>
      <c r="F67" s="626">
        <f t="shared" si="28"/>
        <v>18</v>
      </c>
    </row>
    <row r="71" spans="1:9" s="357" customFormat="1" ht="20.25" customHeight="1">
      <c r="A71" s="358" t="s">
        <v>114</v>
      </c>
    </row>
    <row r="73" spans="1:9">
      <c r="A73" s="27" t="str">
        <f>Input!E3</f>
        <v>XXX AG</v>
      </c>
    </row>
    <row r="74" spans="1:9">
      <c r="D74" s="54">
        <f>Input!E68</f>
        <v>2010</v>
      </c>
      <c r="E74" s="54">
        <f>Input!F68</f>
        <v>2011</v>
      </c>
      <c r="F74" s="54">
        <f>Input!G68</f>
        <v>2012</v>
      </c>
      <c r="G74" s="54">
        <f>Input!H68</f>
        <v>2013</v>
      </c>
      <c r="H74" s="54">
        <f>Input!I68</f>
        <v>2014</v>
      </c>
      <c r="I74" s="54">
        <f>Input!J68</f>
        <v>2015</v>
      </c>
    </row>
    <row r="75" spans="1:9">
      <c r="B75" s="27" t="str">
        <f>Input!E4</f>
        <v>€m</v>
      </c>
      <c r="D75" s="54" t="str">
        <f>Input!E69</f>
        <v>Actual</v>
      </c>
      <c r="E75" s="54" t="str">
        <f>Input!F69</f>
        <v>Actual</v>
      </c>
      <c r="F75" s="54" t="str">
        <f>Input!G69</f>
        <v>Actual</v>
      </c>
      <c r="G75" s="54" t="str">
        <f>Input!H69</f>
        <v>Plan</v>
      </c>
      <c r="H75" s="54" t="str">
        <f>Input!I69</f>
        <v>Plan</v>
      </c>
      <c r="I75" s="54" t="str">
        <f>Input!J69</f>
        <v>Plan</v>
      </c>
    </row>
    <row r="76" spans="1:9">
      <c r="B76" s="27" t="s">
        <v>246</v>
      </c>
      <c r="D76" s="92">
        <v>0</v>
      </c>
      <c r="E76" s="92">
        <v>0</v>
      </c>
      <c r="F76" s="92">
        <v>0</v>
      </c>
      <c r="G76" s="92">
        <v>0</v>
      </c>
      <c r="H76" s="92">
        <v>0</v>
      </c>
      <c r="I76" s="92">
        <v>0</v>
      </c>
    </row>
    <row r="77" spans="1:9">
      <c r="A77" s="166" t="s">
        <v>228</v>
      </c>
      <c r="B77" s="27" t="s">
        <v>247</v>
      </c>
      <c r="D77" s="92">
        <v>0</v>
      </c>
      <c r="E77" s="92">
        <v>0</v>
      </c>
      <c r="F77" s="92">
        <v>0</v>
      </c>
      <c r="G77" s="92">
        <v>0</v>
      </c>
      <c r="H77" s="92">
        <v>0</v>
      </c>
      <c r="I77" s="92">
        <v>0</v>
      </c>
    </row>
    <row r="78" spans="1:9">
      <c r="B78" s="27" t="s">
        <v>248</v>
      </c>
    </row>
    <row r="79" spans="1:9">
      <c r="B79" s="27" t="s">
        <v>249</v>
      </c>
      <c r="D79" s="92">
        <v>0</v>
      </c>
      <c r="E79" s="92">
        <v>0</v>
      </c>
      <c r="F79" s="92">
        <v>0</v>
      </c>
      <c r="G79" s="92">
        <v>0</v>
      </c>
      <c r="H79" s="92">
        <v>0</v>
      </c>
      <c r="I79" s="92">
        <v>0</v>
      </c>
    </row>
    <row r="80" spans="1:9">
      <c r="B80" s="27" t="s">
        <v>250</v>
      </c>
      <c r="D80" s="92">
        <v>0</v>
      </c>
      <c r="E80" s="92">
        <v>0</v>
      </c>
      <c r="F80" s="92">
        <v>0</v>
      </c>
      <c r="G80" s="92">
        <v>0</v>
      </c>
      <c r="H80" s="92">
        <v>0</v>
      </c>
      <c r="I80" s="92">
        <v>0</v>
      </c>
    </row>
    <row r="81" spans="1:9">
      <c r="B81" s="27" t="s">
        <v>251</v>
      </c>
      <c r="D81" s="92">
        <v>0</v>
      </c>
      <c r="E81" s="92">
        <v>0</v>
      </c>
      <c r="F81" s="92">
        <v>0</v>
      </c>
      <c r="G81" s="92">
        <v>0</v>
      </c>
      <c r="H81" s="92">
        <v>0</v>
      </c>
      <c r="I81" s="92">
        <v>0</v>
      </c>
    </row>
    <row r="82" spans="1:9">
      <c r="A82" s="166" t="s">
        <v>228</v>
      </c>
      <c r="B82" s="27" t="s">
        <v>252</v>
      </c>
      <c r="D82" s="92">
        <v>0</v>
      </c>
      <c r="E82" s="92">
        <v>0</v>
      </c>
      <c r="F82" s="92">
        <v>0</v>
      </c>
      <c r="G82" s="92">
        <v>0</v>
      </c>
      <c r="H82" s="92">
        <v>0</v>
      </c>
      <c r="I82" s="92">
        <v>0</v>
      </c>
    </row>
    <row r="83" spans="1:9">
      <c r="A83" s="166" t="s">
        <v>228</v>
      </c>
      <c r="B83" s="27" t="s">
        <v>253</v>
      </c>
      <c r="D83" s="92">
        <v>0</v>
      </c>
      <c r="E83" s="92">
        <v>0</v>
      </c>
      <c r="F83" s="92">
        <v>0</v>
      </c>
      <c r="G83" s="92">
        <v>0</v>
      </c>
      <c r="H83" s="92">
        <v>0</v>
      </c>
      <c r="I83" s="92">
        <v>0</v>
      </c>
    </row>
    <row r="84" spans="1:9">
      <c r="A84" s="166" t="s">
        <v>228</v>
      </c>
      <c r="B84" s="27" t="s">
        <v>254</v>
      </c>
      <c r="D84" s="92">
        <v>0</v>
      </c>
      <c r="E84" s="92">
        <v>0</v>
      </c>
      <c r="F84" s="92">
        <v>0</v>
      </c>
      <c r="G84" s="92">
        <v>0</v>
      </c>
      <c r="H84" s="92">
        <v>0</v>
      </c>
      <c r="I84" s="92">
        <v>0</v>
      </c>
    </row>
    <row r="85" spans="1:9">
      <c r="A85" s="166" t="s">
        <v>229</v>
      </c>
      <c r="B85" s="27" t="s">
        <v>255</v>
      </c>
      <c r="D85" s="92">
        <v>0</v>
      </c>
      <c r="E85" s="92">
        <v>0</v>
      </c>
      <c r="F85" s="92">
        <v>0</v>
      </c>
      <c r="G85" s="92">
        <v>0</v>
      </c>
      <c r="H85" s="92">
        <v>0</v>
      </c>
      <c r="I85" s="92">
        <v>0</v>
      </c>
    </row>
    <row r="86" spans="1:9">
      <c r="A86" s="166" t="s">
        <v>229</v>
      </c>
      <c r="B86" s="27" t="s">
        <v>256</v>
      </c>
      <c r="D86" s="92">
        <v>0</v>
      </c>
      <c r="E86" s="92">
        <v>0</v>
      </c>
      <c r="F86" s="92">
        <v>0</v>
      </c>
      <c r="G86" s="92">
        <v>0</v>
      </c>
      <c r="H86" s="92">
        <v>0</v>
      </c>
      <c r="I86" s="92">
        <v>0</v>
      </c>
    </row>
    <row r="87" spans="1:9">
      <c r="A87" s="166" t="s">
        <v>229</v>
      </c>
      <c r="B87" s="27" t="s">
        <v>257</v>
      </c>
      <c r="D87" s="92">
        <v>0</v>
      </c>
      <c r="E87" s="92">
        <v>0</v>
      </c>
      <c r="F87" s="92">
        <v>0</v>
      </c>
      <c r="G87" s="92">
        <v>0</v>
      </c>
      <c r="H87" s="92">
        <v>0</v>
      </c>
      <c r="I87" s="92">
        <v>0</v>
      </c>
    </row>
    <row r="88" spans="1:9">
      <c r="A88" s="166" t="s">
        <v>229</v>
      </c>
      <c r="B88" s="27" t="s">
        <v>258</v>
      </c>
      <c r="D88" s="92">
        <v>0</v>
      </c>
      <c r="E88" s="92">
        <v>0</v>
      </c>
      <c r="F88" s="92">
        <v>0</v>
      </c>
      <c r="G88" s="92">
        <v>0</v>
      </c>
      <c r="H88" s="92">
        <v>0</v>
      </c>
      <c r="I88" s="92">
        <v>0</v>
      </c>
    </row>
    <row r="89" spans="1:9">
      <c r="A89" s="166" t="s">
        <v>229</v>
      </c>
      <c r="B89" s="27" t="s">
        <v>259</v>
      </c>
      <c r="D89" s="92">
        <v>0</v>
      </c>
      <c r="E89" s="92">
        <v>0</v>
      </c>
      <c r="F89" s="92">
        <v>0</v>
      </c>
      <c r="G89" s="92">
        <v>0</v>
      </c>
      <c r="H89" s="92">
        <v>0</v>
      </c>
      <c r="I89" s="92">
        <v>0</v>
      </c>
    </row>
    <row r="90" spans="1:9">
      <c r="A90" s="166" t="s">
        <v>228</v>
      </c>
      <c r="B90" s="27" t="s">
        <v>260</v>
      </c>
      <c r="D90" s="92">
        <v>0</v>
      </c>
      <c r="E90" s="92">
        <v>0</v>
      </c>
      <c r="F90" s="92">
        <v>0</v>
      </c>
      <c r="G90" s="92">
        <v>0</v>
      </c>
      <c r="H90" s="92">
        <v>0</v>
      </c>
      <c r="I90" s="92">
        <v>0</v>
      </c>
    </row>
    <row r="91" spans="1:9">
      <c r="A91" s="166" t="s">
        <v>228</v>
      </c>
      <c r="B91" s="27" t="s">
        <v>261</v>
      </c>
      <c r="D91" s="92">
        <v>0</v>
      </c>
      <c r="E91" s="92">
        <v>0</v>
      </c>
      <c r="F91" s="92">
        <v>0</v>
      </c>
      <c r="G91" s="92">
        <v>0</v>
      </c>
      <c r="H91" s="92">
        <v>0</v>
      </c>
      <c r="I91" s="92">
        <v>0</v>
      </c>
    </row>
    <row r="92" spans="1:9">
      <c r="A92" s="166" t="s">
        <v>228</v>
      </c>
      <c r="B92" s="27" t="s">
        <v>262</v>
      </c>
      <c r="D92" s="92">
        <v>0</v>
      </c>
      <c r="E92" s="92">
        <v>0</v>
      </c>
      <c r="F92" s="92">
        <v>0</v>
      </c>
      <c r="G92" s="92">
        <v>0</v>
      </c>
      <c r="H92" s="92">
        <v>0</v>
      </c>
      <c r="I92" s="92">
        <v>0</v>
      </c>
    </row>
    <row r="93" spans="1:9">
      <c r="A93" s="166" t="s">
        <v>228</v>
      </c>
      <c r="B93" s="27" t="s">
        <v>263</v>
      </c>
      <c r="D93" s="92">
        <v>0</v>
      </c>
      <c r="E93" s="92">
        <v>0</v>
      </c>
      <c r="F93" s="92">
        <v>0</v>
      </c>
      <c r="G93" s="92">
        <v>0</v>
      </c>
      <c r="H93" s="92">
        <v>0</v>
      </c>
      <c r="I93" s="92">
        <v>0</v>
      </c>
    </row>
    <row r="94" spans="1:9">
      <c r="A94" s="27" t="s">
        <v>234</v>
      </c>
      <c r="B94" s="27" t="s">
        <v>264</v>
      </c>
      <c r="D94" s="92">
        <v>0</v>
      </c>
      <c r="E94" s="92">
        <v>0</v>
      </c>
      <c r="F94" s="92">
        <v>0</v>
      </c>
      <c r="G94" s="92">
        <v>0</v>
      </c>
      <c r="H94" s="92">
        <v>0</v>
      </c>
      <c r="I94" s="92">
        <v>0</v>
      </c>
    </row>
    <row r="95" spans="1:9">
      <c r="B95" s="27" t="s">
        <v>230</v>
      </c>
      <c r="D95" s="92">
        <v>0</v>
      </c>
      <c r="E95" s="92">
        <v>0</v>
      </c>
      <c r="F95" s="92">
        <v>0</v>
      </c>
      <c r="G95" s="92">
        <v>0</v>
      </c>
      <c r="H95" s="92">
        <v>0</v>
      </c>
      <c r="I95" s="92">
        <v>0</v>
      </c>
    </row>
    <row r="96" spans="1:9">
      <c r="A96" s="166"/>
      <c r="B96" s="27" t="s">
        <v>231</v>
      </c>
      <c r="D96" s="92">
        <v>0</v>
      </c>
      <c r="E96" s="92">
        <v>0</v>
      </c>
      <c r="F96" s="92">
        <v>0</v>
      </c>
      <c r="G96" s="92">
        <v>0</v>
      </c>
      <c r="H96" s="92">
        <v>0</v>
      </c>
      <c r="I96" s="92">
        <v>0</v>
      </c>
    </row>
    <row r="97" spans="1:9">
      <c r="A97" s="166" t="s">
        <v>232</v>
      </c>
      <c r="B97" s="27" t="s">
        <v>233</v>
      </c>
      <c r="D97" s="92">
        <v>0</v>
      </c>
      <c r="E97" s="92">
        <v>0</v>
      </c>
      <c r="F97" s="92">
        <v>0</v>
      </c>
      <c r="G97" s="92">
        <v>0</v>
      </c>
      <c r="H97" s="92">
        <v>0</v>
      </c>
      <c r="I97" s="92">
        <v>0</v>
      </c>
    </row>
    <row r="98" spans="1:9">
      <c r="A98" s="166" t="s">
        <v>234</v>
      </c>
      <c r="B98" s="27" t="s">
        <v>235</v>
      </c>
      <c r="D98" s="92">
        <v>0</v>
      </c>
      <c r="E98" s="92">
        <v>0</v>
      </c>
      <c r="F98" s="92">
        <v>0</v>
      </c>
      <c r="G98" s="92">
        <v>0</v>
      </c>
      <c r="H98" s="92">
        <v>0</v>
      </c>
      <c r="I98" s="92">
        <v>0</v>
      </c>
    </row>
    <row r="99" spans="1:9">
      <c r="A99" s="166" t="s">
        <v>234</v>
      </c>
      <c r="B99" s="27" t="s">
        <v>236</v>
      </c>
      <c r="D99" s="92">
        <v>0</v>
      </c>
      <c r="E99" s="92">
        <v>0</v>
      </c>
      <c r="F99" s="92">
        <v>0</v>
      </c>
      <c r="G99" s="92">
        <v>0</v>
      </c>
      <c r="H99" s="92">
        <v>0</v>
      </c>
      <c r="I99" s="92">
        <v>0</v>
      </c>
    </row>
    <row r="100" spans="1:9">
      <c r="A100" s="166" t="s">
        <v>232</v>
      </c>
      <c r="B100" s="27" t="s">
        <v>237</v>
      </c>
      <c r="D100" s="92">
        <v>0</v>
      </c>
      <c r="E100" s="92">
        <v>0</v>
      </c>
      <c r="F100" s="92">
        <v>0</v>
      </c>
      <c r="G100" s="92">
        <v>0</v>
      </c>
      <c r="H100" s="92">
        <v>0</v>
      </c>
      <c r="I100" s="92">
        <v>0</v>
      </c>
    </row>
    <row r="101" spans="1:9">
      <c r="A101" s="166" t="s">
        <v>234</v>
      </c>
      <c r="B101" s="27" t="s">
        <v>238</v>
      </c>
      <c r="D101" s="92">
        <v>0</v>
      </c>
      <c r="E101" s="92">
        <v>0</v>
      </c>
      <c r="F101" s="92">
        <v>0</v>
      </c>
      <c r="G101" s="92">
        <v>0</v>
      </c>
      <c r="H101" s="92">
        <v>0</v>
      </c>
      <c r="I101" s="92">
        <v>0</v>
      </c>
    </row>
    <row r="102" spans="1:9">
      <c r="B102" s="27" t="s">
        <v>239</v>
      </c>
      <c r="D102" s="92">
        <v>0</v>
      </c>
      <c r="E102" s="92">
        <v>0</v>
      </c>
      <c r="F102" s="92">
        <v>0</v>
      </c>
      <c r="G102" s="92">
        <v>0</v>
      </c>
      <c r="H102" s="92">
        <v>0</v>
      </c>
      <c r="I102" s="92">
        <v>0</v>
      </c>
    </row>
    <row r="103" spans="1:9">
      <c r="B103" s="27" t="s">
        <v>240</v>
      </c>
      <c r="D103" s="167">
        <v>0</v>
      </c>
      <c r="E103" s="167">
        <v>0</v>
      </c>
      <c r="F103" s="167">
        <v>0</v>
      </c>
      <c r="G103" s="167">
        <v>0</v>
      </c>
      <c r="H103" s="167">
        <v>0</v>
      </c>
      <c r="I103" s="167">
        <v>0</v>
      </c>
    </row>
    <row r="104" spans="1:9">
      <c r="A104" s="27" t="s">
        <v>234</v>
      </c>
      <c r="B104" s="27" t="s">
        <v>241</v>
      </c>
      <c r="D104" s="92">
        <v>0</v>
      </c>
      <c r="E104" s="92">
        <v>0</v>
      </c>
      <c r="F104" s="92">
        <v>0</v>
      </c>
      <c r="G104" s="92">
        <v>0</v>
      </c>
      <c r="H104" s="92">
        <v>0</v>
      </c>
      <c r="I104" s="92">
        <v>0</v>
      </c>
    </row>
    <row r="105" spans="1:9">
      <c r="A105" s="166" t="s">
        <v>232</v>
      </c>
      <c r="B105" s="27" t="s">
        <v>242</v>
      </c>
      <c r="D105" s="92">
        <v>0</v>
      </c>
      <c r="E105" s="92">
        <v>0</v>
      </c>
      <c r="F105" s="92">
        <v>0</v>
      </c>
      <c r="G105" s="92">
        <v>0</v>
      </c>
      <c r="H105" s="92">
        <v>0</v>
      </c>
      <c r="I105" s="92">
        <v>0</v>
      </c>
    </row>
    <row r="106" spans="1:9">
      <c r="A106" s="166" t="s">
        <v>234</v>
      </c>
      <c r="B106" s="27" t="s">
        <v>243</v>
      </c>
      <c r="D106" s="92">
        <v>0</v>
      </c>
      <c r="E106" s="92">
        <v>0</v>
      </c>
      <c r="F106" s="92">
        <v>0</v>
      </c>
      <c r="G106" s="92">
        <v>0</v>
      </c>
      <c r="H106" s="92">
        <v>0</v>
      </c>
      <c r="I106" s="92">
        <v>0</v>
      </c>
    </row>
    <row r="107" spans="1:9">
      <c r="B107" s="27" t="s">
        <v>244</v>
      </c>
      <c r="D107" s="92">
        <v>0</v>
      </c>
      <c r="E107" s="92">
        <v>0</v>
      </c>
      <c r="F107" s="92">
        <v>0</v>
      </c>
      <c r="G107" s="92">
        <v>0</v>
      </c>
      <c r="H107" s="92">
        <v>0</v>
      </c>
      <c r="I107" s="92">
        <v>0</v>
      </c>
    </row>
    <row r="108" spans="1:9">
      <c r="B108" s="27" t="s">
        <v>245</v>
      </c>
      <c r="D108" s="92">
        <v>0</v>
      </c>
      <c r="E108" s="92">
        <v>0</v>
      </c>
      <c r="F108" s="92">
        <v>0</v>
      </c>
      <c r="G108" s="92">
        <v>0</v>
      </c>
      <c r="H108" s="92">
        <v>0</v>
      </c>
      <c r="I108" s="92">
        <v>0</v>
      </c>
    </row>
    <row r="110" spans="1:9" ht="19.5" customHeight="1">
      <c r="A110" s="600" t="str">
        <f>A73</f>
        <v>XXX AG</v>
      </c>
      <c r="B110" s="601"/>
      <c r="C110" s="601"/>
      <c r="D110" s="601"/>
      <c r="E110" s="601"/>
      <c r="F110" s="600"/>
      <c r="G110" s="600"/>
      <c r="H110" s="600"/>
      <c r="I110" s="600"/>
    </row>
    <row r="111" spans="1:9">
      <c r="A111" s="635"/>
      <c r="B111" s="174"/>
      <c r="C111" s="177"/>
      <c r="D111" s="621">
        <f>D74</f>
        <v>2010</v>
      </c>
      <c r="E111" s="621">
        <f t="shared" ref="E111:I111" si="29">E74</f>
        <v>2011</v>
      </c>
      <c r="F111" s="621">
        <f t="shared" si="29"/>
        <v>2012</v>
      </c>
      <c r="G111" s="629">
        <f t="shared" si="29"/>
        <v>2013</v>
      </c>
      <c r="H111" s="627">
        <f t="shared" si="29"/>
        <v>2014</v>
      </c>
      <c r="I111" s="628">
        <f t="shared" si="29"/>
        <v>2015</v>
      </c>
    </row>
    <row r="112" spans="1:9">
      <c r="A112" s="608"/>
      <c r="B112" s="609" t="str">
        <f>B75</f>
        <v>€m</v>
      </c>
      <c r="C112" s="610"/>
      <c r="D112" s="809" t="str">
        <f>D75</f>
        <v>Actual</v>
      </c>
      <c r="E112" s="809"/>
      <c r="F112" s="809"/>
      <c r="G112" s="810" t="str">
        <f>I75</f>
        <v>Plan</v>
      </c>
      <c r="H112" s="811"/>
      <c r="I112" s="812"/>
    </row>
    <row r="113" spans="1:9" ht="11.25" customHeight="1">
      <c r="A113" s="605"/>
      <c r="B113" s="606" t="str">
        <f t="shared" ref="B113" si="30">B76</f>
        <v>Net income before extraordinary activities</v>
      </c>
      <c r="C113" s="607"/>
      <c r="D113" s="617">
        <f>D76</f>
        <v>0</v>
      </c>
      <c r="E113" s="617">
        <f t="shared" ref="E113:I113" si="31">E76</f>
        <v>0</v>
      </c>
      <c r="F113" s="617">
        <f t="shared" si="31"/>
        <v>0</v>
      </c>
      <c r="G113" s="630">
        <f t="shared" si="31"/>
        <v>0</v>
      </c>
      <c r="H113" s="617">
        <f t="shared" si="31"/>
        <v>0</v>
      </c>
      <c r="I113" s="622">
        <f t="shared" si="31"/>
        <v>0</v>
      </c>
    </row>
    <row r="114" spans="1:9" ht="11.25" customHeight="1">
      <c r="A114" s="603" t="str">
        <f t="shared" ref="A114" si="32">A77</f>
        <v>+/-</v>
      </c>
      <c r="B114" s="171" t="str">
        <f t="shared" ref="B114" si="33">B77</f>
        <v>Depreciation / Appreciation of non-current assets</v>
      </c>
      <c r="C114" s="171"/>
      <c r="D114" s="169">
        <f t="shared" ref="D114:I114" si="34">D77</f>
        <v>0</v>
      </c>
      <c r="E114" s="169">
        <f t="shared" si="34"/>
        <v>0</v>
      </c>
      <c r="F114" s="169">
        <f t="shared" si="34"/>
        <v>0</v>
      </c>
      <c r="G114" s="631">
        <f t="shared" si="34"/>
        <v>0</v>
      </c>
      <c r="H114" s="169">
        <f t="shared" si="34"/>
        <v>0</v>
      </c>
      <c r="I114" s="623">
        <f t="shared" si="34"/>
        <v>0</v>
      </c>
    </row>
    <row r="115" spans="1:9" ht="11.25" customHeight="1">
      <c r="A115" s="605"/>
      <c r="B115" s="171" t="str">
        <f t="shared" ref="B115" si="35">B78</f>
        <v>Accruals</v>
      </c>
      <c r="C115" s="171"/>
      <c r="D115" s="617">
        <f t="shared" ref="D115:I115" si="36">D78</f>
        <v>0</v>
      </c>
      <c r="E115" s="617">
        <f t="shared" si="36"/>
        <v>0</v>
      </c>
      <c r="F115" s="617">
        <f t="shared" si="36"/>
        <v>0</v>
      </c>
      <c r="G115" s="630">
        <f t="shared" si="36"/>
        <v>0</v>
      </c>
      <c r="H115" s="617">
        <f t="shared" si="36"/>
        <v>0</v>
      </c>
      <c r="I115" s="622">
        <f t="shared" si="36"/>
        <v>0</v>
      </c>
    </row>
    <row r="116" spans="1:9" ht="11.25" customHeight="1">
      <c r="A116" s="604"/>
      <c r="B116" s="171" t="str">
        <f t="shared" ref="B116" si="37">B79</f>
        <v>Accruals for pension and similar obligations</v>
      </c>
      <c r="C116" s="171"/>
      <c r="D116" s="169">
        <f t="shared" ref="D116:I116" si="38">D79</f>
        <v>0</v>
      </c>
      <c r="E116" s="169">
        <f t="shared" si="38"/>
        <v>0</v>
      </c>
      <c r="F116" s="169">
        <f t="shared" si="38"/>
        <v>0</v>
      </c>
      <c r="G116" s="631">
        <f t="shared" si="38"/>
        <v>0</v>
      </c>
      <c r="H116" s="169">
        <f t="shared" si="38"/>
        <v>0</v>
      </c>
      <c r="I116" s="623">
        <f t="shared" si="38"/>
        <v>0</v>
      </c>
    </row>
    <row r="117" spans="1:9" ht="11.25" customHeight="1">
      <c r="A117" s="604"/>
      <c r="B117" s="171" t="str">
        <f t="shared" ref="B117" si="39">B80</f>
        <v>Accruals for pension (non interest bearing)</v>
      </c>
      <c r="C117" s="171"/>
      <c r="D117" s="169">
        <f t="shared" ref="D117:I117" si="40">D80</f>
        <v>0</v>
      </c>
      <c r="E117" s="169">
        <f t="shared" si="40"/>
        <v>0</v>
      </c>
      <c r="F117" s="169">
        <f t="shared" si="40"/>
        <v>0</v>
      </c>
      <c r="G117" s="631">
        <f t="shared" si="40"/>
        <v>0</v>
      </c>
      <c r="H117" s="169">
        <f t="shared" si="40"/>
        <v>0</v>
      </c>
      <c r="I117" s="623">
        <f t="shared" si="40"/>
        <v>0</v>
      </c>
    </row>
    <row r="118" spans="1:9" ht="11.25" customHeight="1">
      <c r="A118" s="604"/>
      <c r="B118" s="171" t="str">
        <f t="shared" ref="B118" si="41">B81</f>
        <v>Accruals for pension (interest bearing)</v>
      </c>
      <c r="C118" s="171"/>
      <c r="D118" s="169">
        <f t="shared" ref="D118:I118" si="42">D81</f>
        <v>0</v>
      </c>
      <c r="E118" s="169">
        <f t="shared" si="42"/>
        <v>0</v>
      </c>
      <c r="F118" s="169">
        <f t="shared" si="42"/>
        <v>0</v>
      </c>
      <c r="G118" s="631">
        <f t="shared" si="42"/>
        <v>0</v>
      </c>
      <c r="H118" s="169">
        <f t="shared" si="42"/>
        <v>0</v>
      </c>
      <c r="I118" s="623">
        <f t="shared" si="42"/>
        <v>0</v>
      </c>
    </row>
    <row r="119" spans="1:9" ht="11.25" customHeight="1">
      <c r="A119" s="603" t="str">
        <f t="shared" ref="A119" si="43">A82</f>
        <v>+/-</v>
      </c>
      <c r="B119" s="171" t="str">
        <f t="shared" ref="B119" si="44">B82</f>
        <v>Change in accruals</v>
      </c>
      <c r="C119" s="171"/>
      <c r="D119" s="169">
        <f t="shared" ref="D119:I119" si="45">D82</f>
        <v>0</v>
      </c>
      <c r="E119" s="169">
        <f t="shared" si="45"/>
        <v>0</v>
      </c>
      <c r="F119" s="169">
        <f t="shared" si="45"/>
        <v>0</v>
      </c>
      <c r="G119" s="631">
        <f t="shared" si="45"/>
        <v>0</v>
      </c>
      <c r="H119" s="169">
        <f t="shared" si="45"/>
        <v>0</v>
      </c>
      <c r="I119" s="623">
        <f t="shared" si="45"/>
        <v>0</v>
      </c>
    </row>
    <row r="120" spans="1:9" ht="11.25" customHeight="1">
      <c r="A120" s="603" t="str">
        <f t="shared" ref="A120" si="46">A83</f>
        <v>+/-</v>
      </c>
      <c r="B120" s="171" t="str">
        <f t="shared" ref="B120" si="47">B83</f>
        <v>Change in special items</v>
      </c>
      <c r="C120" s="171"/>
      <c r="D120" s="169">
        <f t="shared" ref="D120:I120" si="48">D83</f>
        <v>0</v>
      </c>
      <c r="E120" s="169">
        <f t="shared" si="48"/>
        <v>0</v>
      </c>
      <c r="F120" s="169">
        <f t="shared" si="48"/>
        <v>0</v>
      </c>
      <c r="G120" s="631">
        <f t="shared" si="48"/>
        <v>0</v>
      </c>
      <c r="H120" s="169">
        <f t="shared" si="48"/>
        <v>0</v>
      </c>
      <c r="I120" s="623">
        <f t="shared" si="48"/>
        <v>0</v>
      </c>
    </row>
    <row r="121" spans="1:9" ht="11.25" customHeight="1">
      <c r="A121" s="603" t="str">
        <f t="shared" ref="A121" si="49">A84</f>
        <v>+/-</v>
      </c>
      <c r="B121" s="171" t="str">
        <f t="shared" ref="B121" si="50">B84</f>
        <v>Profit/Loss from extraordinary return/expense</v>
      </c>
      <c r="C121" s="171"/>
      <c r="D121" s="169">
        <f t="shared" ref="D121:I121" si="51">D84</f>
        <v>0</v>
      </c>
      <c r="E121" s="169">
        <f t="shared" si="51"/>
        <v>0</v>
      </c>
      <c r="F121" s="169">
        <f t="shared" si="51"/>
        <v>0</v>
      </c>
      <c r="G121" s="631">
        <f t="shared" si="51"/>
        <v>0</v>
      </c>
      <c r="H121" s="169">
        <f t="shared" si="51"/>
        <v>0</v>
      </c>
      <c r="I121" s="623">
        <f t="shared" si="51"/>
        <v>0</v>
      </c>
    </row>
    <row r="122" spans="1:9" ht="11.25" customHeight="1">
      <c r="A122" s="603" t="str">
        <f t="shared" ref="A122" si="52">A85</f>
        <v>-/+</v>
      </c>
      <c r="B122" s="171" t="str">
        <f t="shared" ref="B122" si="53">B85</f>
        <v>Change of inventories</v>
      </c>
      <c r="C122" s="171"/>
      <c r="D122" s="169">
        <f t="shared" ref="D122:I122" si="54">D85</f>
        <v>0</v>
      </c>
      <c r="E122" s="169">
        <f t="shared" si="54"/>
        <v>0</v>
      </c>
      <c r="F122" s="169">
        <f t="shared" si="54"/>
        <v>0</v>
      </c>
      <c r="G122" s="631">
        <f t="shared" si="54"/>
        <v>0</v>
      </c>
      <c r="H122" s="169">
        <f t="shared" si="54"/>
        <v>0</v>
      </c>
      <c r="I122" s="623">
        <f t="shared" si="54"/>
        <v>0</v>
      </c>
    </row>
    <row r="123" spans="1:9" ht="11.25" customHeight="1">
      <c r="A123" s="603" t="str">
        <f t="shared" ref="A123" si="55">A86</f>
        <v>-/+</v>
      </c>
      <c r="B123" s="171" t="str">
        <f t="shared" ref="B123" si="56">B86</f>
        <v>Change of receivables and other assets</v>
      </c>
      <c r="C123" s="171"/>
      <c r="D123" s="169">
        <f t="shared" ref="D123:I123" si="57">D86</f>
        <v>0</v>
      </c>
      <c r="E123" s="169">
        <f t="shared" si="57"/>
        <v>0</v>
      </c>
      <c r="F123" s="169">
        <f t="shared" si="57"/>
        <v>0</v>
      </c>
      <c r="G123" s="631">
        <f t="shared" si="57"/>
        <v>0</v>
      </c>
      <c r="H123" s="169">
        <f t="shared" si="57"/>
        <v>0</v>
      </c>
      <c r="I123" s="623">
        <f t="shared" si="57"/>
        <v>0</v>
      </c>
    </row>
    <row r="124" spans="1:9" ht="11.25" customHeight="1">
      <c r="A124" s="603" t="str">
        <f t="shared" ref="A124" si="58">A87</f>
        <v>-/+</v>
      </c>
      <c r="B124" s="171" t="str">
        <f t="shared" ref="B124" si="59">B87</f>
        <v>Change of securities</v>
      </c>
      <c r="C124" s="171"/>
      <c r="D124" s="169">
        <f t="shared" ref="D124:I124" si="60">D87</f>
        <v>0</v>
      </c>
      <c r="E124" s="169">
        <f t="shared" si="60"/>
        <v>0</v>
      </c>
      <c r="F124" s="169">
        <f t="shared" si="60"/>
        <v>0</v>
      </c>
      <c r="G124" s="631">
        <f t="shared" si="60"/>
        <v>0</v>
      </c>
      <c r="H124" s="169">
        <f t="shared" si="60"/>
        <v>0</v>
      </c>
      <c r="I124" s="623">
        <f t="shared" si="60"/>
        <v>0</v>
      </c>
    </row>
    <row r="125" spans="1:9" ht="11.25" customHeight="1">
      <c r="A125" s="603" t="str">
        <f t="shared" ref="A125" si="61">A88</f>
        <v>-/+</v>
      </c>
      <c r="B125" s="171" t="str">
        <f t="shared" ref="B125" si="62">B88</f>
        <v>Change of prepaid expense (active)</v>
      </c>
      <c r="C125" s="171"/>
      <c r="D125" s="169">
        <f t="shared" ref="D125:I125" si="63">D88</f>
        <v>0</v>
      </c>
      <c r="E125" s="169">
        <f t="shared" si="63"/>
        <v>0</v>
      </c>
      <c r="F125" s="169">
        <f t="shared" si="63"/>
        <v>0</v>
      </c>
      <c r="G125" s="631">
        <f t="shared" si="63"/>
        <v>0</v>
      </c>
      <c r="H125" s="169">
        <f t="shared" si="63"/>
        <v>0</v>
      </c>
      <c r="I125" s="623">
        <f t="shared" si="63"/>
        <v>0</v>
      </c>
    </row>
    <row r="126" spans="1:9" ht="11.25" customHeight="1">
      <c r="A126" s="603" t="str">
        <f t="shared" ref="A126" si="64">A89</f>
        <v>-/+</v>
      </c>
      <c r="B126" s="171" t="str">
        <f t="shared" ref="B126" si="65">B89</f>
        <v>Change of deferred tax assets (active)</v>
      </c>
      <c r="C126" s="171"/>
      <c r="D126" s="169">
        <f t="shared" ref="D126:I126" si="66">D89</f>
        <v>0</v>
      </c>
      <c r="E126" s="169">
        <f t="shared" si="66"/>
        <v>0</v>
      </c>
      <c r="F126" s="169">
        <f t="shared" si="66"/>
        <v>0</v>
      </c>
      <c r="G126" s="631">
        <f t="shared" si="66"/>
        <v>0</v>
      </c>
      <c r="H126" s="169">
        <f t="shared" si="66"/>
        <v>0</v>
      </c>
      <c r="I126" s="623">
        <f t="shared" si="66"/>
        <v>0</v>
      </c>
    </row>
    <row r="127" spans="1:9" ht="11.25" customHeight="1">
      <c r="A127" s="603" t="str">
        <f t="shared" ref="A127" si="67">A90</f>
        <v>+/-</v>
      </c>
      <c r="B127" s="171" t="str">
        <f t="shared" ref="B127" si="68">B90</f>
        <v>Change of After A: Equity-equivalent accounts</v>
      </c>
      <c r="C127" s="171"/>
      <c r="D127" s="169">
        <f t="shared" ref="D127:I127" si="69">D90</f>
        <v>0</v>
      </c>
      <c r="E127" s="169">
        <f t="shared" si="69"/>
        <v>0</v>
      </c>
      <c r="F127" s="169">
        <f t="shared" si="69"/>
        <v>0</v>
      </c>
      <c r="G127" s="631">
        <f t="shared" si="69"/>
        <v>0</v>
      </c>
      <c r="H127" s="169">
        <f t="shared" si="69"/>
        <v>0</v>
      </c>
      <c r="I127" s="623">
        <f t="shared" si="69"/>
        <v>0</v>
      </c>
    </row>
    <row r="128" spans="1:9" ht="11.25" customHeight="1">
      <c r="A128" s="603" t="str">
        <f t="shared" ref="A128" si="70">A91</f>
        <v>+/-</v>
      </c>
      <c r="B128" s="171" t="str">
        <f t="shared" ref="B128" si="71">B91</f>
        <v>Change of non interest bearing liabilities</v>
      </c>
      <c r="C128" s="171"/>
      <c r="D128" s="169">
        <f t="shared" ref="D128:I128" si="72">D91</f>
        <v>0</v>
      </c>
      <c r="E128" s="169">
        <f t="shared" si="72"/>
        <v>0</v>
      </c>
      <c r="F128" s="169">
        <f t="shared" si="72"/>
        <v>0</v>
      </c>
      <c r="G128" s="631">
        <f t="shared" si="72"/>
        <v>0</v>
      </c>
      <c r="H128" s="169">
        <f t="shared" si="72"/>
        <v>0</v>
      </c>
      <c r="I128" s="623">
        <f t="shared" si="72"/>
        <v>0</v>
      </c>
    </row>
    <row r="129" spans="1:9" ht="11.25" customHeight="1">
      <c r="A129" s="603" t="str">
        <f t="shared" ref="A129" si="73">A92</f>
        <v>+/-</v>
      </c>
      <c r="B129" s="171" t="str">
        <f t="shared" ref="B129" si="74">B92</f>
        <v>Change of prepaid expense (passive)</v>
      </c>
      <c r="C129" s="171"/>
      <c r="D129" s="169">
        <f t="shared" ref="D129:I129" si="75">D92</f>
        <v>0</v>
      </c>
      <c r="E129" s="169">
        <f t="shared" si="75"/>
        <v>0</v>
      </c>
      <c r="F129" s="169">
        <f t="shared" si="75"/>
        <v>0</v>
      </c>
      <c r="G129" s="631">
        <f t="shared" si="75"/>
        <v>0</v>
      </c>
      <c r="H129" s="169">
        <f t="shared" si="75"/>
        <v>0</v>
      </c>
      <c r="I129" s="623">
        <f t="shared" si="75"/>
        <v>0</v>
      </c>
    </row>
    <row r="130" spans="1:9" ht="11.25" customHeight="1">
      <c r="A130" s="603" t="str">
        <f t="shared" ref="A130" si="76">A93</f>
        <v>+/-</v>
      </c>
      <c r="B130" s="172" t="str">
        <f t="shared" ref="B130" si="77">B93</f>
        <v>Extraordinary income/expense from profit and loss transfer agreements</v>
      </c>
      <c r="C130" s="171"/>
      <c r="D130" s="169">
        <f t="shared" ref="D130:I130" si="78">D93</f>
        <v>0</v>
      </c>
      <c r="E130" s="169">
        <f t="shared" si="78"/>
        <v>0</v>
      </c>
      <c r="F130" s="169">
        <f t="shared" si="78"/>
        <v>0</v>
      </c>
      <c r="G130" s="631">
        <f t="shared" si="78"/>
        <v>0</v>
      </c>
      <c r="H130" s="169">
        <f t="shared" si="78"/>
        <v>0</v>
      </c>
      <c r="I130" s="623">
        <f t="shared" si="78"/>
        <v>0</v>
      </c>
    </row>
    <row r="131" spans="1:9" ht="11.25" customHeight="1">
      <c r="A131" s="604" t="str">
        <f t="shared" ref="A131" si="79">A94</f>
        <v>-</v>
      </c>
      <c r="B131" s="171" t="str">
        <f t="shared" ref="B131" si="80">B94</f>
        <v>Tax expense</v>
      </c>
      <c r="C131" s="171"/>
      <c r="D131" s="169">
        <f t="shared" ref="D131:I131" si="81">D94</f>
        <v>0</v>
      </c>
      <c r="E131" s="169">
        <f t="shared" si="81"/>
        <v>0</v>
      </c>
      <c r="F131" s="169">
        <f t="shared" si="81"/>
        <v>0</v>
      </c>
      <c r="G131" s="631">
        <f t="shared" si="81"/>
        <v>0</v>
      </c>
      <c r="H131" s="169">
        <f t="shared" si="81"/>
        <v>0</v>
      </c>
      <c r="I131" s="623">
        <f t="shared" si="81"/>
        <v>0</v>
      </c>
    </row>
    <row r="132" spans="1:9" ht="11.25" customHeight="1">
      <c r="A132" s="611"/>
      <c r="B132" s="612" t="str">
        <f t="shared" ref="B132" si="82">B95</f>
        <v>Cash flow from ordinary activities</v>
      </c>
      <c r="C132" s="612"/>
      <c r="D132" s="618">
        <f t="shared" ref="D132:I132" si="83">D95</f>
        <v>0</v>
      </c>
      <c r="E132" s="618">
        <f t="shared" si="83"/>
        <v>0</v>
      </c>
      <c r="F132" s="618">
        <f t="shared" si="83"/>
        <v>0</v>
      </c>
      <c r="G132" s="632">
        <f t="shared" si="83"/>
        <v>0</v>
      </c>
      <c r="H132" s="618">
        <f t="shared" si="83"/>
        <v>0</v>
      </c>
      <c r="I132" s="624">
        <f t="shared" si="83"/>
        <v>0</v>
      </c>
    </row>
    <row r="133" spans="1:9" ht="11.25" customHeight="1">
      <c r="A133" s="603"/>
      <c r="B133" s="171" t="str">
        <f t="shared" ref="B133" si="84">B96</f>
        <v>Cash in of sold tangible assets</v>
      </c>
      <c r="C133" s="171"/>
      <c r="D133" s="169">
        <f t="shared" ref="D133:I133" si="85">D96</f>
        <v>0</v>
      </c>
      <c r="E133" s="169">
        <f t="shared" si="85"/>
        <v>0</v>
      </c>
      <c r="F133" s="169">
        <f t="shared" si="85"/>
        <v>0</v>
      </c>
      <c r="G133" s="631">
        <f t="shared" si="85"/>
        <v>0</v>
      </c>
      <c r="H133" s="169">
        <f t="shared" si="85"/>
        <v>0</v>
      </c>
      <c r="I133" s="623">
        <f t="shared" si="85"/>
        <v>0</v>
      </c>
    </row>
    <row r="134" spans="1:9" ht="11.25" customHeight="1">
      <c r="A134" s="603" t="str">
        <f t="shared" ref="A134" si="86">A97</f>
        <v>+</v>
      </c>
      <c r="B134" s="171" t="str">
        <f t="shared" ref="B134" si="87">B97</f>
        <v>Cash in of sold intangible assets</v>
      </c>
      <c r="C134" s="171"/>
      <c r="D134" s="169">
        <f t="shared" ref="D134:I134" si="88">D97</f>
        <v>0</v>
      </c>
      <c r="E134" s="169">
        <f t="shared" si="88"/>
        <v>0</v>
      </c>
      <c r="F134" s="169">
        <f t="shared" si="88"/>
        <v>0</v>
      </c>
      <c r="G134" s="631">
        <f t="shared" si="88"/>
        <v>0</v>
      </c>
      <c r="H134" s="169">
        <f t="shared" si="88"/>
        <v>0</v>
      </c>
      <c r="I134" s="623">
        <f t="shared" si="88"/>
        <v>0</v>
      </c>
    </row>
    <row r="135" spans="1:9" ht="11.25" customHeight="1">
      <c r="A135" s="603" t="str">
        <f t="shared" ref="A135" si="89">A98</f>
        <v>-</v>
      </c>
      <c r="B135" s="171" t="str">
        <f t="shared" ref="B135" si="90">B98</f>
        <v>Cash out from investment in tangible assets</v>
      </c>
      <c r="C135" s="171"/>
      <c r="D135" s="169">
        <f t="shared" ref="D135:I135" si="91">D98</f>
        <v>0</v>
      </c>
      <c r="E135" s="169">
        <f t="shared" si="91"/>
        <v>0</v>
      </c>
      <c r="F135" s="169">
        <f t="shared" si="91"/>
        <v>0</v>
      </c>
      <c r="G135" s="631">
        <f t="shared" si="91"/>
        <v>0</v>
      </c>
      <c r="H135" s="169">
        <f t="shared" si="91"/>
        <v>0</v>
      </c>
      <c r="I135" s="623">
        <f t="shared" si="91"/>
        <v>0</v>
      </c>
    </row>
    <row r="136" spans="1:9" ht="11.25" customHeight="1">
      <c r="A136" s="603" t="str">
        <f t="shared" ref="A136" si="92">A99</f>
        <v>-</v>
      </c>
      <c r="B136" s="171" t="str">
        <f t="shared" ref="B136" si="93">B99</f>
        <v>Cash out from investment in intangible assets</v>
      </c>
      <c r="C136" s="171"/>
      <c r="D136" s="169">
        <f t="shared" ref="D136:I136" si="94">D99</f>
        <v>0</v>
      </c>
      <c r="E136" s="169">
        <f t="shared" si="94"/>
        <v>0</v>
      </c>
      <c r="F136" s="169">
        <f t="shared" si="94"/>
        <v>0</v>
      </c>
      <c r="G136" s="631">
        <f t="shared" si="94"/>
        <v>0</v>
      </c>
      <c r="H136" s="169">
        <f t="shared" si="94"/>
        <v>0</v>
      </c>
      <c r="I136" s="623">
        <f t="shared" si="94"/>
        <v>0</v>
      </c>
    </row>
    <row r="137" spans="1:9" ht="11.25" customHeight="1">
      <c r="A137" s="603" t="str">
        <f t="shared" ref="A137" si="95">A100</f>
        <v>+</v>
      </c>
      <c r="B137" s="173" t="str">
        <f t="shared" ref="B137" si="96">B100</f>
        <v xml:space="preserve">Cash in from sold financial assets </v>
      </c>
      <c r="C137" s="171"/>
      <c r="D137" s="169">
        <f t="shared" ref="D137:I137" si="97">D100</f>
        <v>0</v>
      </c>
      <c r="E137" s="169">
        <f t="shared" si="97"/>
        <v>0</v>
      </c>
      <c r="F137" s="169">
        <f t="shared" si="97"/>
        <v>0</v>
      </c>
      <c r="G137" s="631">
        <f t="shared" si="97"/>
        <v>0</v>
      </c>
      <c r="H137" s="169">
        <f t="shared" si="97"/>
        <v>0</v>
      </c>
      <c r="I137" s="623">
        <f t="shared" si="97"/>
        <v>0</v>
      </c>
    </row>
    <row r="138" spans="1:9" ht="11.25" customHeight="1">
      <c r="A138" s="603" t="str">
        <f t="shared" ref="A138" si="98">A101</f>
        <v>-</v>
      </c>
      <c r="B138" s="171" t="str">
        <f t="shared" ref="B138" si="99">B101</f>
        <v>Cash out from investment in financial assets</v>
      </c>
      <c r="C138" s="171"/>
      <c r="D138" s="169">
        <f t="shared" ref="D138:I138" si="100">D101</f>
        <v>0</v>
      </c>
      <c r="E138" s="169">
        <f t="shared" si="100"/>
        <v>0</v>
      </c>
      <c r="F138" s="169">
        <f t="shared" si="100"/>
        <v>0</v>
      </c>
      <c r="G138" s="631">
        <f t="shared" si="100"/>
        <v>0</v>
      </c>
      <c r="H138" s="169">
        <f t="shared" si="100"/>
        <v>0</v>
      </c>
      <c r="I138" s="623">
        <f t="shared" si="100"/>
        <v>0</v>
      </c>
    </row>
    <row r="139" spans="1:9" ht="11.25" customHeight="1">
      <c r="A139" s="611"/>
      <c r="B139" s="612" t="str">
        <f t="shared" ref="B139" si="101">B102</f>
        <v>Cash flow from investing activities</v>
      </c>
      <c r="C139" s="612"/>
      <c r="D139" s="618">
        <f t="shared" ref="D139:I139" si="102">D102</f>
        <v>0</v>
      </c>
      <c r="E139" s="618">
        <f t="shared" si="102"/>
        <v>0</v>
      </c>
      <c r="F139" s="618">
        <f t="shared" si="102"/>
        <v>0</v>
      </c>
      <c r="G139" s="632">
        <f t="shared" si="102"/>
        <v>0</v>
      </c>
      <c r="H139" s="618">
        <f t="shared" si="102"/>
        <v>0</v>
      </c>
      <c r="I139" s="624">
        <f t="shared" si="102"/>
        <v>0</v>
      </c>
    </row>
    <row r="140" spans="1:9" ht="11.25" customHeight="1">
      <c r="A140" s="604"/>
      <c r="B140" s="171" t="str">
        <f t="shared" ref="B140" si="103">B103</f>
        <v>Cash in from capital injection</v>
      </c>
      <c r="C140" s="171"/>
      <c r="D140" s="619">
        <f t="shared" ref="D140:I140" si="104">D103</f>
        <v>0</v>
      </c>
      <c r="E140" s="619">
        <f t="shared" si="104"/>
        <v>0</v>
      </c>
      <c r="F140" s="619">
        <f t="shared" si="104"/>
        <v>0</v>
      </c>
      <c r="G140" s="633">
        <f t="shared" si="104"/>
        <v>0</v>
      </c>
      <c r="H140" s="619">
        <f t="shared" si="104"/>
        <v>0</v>
      </c>
      <c r="I140" s="625">
        <f t="shared" si="104"/>
        <v>0</v>
      </c>
    </row>
    <row r="141" spans="1:9" ht="11.25" customHeight="1">
      <c r="A141" s="604" t="str">
        <f t="shared" ref="A141" si="105">A104</f>
        <v>-</v>
      </c>
      <c r="B141" s="171" t="str">
        <f t="shared" ref="B141" si="106">B104</f>
        <v>Cash out minority interests</v>
      </c>
      <c r="C141" s="171"/>
      <c r="D141" s="169">
        <f t="shared" ref="D141:I141" si="107">D104</f>
        <v>0</v>
      </c>
      <c r="E141" s="169">
        <f t="shared" si="107"/>
        <v>0</v>
      </c>
      <c r="F141" s="169">
        <f t="shared" si="107"/>
        <v>0</v>
      </c>
      <c r="G141" s="631">
        <f t="shared" si="107"/>
        <v>0</v>
      </c>
      <c r="H141" s="169">
        <f t="shared" si="107"/>
        <v>0</v>
      </c>
      <c r="I141" s="623">
        <f t="shared" si="107"/>
        <v>0</v>
      </c>
    </row>
    <row r="142" spans="1:9" ht="11.25" customHeight="1">
      <c r="A142" s="603" t="str">
        <f t="shared" ref="A142" si="108">A105</f>
        <v>+</v>
      </c>
      <c r="B142" s="171" t="str">
        <f t="shared" ref="B142" si="109">B105</f>
        <v>Cash in from increase of debt</v>
      </c>
      <c r="C142" s="171"/>
      <c r="D142" s="169">
        <f t="shared" ref="D142:I142" si="110">D105</f>
        <v>0</v>
      </c>
      <c r="E142" s="169">
        <f t="shared" si="110"/>
        <v>0</v>
      </c>
      <c r="F142" s="169">
        <f t="shared" si="110"/>
        <v>0</v>
      </c>
      <c r="G142" s="631">
        <f t="shared" si="110"/>
        <v>0</v>
      </c>
      <c r="H142" s="169">
        <f t="shared" si="110"/>
        <v>0</v>
      </c>
      <c r="I142" s="623">
        <f t="shared" si="110"/>
        <v>0</v>
      </c>
    </row>
    <row r="143" spans="1:9" ht="11.25" customHeight="1">
      <c r="A143" s="603" t="str">
        <f t="shared" ref="A143" si="111">A106</f>
        <v>-</v>
      </c>
      <c r="B143" s="171" t="str">
        <f t="shared" ref="B143" si="112">B106</f>
        <v>Cash out from reduction of debt</v>
      </c>
      <c r="C143" s="171"/>
      <c r="D143" s="169">
        <f t="shared" ref="D143:I143" si="113">D106</f>
        <v>0</v>
      </c>
      <c r="E143" s="169">
        <f t="shared" si="113"/>
        <v>0</v>
      </c>
      <c r="F143" s="169">
        <f t="shared" si="113"/>
        <v>0</v>
      </c>
      <c r="G143" s="631">
        <f t="shared" si="113"/>
        <v>0</v>
      </c>
      <c r="H143" s="169">
        <f t="shared" si="113"/>
        <v>0</v>
      </c>
      <c r="I143" s="623">
        <f t="shared" si="113"/>
        <v>0</v>
      </c>
    </row>
    <row r="144" spans="1:9" ht="11.25" customHeight="1">
      <c r="A144" s="611"/>
      <c r="B144" s="612" t="str">
        <f t="shared" ref="B144" si="114">B107</f>
        <v>Cash flow from financing activities</v>
      </c>
      <c r="C144" s="612"/>
      <c r="D144" s="618">
        <f t="shared" ref="D144:I144" si="115">D107</f>
        <v>0</v>
      </c>
      <c r="E144" s="618">
        <f t="shared" si="115"/>
        <v>0</v>
      </c>
      <c r="F144" s="618">
        <f t="shared" si="115"/>
        <v>0</v>
      </c>
      <c r="G144" s="632">
        <f t="shared" si="115"/>
        <v>0</v>
      </c>
      <c r="H144" s="618">
        <f t="shared" si="115"/>
        <v>0</v>
      </c>
      <c r="I144" s="624">
        <f t="shared" si="115"/>
        <v>0</v>
      </c>
    </row>
    <row r="145" spans="1:9" ht="11.25" customHeight="1" thickBot="1">
      <c r="A145" s="636"/>
      <c r="B145" s="614" t="str">
        <f t="shared" ref="B145" si="116">B108</f>
        <v>Change in cash funds</v>
      </c>
      <c r="C145" s="614"/>
      <c r="D145" s="620">
        <f t="shared" ref="D145:I145" si="117">D108</f>
        <v>0</v>
      </c>
      <c r="E145" s="620">
        <f t="shared" si="117"/>
        <v>0</v>
      </c>
      <c r="F145" s="620">
        <f t="shared" si="117"/>
        <v>0</v>
      </c>
      <c r="G145" s="634">
        <f t="shared" si="117"/>
        <v>0</v>
      </c>
      <c r="H145" s="620">
        <f t="shared" si="117"/>
        <v>0</v>
      </c>
      <c r="I145" s="626">
        <f t="shared" si="117"/>
        <v>0</v>
      </c>
    </row>
    <row r="149" spans="1:9" s="357" customFormat="1" ht="20.25" customHeight="1">
      <c r="A149" s="358" t="s">
        <v>105</v>
      </c>
    </row>
    <row r="151" spans="1:9">
      <c r="A151" s="27" t="str">
        <f>Input!E3</f>
        <v>XXX AG</v>
      </c>
      <c r="C151" s="175"/>
    </row>
    <row r="152" spans="1:9">
      <c r="C152" s="175"/>
      <c r="D152" s="54">
        <f>Input!E68</f>
        <v>2010</v>
      </c>
      <c r="E152" s="54">
        <f>Input!F68</f>
        <v>2011</v>
      </c>
      <c r="F152" s="54">
        <f>Input!G68</f>
        <v>2012</v>
      </c>
      <c r="G152" s="54">
        <f>Input!H68</f>
        <v>2013</v>
      </c>
      <c r="H152" s="54">
        <f>Input!I68</f>
        <v>2014</v>
      </c>
      <c r="I152" s="54">
        <f>Input!J68</f>
        <v>2015</v>
      </c>
    </row>
    <row r="153" spans="1:9">
      <c r="B153" s="27" t="str">
        <f>Input!E4</f>
        <v>€m</v>
      </c>
      <c r="C153" s="175"/>
      <c r="D153" s="54" t="str">
        <f>Input!E69</f>
        <v>Actual</v>
      </c>
      <c r="E153" s="54" t="str">
        <f>Input!F69</f>
        <v>Actual</v>
      </c>
      <c r="F153" s="54" t="str">
        <f>Input!G69</f>
        <v>Actual</v>
      </c>
      <c r="G153" s="54" t="str">
        <f>Input!H69</f>
        <v>Plan</v>
      </c>
      <c r="H153" s="54" t="str">
        <f>Input!I69</f>
        <v>Plan</v>
      </c>
      <c r="I153" s="54" t="str">
        <f>Input!J69</f>
        <v>Plan</v>
      </c>
    </row>
    <row r="154" spans="1:9">
      <c r="B154" s="27" t="s">
        <v>0</v>
      </c>
      <c r="C154" s="175"/>
      <c r="D154" s="27">
        <f>Input!E73</f>
        <v>12</v>
      </c>
      <c r="E154" s="27">
        <f>Input!F73</f>
        <v>13</v>
      </c>
      <c r="F154" s="27">
        <f>Input!G73</f>
        <v>13.5</v>
      </c>
      <c r="G154" s="27">
        <f>Input!H73</f>
        <v>15</v>
      </c>
      <c r="H154" s="27">
        <f>Input!I73</f>
        <v>16</v>
      </c>
      <c r="I154" s="27">
        <f>Input!J73</f>
        <v>18</v>
      </c>
    </row>
    <row r="155" spans="1:9">
      <c r="A155" s="166" t="s">
        <v>228</v>
      </c>
      <c r="B155" s="92"/>
      <c r="C155" s="175"/>
      <c r="D155" s="92">
        <v>0</v>
      </c>
      <c r="E155" s="92">
        <v>0</v>
      </c>
      <c r="F155" s="92">
        <v>0</v>
      </c>
      <c r="G155" s="92">
        <v>0</v>
      </c>
      <c r="H155" s="92">
        <v>0</v>
      </c>
      <c r="I155" s="92">
        <v>0</v>
      </c>
    </row>
    <row r="156" spans="1:9">
      <c r="A156" s="166" t="s">
        <v>228</v>
      </c>
      <c r="B156" s="92"/>
      <c r="C156" s="175"/>
      <c r="D156" s="92">
        <v>0</v>
      </c>
      <c r="E156" s="92">
        <v>0</v>
      </c>
      <c r="F156" s="92">
        <v>0</v>
      </c>
      <c r="G156" s="92">
        <v>0</v>
      </c>
      <c r="H156" s="92">
        <v>0</v>
      </c>
      <c r="I156" s="92">
        <v>0</v>
      </c>
    </row>
    <row r="157" spans="1:9">
      <c r="A157" s="166" t="s">
        <v>228</v>
      </c>
      <c r="B157" s="92"/>
      <c r="C157" s="175"/>
      <c r="D157" s="92">
        <v>0</v>
      </c>
      <c r="E157" s="92">
        <v>0</v>
      </c>
      <c r="F157" s="92">
        <v>0</v>
      </c>
      <c r="G157" s="92">
        <v>0</v>
      </c>
      <c r="H157" s="92">
        <v>0</v>
      </c>
      <c r="I157" s="92">
        <v>0</v>
      </c>
    </row>
    <row r="158" spans="1:9">
      <c r="A158" s="166" t="s">
        <v>228</v>
      </c>
      <c r="B158" s="92"/>
      <c r="C158" s="175"/>
      <c r="D158" s="92">
        <v>0</v>
      </c>
      <c r="E158" s="92">
        <v>0</v>
      </c>
      <c r="F158" s="92">
        <v>0</v>
      </c>
      <c r="G158" s="92">
        <v>0</v>
      </c>
      <c r="H158" s="92">
        <v>0</v>
      </c>
      <c r="I158" s="92">
        <v>0</v>
      </c>
    </row>
    <row r="159" spans="1:9">
      <c r="A159" s="166" t="s">
        <v>229</v>
      </c>
      <c r="B159" s="92"/>
      <c r="C159" s="175"/>
      <c r="D159" s="92">
        <v>0</v>
      </c>
      <c r="E159" s="92">
        <v>0</v>
      </c>
      <c r="F159" s="92">
        <v>0</v>
      </c>
      <c r="G159" s="92">
        <v>0</v>
      </c>
      <c r="H159" s="92">
        <v>0</v>
      </c>
      <c r="I159" s="92">
        <v>0</v>
      </c>
    </row>
    <row r="160" spans="1:9">
      <c r="A160" s="166" t="s">
        <v>229</v>
      </c>
      <c r="B160" s="92"/>
      <c r="C160" s="175"/>
      <c r="D160" s="92">
        <v>0</v>
      </c>
      <c r="E160" s="92">
        <v>0</v>
      </c>
      <c r="F160" s="92">
        <v>0</v>
      </c>
      <c r="G160" s="92">
        <v>0</v>
      </c>
      <c r="H160" s="92">
        <v>0</v>
      </c>
      <c r="I160" s="92">
        <v>0</v>
      </c>
    </row>
    <row r="161" spans="1:9">
      <c r="A161" s="166" t="s">
        <v>229</v>
      </c>
      <c r="B161" s="92"/>
      <c r="C161" s="175"/>
      <c r="D161" s="92">
        <v>0</v>
      </c>
      <c r="E161" s="92">
        <v>0</v>
      </c>
      <c r="F161" s="92">
        <v>0</v>
      </c>
      <c r="G161" s="92">
        <v>0</v>
      </c>
      <c r="H161" s="92">
        <v>0</v>
      </c>
      <c r="I161" s="92">
        <v>0</v>
      </c>
    </row>
    <row r="162" spans="1:9">
      <c r="A162" s="166" t="s">
        <v>229</v>
      </c>
      <c r="B162" s="92"/>
      <c r="C162" s="175"/>
      <c r="D162" s="92">
        <v>0</v>
      </c>
      <c r="E162" s="92">
        <v>0</v>
      </c>
      <c r="F162" s="92">
        <v>0</v>
      </c>
      <c r="G162" s="92">
        <v>0</v>
      </c>
      <c r="H162" s="92">
        <v>0</v>
      </c>
      <c r="I162" s="92">
        <v>0</v>
      </c>
    </row>
    <row r="163" spans="1:9">
      <c r="A163" s="166" t="s">
        <v>229</v>
      </c>
      <c r="B163" s="92"/>
      <c r="C163" s="175"/>
      <c r="D163" s="92">
        <v>0</v>
      </c>
      <c r="E163" s="92">
        <v>0</v>
      </c>
      <c r="F163" s="92">
        <v>0</v>
      </c>
      <c r="G163" s="92">
        <v>0</v>
      </c>
      <c r="H163" s="92">
        <v>0</v>
      </c>
      <c r="I163" s="92">
        <v>0</v>
      </c>
    </row>
    <row r="164" spans="1:9">
      <c r="A164" s="166" t="s">
        <v>228</v>
      </c>
      <c r="B164" s="92"/>
      <c r="C164" s="175"/>
      <c r="D164" s="92">
        <v>0</v>
      </c>
      <c r="E164" s="92">
        <v>0</v>
      </c>
      <c r="F164" s="92">
        <v>0</v>
      </c>
      <c r="G164" s="92">
        <v>0</v>
      </c>
      <c r="H164" s="92">
        <v>0</v>
      </c>
      <c r="I164" s="92">
        <v>0</v>
      </c>
    </row>
    <row r="165" spans="1:9">
      <c r="A165" s="166" t="s">
        <v>228</v>
      </c>
      <c r="B165" s="92"/>
      <c r="C165" s="175"/>
      <c r="D165" s="92">
        <v>0</v>
      </c>
      <c r="E165" s="92">
        <v>0</v>
      </c>
      <c r="F165" s="92">
        <v>0</v>
      </c>
      <c r="G165" s="92">
        <v>0</v>
      </c>
      <c r="H165" s="92">
        <v>0</v>
      </c>
      <c r="I165" s="92">
        <v>0</v>
      </c>
    </row>
    <row r="166" spans="1:9">
      <c r="A166" s="166" t="s">
        <v>228</v>
      </c>
      <c r="B166" s="92"/>
      <c r="C166" s="175"/>
      <c r="D166" s="92">
        <v>0</v>
      </c>
      <c r="E166" s="92">
        <v>0</v>
      </c>
      <c r="F166" s="92">
        <v>0</v>
      </c>
      <c r="G166" s="92">
        <v>0</v>
      </c>
      <c r="H166" s="92">
        <v>0</v>
      </c>
      <c r="I166" s="92">
        <v>0</v>
      </c>
    </row>
    <row r="167" spans="1:9">
      <c r="A167" s="166" t="s">
        <v>228</v>
      </c>
      <c r="B167" s="92"/>
      <c r="C167" s="175"/>
      <c r="D167" s="92">
        <v>0</v>
      </c>
      <c r="E167" s="92">
        <v>0</v>
      </c>
      <c r="F167" s="92">
        <v>0</v>
      </c>
      <c r="G167" s="92">
        <v>0</v>
      </c>
      <c r="H167" s="92">
        <v>0</v>
      </c>
      <c r="I167" s="92">
        <v>0</v>
      </c>
    </row>
    <row r="168" spans="1:9">
      <c r="B168" s="27" t="s">
        <v>230</v>
      </c>
      <c r="C168" s="175"/>
      <c r="D168" s="92">
        <v>0</v>
      </c>
      <c r="E168" s="92">
        <v>0</v>
      </c>
      <c r="F168" s="92">
        <v>0</v>
      </c>
      <c r="G168" s="92">
        <v>0</v>
      </c>
      <c r="H168" s="92">
        <v>0</v>
      </c>
      <c r="I168" s="92">
        <v>0</v>
      </c>
    </row>
    <row r="169" spans="1:9">
      <c r="A169" s="166"/>
      <c r="B169" s="27" t="s">
        <v>231</v>
      </c>
      <c r="C169" s="175"/>
      <c r="D169" s="92">
        <v>0</v>
      </c>
      <c r="E169" s="92">
        <v>0</v>
      </c>
      <c r="F169" s="92">
        <v>0</v>
      </c>
      <c r="G169" s="92">
        <v>0</v>
      </c>
      <c r="H169" s="92">
        <v>0</v>
      </c>
      <c r="I169" s="92">
        <v>0</v>
      </c>
    </row>
    <row r="170" spans="1:9">
      <c r="A170" s="166" t="s">
        <v>232</v>
      </c>
      <c r="B170" s="27" t="s">
        <v>233</v>
      </c>
      <c r="C170" s="175"/>
      <c r="D170" s="92">
        <v>0</v>
      </c>
      <c r="E170" s="92">
        <v>0</v>
      </c>
      <c r="F170" s="92">
        <v>0</v>
      </c>
      <c r="G170" s="92">
        <v>0</v>
      </c>
      <c r="H170" s="92">
        <v>0</v>
      </c>
      <c r="I170" s="92">
        <v>0</v>
      </c>
    </row>
    <row r="171" spans="1:9">
      <c r="A171" s="166" t="s">
        <v>234</v>
      </c>
      <c r="B171" s="27" t="s">
        <v>235</v>
      </c>
      <c r="C171" s="175"/>
      <c r="D171" s="92">
        <v>0</v>
      </c>
      <c r="E171" s="92">
        <v>0</v>
      </c>
      <c r="F171" s="92">
        <v>0</v>
      </c>
      <c r="G171" s="92">
        <v>0</v>
      </c>
      <c r="H171" s="92">
        <v>0</v>
      </c>
      <c r="I171" s="92">
        <v>0</v>
      </c>
    </row>
    <row r="172" spans="1:9">
      <c r="A172" s="166" t="s">
        <v>234</v>
      </c>
      <c r="B172" s="27" t="s">
        <v>236</v>
      </c>
      <c r="C172" s="175"/>
      <c r="D172" s="92">
        <v>0</v>
      </c>
      <c r="E172" s="92">
        <v>0</v>
      </c>
      <c r="F172" s="92">
        <v>0</v>
      </c>
      <c r="G172" s="92">
        <v>0</v>
      </c>
      <c r="H172" s="92">
        <v>0</v>
      </c>
      <c r="I172" s="92">
        <v>0</v>
      </c>
    </row>
    <row r="173" spans="1:9">
      <c r="A173" s="166" t="s">
        <v>232</v>
      </c>
      <c r="B173" s="27" t="s">
        <v>237</v>
      </c>
      <c r="C173" s="175"/>
      <c r="D173" s="92">
        <v>0</v>
      </c>
      <c r="E173" s="92">
        <v>0</v>
      </c>
      <c r="F173" s="92">
        <v>0</v>
      </c>
      <c r="G173" s="92">
        <v>0</v>
      </c>
      <c r="H173" s="92">
        <v>0</v>
      </c>
      <c r="I173" s="92">
        <v>0</v>
      </c>
    </row>
    <row r="174" spans="1:9">
      <c r="A174" s="166" t="s">
        <v>234</v>
      </c>
      <c r="B174" s="27" t="s">
        <v>238</v>
      </c>
      <c r="C174" s="175"/>
      <c r="D174" s="92">
        <v>0</v>
      </c>
      <c r="E174" s="92">
        <v>0</v>
      </c>
      <c r="F174" s="92">
        <v>0</v>
      </c>
      <c r="G174" s="92">
        <v>0</v>
      </c>
      <c r="H174" s="92">
        <v>0</v>
      </c>
      <c r="I174" s="92">
        <v>0</v>
      </c>
    </row>
    <row r="175" spans="1:9">
      <c r="B175" s="27" t="s">
        <v>239</v>
      </c>
      <c r="C175" s="175"/>
      <c r="D175" s="179">
        <f>D169+D170-D171-D172+D173-D174</f>
        <v>0</v>
      </c>
      <c r="E175" s="179">
        <f t="shared" ref="E175:I175" si="118">E169+E170-E171-E172+E173-E174</f>
        <v>0</v>
      </c>
      <c r="F175" s="179">
        <f t="shared" si="118"/>
        <v>0</v>
      </c>
      <c r="G175" s="179">
        <f t="shared" si="118"/>
        <v>0</v>
      </c>
      <c r="H175" s="179">
        <f t="shared" si="118"/>
        <v>0</v>
      </c>
      <c r="I175" s="179">
        <f t="shared" si="118"/>
        <v>0</v>
      </c>
    </row>
    <row r="176" spans="1:9">
      <c r="B176" s="27" t="s">
        <v>240</v>
      </c>
      <c r="C176" s="175"/>
      <c r="D176" s="167">
        <v>0</v>
      </c>
      <c r="E176" s="167">
        <v>0</v>
      </c>
      <c r="F176" s="167">
        <v>0</v>
      </c>
      <c r="G176" s="167">
        <v>0</v>
      </c>
      <c r="H176" s="167">
        <v>0</v>
      </c>
      <c r="I176" s="167">
        <v>0</v>
      </c>
    </row>
    <row r="177" spans="1:9">
      <c r="A177" s="27" t="s">
        <v>234</v>
      </c>
      <c r="B177" s="27" t="s">
        <v>241</v>
      </c>
      <c r="C177" s="175"/>
      <c r="D177" s="92">
        <v>0</v>
      </c>
      <c r="E177" s="92">
        <v>0</v>
      </c>
      <c r="F177" s="92">
        <v>0</v>
      </c>
      <c r="G177" s="92">
        <v>0</v>
      </c>
      <c r="H177" s="92">
        <v>0</v>
      </c>
      <c r="I177" s="92">
        <v>0</v>
      </c>
    </row>
    <row r="178" spans="1:9">
      <c r="A178" s="166" t="s">
        <v>232</v>
      </c>
      <c r="B178" s="27" t="s">
        <v>242</v>
      </c>
      <c r="C178" s="175"/>
      <c r="D178" s="92">
        <v>0</v>
      </c>
      <c r="E178" s="92">
        <v>0</v>
      </c>
      <c r="F178" s="92">
        <v>0</v>
      </c>
      <c r="G178" s="92">
        <v>0</v>
      </c>
      <c r="H178" s="92">
        <v>0</v>
      </c>
      <c r="I178" s="92">
        <v>0</v>
      </c>
    </row>
    <row r="179" spans="1:9">
      <c r="A179" s="166" t="s">
        <v>234</v>
      </c>
      <c r="B179" s="27" t="s">
        <v>243</v>
      </c>
      <c r="C179" s="175"/>
      <c r="D179" s="92">
        <v>0</v>
      </c>
      <c r="E179" s="92">
        <v>0</v>
      </c>
      <c r="F179" s="92">
        <v>0</v>
      </c>
      <c r="G179" s="92">
        <v>0</v>
      </c>
      <c r="H179" s="92">
        <v>0</v>
      </c>
      <c r="I179" s="92">
        <v>0</v>
      </c>
    </row>
    <row r="180" spans="1:9">
      <c r="B180" s="27" t="s">
        <v>244</v>
      </c>
      <c r="C180" s="175"/>
      <c r="D180" s="180">
        <f>D176-D177+D178-D179</f>
        <v>0</v>
      </c>
      <c r="E180" s="180">
        <f t="shared" ref="E180:I180" si="119">E176-E177+E178-E179</f>
        <v>0</v>
      </c>
      <c r="F180" s="180">
        <f t="shared" si="119"/>
        <v>0</v>
      </c>
      <c r="G180" s="180">
        <f t="shared" si="119"/>
        <v>0</v>
      </c>
      <c r="H180" s="180">
        <f t="shared" si="119"/>
        <v>0</v>
      </c>
      <c r="I180" s="180">
        <f t="shared" si="119"/>
        <v>0</v>
      </c>
    </row>
    <row r="181" spans="1:9">
      <c r="B181" s="27" t="s">
        <v>245</v>
      </c>
      <c r="C181" s="175"/>
      <c r="D181" s="181">
        <f>D168+D175+D180</f>
        <v>0</v>
      </c>
      <c r="E181" s="181">
        <f t="shared" ref="E181:I181" si="120">E168+E175+E180</f>
        <v>0</v>
      </c>
      <c r="F181" s="181">
        <f t="shared" si="120"/>
        <v>0</v>
      </c>
      <c r="G181" s="181">
        <f t="shared" si="120"/>
        <v>0</v>
      </c>
      <c r="H181" s="181">
        <f t="shared" si="120"/>
        <v>0</v>
      </c>
      <c r="I181" s="181">
        <f t="shared" si="120"/>
        <v>0</v>
      </c>
    </row>
    <row r="182" spans="1:9">
      <c r="C182" s="175"/>
    </row>
    <row r="183" spans="1:9">
      <c r="C183" s="175"/>
    </row>
    <row r="184" spans="1:9" ht="19.5" customHeight="1">
      <c r="A184" s="600" t="str">
        <f>A151</f>
        <v>XXX AG</v>
      </c>
      <c r="B184" s="601"/>
      <c r="C184" s="601"/>
      <c r="D184" s="601"/>
      <c r="E184" s="601"/>
      <c r="F184" s="600"/>
      <c r="G184" s="600"/>
      <c r="H184" s="600"/>
      <c r="I184" s="600"/>
    </row>
    <row r="185" spans="1:9">
      <c r="A185" s="602"/>
      <c r="B185" s="176"/>
      <c r="C185" s="177"/>
      <c r="D185" s="615">
        <f>D152</f>
        <v>2010</v>
      </c>
      <c r="E185" s="621">
        <f t="shared" ref="E185:I185" si="121">E152</f>
        <v>2011</v>
      </c>
      <c r="F185" s="621">
        <f t="shared" si="121"/>
        <v>2012</v>
      </c>
      <c r="G185" s="629">
        <f t="shared" si="121"/>
        <v>2013</v>
      </c>
      <c r="H185" s="627">
        <f t="shared" si="121"/>
        <v>2014</v>
      </c>
      <c r="I185" s="628">
        <f t="shared" si="121"/>
        <v>2015</v>
      </c>
    </row>
    <row r="186" spans="1:9">
      <c r="A186" s="608"/>
      <c r="B186" s="609" t="str">
        <f>B153</f>
        <v>€m</v>
      </c>
      <c r="C186" s="610"/>
      <c r="D186" s="809" t="str">
        <f t="shared" ref="D186:G186" si="122">D153</f>
        <v>Actual</v>
      </c>
      <c r="E186" s="809"/>
      <c r="F186" s="809"/>
      <c r="G186" s="810" t="str">
        <f t="shared" si="122"/>
        <v>Plan</v>
      </c>
      <c r="H186" s="811"/>
      <c r="I186" s="812"/>
    </row>
    <row r="187" spans="1:9">
      <c r="A187" s="605"/>
      <c r="B187" s="606" t="str">
        <f t="shared" ref="B187:I187" si="123">B154</f>
        <v>EBITDA</v>
      </c>
      <c r="C187" s="607"/>
      <c r="D187" s="617">
        <f t="shared" si="123"/>
        <v>12</v>
      </c>
      <c r="E187" s="617">
        <f t="shared" si="123"/>
        <v>13</v>
      </c>
      <c r="F187" s="617">
        <f t="shared" si="123"/>
        <v>13.5</v>
      </c>
      <c r="G187" s="630">
        <f t="shared" si="123"/>
        <v>15</v>
      </c>
      <c r="H187" s="617">
        <f t="shared" si="123"/>
        <v>16</v>
      </c>
      <c r="I187" s="622">
        <f t="shared" si="123"/>
        <v>18</v>
      </c>
    </row>
    <row r="188" spans="1:9">
      <c r="A188" s="603" t="str">
        <f t="shared" ref="A188:B188" si="124">A155</f>
        <v>+/-</v>
      </c>
      <c r="B188" s="178">
        <f t="shared" si="124"/>
        <v>0</v>
      </c>
      <c r="C188" s="171"/>
      <c r="D188" s="169">
        <f t="shared" ref="D188:I188" si="125">D155</f>
        <v>0</v>
      </c>
      <c r="E188" s="169">
        <f t="shared" si="125"/>
        <v>0</v>
      </c>
      <c r="F188" s="169">
        <f t="shared" si="125"/>
        <v>0</v>
      </c>
      <c r="G188" s="631">
        <f t="shared" si="125"/>
        <v>0</v>
      </c>
      <c r="H188" s="169">
        <f t="shared" si="125"/>
        <v>0</v>
      </c>
      <c r="I188" s="623">
        <f t="shared" si="125"/>
        <v>0</v>
      </c>
    </row>
    <row r="189" spans="1:9">
      <c r="A189" s="603" t="str">
        <f t="shared" ref="A189:B189" si="126">A156</f>
        <v>+/-</v>
      </c>
      <c r="B189" s="178">
        <f t="shared" si="126"/>
        <v>0</v>
      </c>
      <c r="C189" s="171"/>
      <c r="D189" s="169">
        <f t="shared" ref="D189:I189" si="127">D156</f>
        <v>0</v>
      </c>
      <c r="E189" s="169">
        <f t="shared" si="127"/>
        <v>0</v>
      </c>
      <c r="F189" s="169">
        <f t="shared" si="127"/>
        <v>0</v>
      </c>
      <c r="G189" s="631">
        <f t="shared" si="127"/>
        <v>0</v>
      </c>
      <c r="H189" s="169">
        <f t="shared" si="127"/>
        <v>0</v>
      </c>
      <c r="I189" s="623">
        <f t="shared" si="127"/>
        <v>0</v>
      </c>
    </row>
    <row r="190" spans="1:9">
      <c r="A190" s="603" t="str">
        <f t="shared" ref="A190:B190" si="128">A157</f>
        <v>+/-</v>
      </c>
      <c r="B190" s="178">
        <f t="shared" si="128"/>
        <v>0</v>
      </c>
      <c r="C190" s="171"/>
      <c r="D190" s="169">
        <f t="shared" ref="D190:I190" si="129">D157</f>
        <v>0</v>
      </c>
      <c r="E190" s="169">
        <f t="shared" si="129"/>
        <v>0</v>
      </c>
      <c r="F190" s="169">
        <f t="shared" si="129"/>
        <v>0</v>
      </c>
      <c r="G190" s="631">
        <f t="shared" si="129"/>
        <v>0</v>
      </c>
      <c r="H190" s="169">
        <f t="shared" si="129"/>
        <v>0</v>
      </c>
      <c r="I190" s="623">
        <f t="shared" si="129"/>
        <v>0</v>
      </c>
    </row>
    <row r="191" spans="1:9">
      <c r="A191" s="603" t="str">
        <f t="shared" ref="A191:B191" si="130">A158</f>
        <v>+/-</v>
      </c>
      <c r="B191" s="178">
        <f t="shared" si="130"/>
        <v>0</v>
      </c>
      <c r="C191" s="171"/>
      <c r="D191" s="169">
        <f t="shared" ref="D191:I191" si="131">D158</f>
        <v>0</v>
      </c>
      <c r="E191" s="169">
        <f t="shared" si="131"/>
        <v>0</v>
      </c>
      <c r="F191" s="169">
        <f t="shared" si="131"/>
        <v>0</v>
      </c>
      <c r="G191" s="631">
        <f t="shared" si="131"/>
        <v>0</v>
      </c>
      <c r="H191" s="169">
        <f t="shared" si="131"/>
        <v>0</v>
      </c>
      <c r="I191" s="623">
        <f t="shared" si="131"/>
        <v>0</v>
      </c>
    </row>
    <row r="192" spans="1:9">
      <c r="A192" s="603" t="str">
        <f t="shared" ref="A192:B192" si="132">A159</f>
        <v>-/+</v>
      </c>
      <c r="B192" s="178">
        <f t="shared" si="132"/>
        <v>0</v>
      </c>
      <c r="C192" s="171"/>
      <c r="D192" s="169">
        <f t="shared" ref="D192:I192" si="133">D159</f>
        <v>0</v>
      </c>
      <c r="E192" s="169">
        <f t="shared" si="133"/>
        <v>0</v>
      </c>
      <c r="F192" s="169">
        <f t="shared" si="133"/>
        <v>0</v>
      </c>
      <c r="G192" s="631">
        <f t="shared" si="133"/>
        <v>0</v>
      </c>
      <c r="H192" s="169">
        <f t="shared" si="133"/>
        <v>0</v>
      </c>
      <c r="I192" s="623">
        <f t="shared" si="133"/>
        <v>0</v>
      </c>
    </row>
    <row r="193" spans="1:9">
      <c r="A193" s="603" t="str">
        <f t="shared" ref="A193:B193" si="134">A160</f>
        <v>-/+</v>
      </c>
      <c r="B193" s="178">
        <f t="shared" si="134"/>
        <v>0</v>
      </c>
      <c r="C193" s="171"/>
      <c r="D193" s="169">
        <f t="shared" ref="D193:I193" si="135">D160</f>
        <v>0</v>
      </c>
      <c r="E193" s="169">
        <f t="shared" si="135"/>
        <v>0</v>
      </c>
      <c r="F193" s="169">
        <f t="shared" si="135"/>
        <v>0</v>
      </c>
      <c r="G193" s="631">
        <f t="shared" si="135"/>
        <v>0</v>
      </c>
      <c r="H193" s="169">
        <f t="shared" si="135"/>
        <v>0</v>
      </c>
      <c r="I193" s="623">
        <f t="shared" si="135"/>
        <v>0</v>
      </c>
    </row>
    <row r="194" spans="1:9">
      <c r="A194" s="603" t="str">
        <f t="shared" ref="A194:B194" si="136">A161</f>
        <v>-/+</v>
      </c>
      <c r="B194" s="178">
        <f t="shared" si="136"/>
        <v>0</v>
      </c>
      <c r="C194" s="171"/>
      <c r="D194" s="169">
        <f t="shared" ref="D194:I194" si="137">D161</f>
        <v>0</v>
      </c>
      <c r="E194" s="169">
        <f t="shared" si="137"/>
        <v>0</v>
      </c>
      <c r="F194" s="169">
        <f t="shared" si="137"/>
        <v>0</v>
      </c>
      <c r="G194" s="631">
        <f t="shared" si="137"/>
        <v>0</v>
      </c>
      <c r="H194" s="169">
        <f t="shared" si="137"/>
        <v>0</v>
      </c>
      <c r="I194" s="623">
        <f t="shared" si="137"/>
        <v>0</v>
      </c>
    </row>
    <row r="195" spans="1:9">
      <c r="A195" s="603" t="str">
        <f t="shared" ref="A195:B195" si="138">A162</f>
        <v>-/+</v>
      </c>
      <c r="B195" s="178">
        <f t="shared" si="138"/>
        <v>0</v>
      </c>
      <c r="C195" s="171"/>
      <c r="D195" s="169">
        <f t="shared" ref="D195:I195" si="139">D162</f>
        <v>0</v>
      </c>
      <c r="E195" s="169">
        <f t="shared" si="139"/>
        <v>0</v>
      </c>
      <c r="F195" s="169">
        <f t="shared" si="139"/>
        <v>0</v>
      </c>
      <c r="G195" s="631">
        <f t="shared" si="139"/>
        <v>0</v>
      </c>
      <c r="H195" s="169">
        <f t="shared" si="139"/>
        <v>0</v>
      </c>
      <c r="I195" s="623">
        <f t="shared" si="139"/>
        <v>0</v>
      </c>
    </row>
    <row r="196" spans="1:9">
      <c r="A196" s="603" t="str">
        <f t="shared" ref="A196:B196" si="140">A163</f>
        <v>-/+</v>
      </c>
      <c r="B196" s="178">
        <f t="shared" si="140"/>
        <v>0</v>
      </c>
      <c r="C196" s="171"/>
      <c r="D196" s="169">
        <f t="shared" ref="D196:I196" si="141">D163</f>
        <v>0</v>
      </c>
      <c r="E196" s="169">
        <f t="shared" si="141"/>
        <v>0</v>
      </c>
      <c r="F196" s="169">
        <f t="shared" si="141"/>
        <v>0</v>
      </c>
      <c r="G196" s="631">
        <f t="shared" si="141"/>
        <v>0</v>
      </c>
      <c r="H196" s="169">
        <f t="shared" si="141"/>
        <v>0</v>
      </c>
      <c r="I196" s="623">
        <f t="shared" si="141"/>
        <v>0</v>
      </c>
    </row>
    <row r="197" spans="1:9">
      <c r="A197" s="603" t="str">
        <f t="shared" ref="A197:B197" si="142">A164</f>
        <v>+/-</v>
      </c>
      <c r="B197" s="178">
        <f t="shared" si="142"/>
        <v>0</v>
      </c>
      <c r="C197" s="171"/>
      <c r="D197" s="169">
        <f t="shared" ref="D197:I197" si="143">D164</f>
        <v>0</v>
      </c>
      <c r="E197" s="169">
        <f t="shared" si="143"/>
        <v>0</v>
      </c>
      <c r="F197" s="169">
        <f t="shared" si="143"/>
        <v>0</v>
      </c>
      <c r="G197" s="631">
        <f t="shared" si="143"/>
        <v>0</v>
      </c>
      <c r="H197" s="169">
        <f t="shared" si="143"/>
        <v>0</v>
      </c>
      <c r="I197" s="623">
        <f t="shared" si="143"/>
        <v>0</v>
      </c>
    </row>
    <row r="198" spans="1:9">
      <c r="A198" s="603" t="str">
        <f t="shared" ref="A198:B198" si="144">A165</f>
        <v>+/-</v>
      </c>
      <c r="B198" s="178">
        <f t="shared" si="144"/>
        <v>0</v>
      </c>
      <c r="C198" s="171"/>
      <c r="D198" s="169">
        <f t="shared" ref="D198:I198" si="145">D165</f>
        <v>0</v>
      </c>
      <c r="E198" s="169">
        <f t="shared" si="145"/>
        <v>0</v>
      </c>
      <c r="F198" s="169">
        <f t="shared" si="145"/>
        <v>0</v>
      </c>
      <c r="G198" s="631">
        <f t="shared" si="145"/>
        <v>0</v>
      </c>
      <c r="H198" s="169">
        <f t="shared" si="145"/>
        <v>0</v>
      </c>
      <c r="I198" s="623">
        <f t="shared" si="145"/>
        <v>0</v>
      </c>
    </row>
    <row r="199" spans="1:9">
      <c r="A199" s="603" t="str">
        <f t="shared" ref="A199:B199" si="146">A166</f>
        <v>+/-</v>
      </c>
      <c r="B199" s="178">
        <f t="shared" si="146"/>
        <v>0</v>
      </c>
      <c r="C199" s="171"/>
      <c r="D199" s="169">
        <f t="shared" ref="D199:I199" si="147">D166</f>
        <v>0</v>
      </c>
      <c r="E199" s="169">
        <f t="shared" si="147"/>
        <v>0</v>
      </c>
      <c r="F199" s="169">
        <f t="shared" si="147"/>
        <v>0</v>
      </c>
      <c r="G199" s="631">
        <f t="shared" si="147"/>
        <v>0</v>
      </c>
      <c r="H199" s="169">
        <f t="shared" si="147"/>
        <v>0</v>
      </c>
      <c r="I199" s="623">
        <f t="shared" si="147"/>
        <v>0</v>
      </c>
    </row>
    <row r="200" spans="1:9">
      <c r="A200" s="603" t="str">
        <f t="shared" ref="A200:B200" si="148">A167</f>
        <v>+/-</v>
      </c>
      <c r="B200" s="178">
        <f t="shared" si="148"/>
        <v>0</v>
      </c>
      <c r="C200" s="171"/>
      <c r="D200" s="169">
        <f t="shared" ref="D200:I200" si="149">D167</f>
        <v>0</v>
      </c>
      <c r="E200" s="169">
        <f t="shared" si="149"/>
        <v>0</v>
      </c>
      <c r="F200" s="169">
        <f t="shared" si="149"/>
        <v>0</v>
      </c>
      <c r="G200" s="631">
        <f t="shared" si="149"/>
        <v>0</v>
      </c>
      <c r="H200" s="169">
        <f t="shared" si="149"/>
        <v>0</v>
      </c>
      <c r="I200" s="623">
        <f t="shared" si="149"/>
        <v>0</v>
      </c>
    </row>
    <row r="201" spans="1:9">
      <c r="A201" s="611"/>
      <c r="B201" s="612" t="str">
        <f t="shared" ref="B201" si="150">B168</f>
        <v>Cash flow from ordinary activities</v>
      </c>
      <c r="C201" s="612"/>
      <c r="D201" s="618">
        <f t="shared" ref="D201:I201" si="151">D168</f>
        <v>0</v>
      </c>
      <c r="E201" s="618">
        <f t="shared" si="151"/>
        <v>0</v>
      </c>
      <c r="F201" s="618">
        <f t="shared" si="151"/>
        <v>0</v>
      </c>
      <c r="G201" s="632">
        <f t="shared" si="151"/>
        <v>0</v>
      </c>
      <c r="H201" s="618">
        <f t="shared" si="151"/>
        <v>0</v>
      </c>
      <c r="I201" s="624">
        <f t="shared" si="151"/>
        <v>0</v>
      </c>
    </row>
    <row r="202" spans="1:9">
      <c r="A202" s="603"/>
      <c r="B202" s="171" t="str">
        <f t="shared" ref="B202" si="152">B169</f>
        <v>Cash in of sold tangible assets</v>
      </c>
      <c r="C202" s="171"/>
      <c r="D202" s="169">
        <f t="shared" ref="D202:I202" si="153">D169</f>
        <v>0</v>
      </c>
      <c r="E202" s="169">
        <f t="shared" si="153"/>
        <v>0</v>
      </c>
      <c r="F202" s="169">
        <f t="shared" si="153"/>
        <v>0</v>
      </c>
      <c r="G202" s="631">
        <f t="shared" si="153"/>
        <v>0</v>
      </c>
      <c r="H202" s="169">
        <f t="shared" si="153"/>
        <v>0</v>
      </c>
      <c r="I202" s="623">
        <f t="shared" si="153"/>
        <v>0</v>
      </c>
    </row>
    <row r="203" spans="1:9">
      <c r="A203" s="603" t="str">
        <f t="shared" ref="A203:B203" si="154">A170</f>
        <v>+</v>
      </c>
      <c r="B203" s="171" t="str">
        <f t="shared" si="154"/>
        <v>Cash in of sold intangible assets</v>
      </c>
      <c r="C203" s="171"/>
      <c r="D203" s="169">
        <f t="shared" ref="D203:I203" si="155">D170</f>
        <v>0</v>
      </c>
      <c r="E203" s="169">
        <f t="shared" si="155"/>
        <v>0</v>
      </c>
      <c r="F203" s="169">
        <f t="shared" si="155"/>
        <v>0</v>
      </c>
      <c r="G203" s="631">
        <f t="shared" si="155"/>
        <v>0</v>
      </c>
      <c r="H203" s="169">
        <f t="shared" si="155"/>
        <v>0</v>
      </c>
      <c r="I203" s="623">
        <f t="shared" si="155"/>
        <v>0</v>
      </c>
    </row>
    <row r="204" spans="1:9">
      <c r="A204" s="603" t="str">
        <f t="shared" ref="A204:B204" si="156">A171</f>
        <v>-</v>
      </c>
      <c r="B204" s="171" t="str">
        <f t="shared" si="156"/>
        <v>Cash out from investment in tangible assets</v>
      </c>
      <c r="C204" s="171"/>
      <c r="D204" s="169">
        <f t="shared" ref="D204:I204" si="157">D171</f>
        <v>0</v>
      </c>
      <c r="E204" s="169">
        <f t="shared" si="157"/>
        <v>0</v>
      </c>
      <c r="F204" s="169">
        <f t="shared" si="157"/>
        <v>0</v>
      </c>
      <c r="G204" s="631">
        <f t="shared" si="157"/>
        <v>0</v>
      </c>
      <c r="H204" s="169">
        <f t="shared" si="157"/>
        <v>0</v>
      </c>
      <c r="I204" s="623">
        <f t="shared" si="157"/>
        <v>0</v>
      </c>
    </row>
    <row r="205" spans="1:9">
      <c r="A205" s="603" t="str">
        <f t="shared" ref="A205:B205" si="158">A172</f>
        <v>-</v>
      </c>
      <c r="B205" s="171" t="str">
        <f t="shared" si="158"/>
        <v>Cash out from investment in intangible assets</v>
      </c>
      <c r="C205" s="171"/>
      <c r="D205" s="169">
        <f t="shared" ref="D205:I205" si="159">D172</f>
        <v>0</v>
      </c>
      <c r="E205" s="169">
        <f t="shared" si="159"/>
        <v>0</v>
      </c>
      <c r="F205" s="169">
        <f t="shared" si="159"/>
        <v>0</v>
      </c>
      <c r="G205" s="631">
        <f t="shared" si="159"/>
        <v>0</v>
      </c>
      <c r="H205" s="169">
        <f t="shared" si="159"/>
        <v>0</v>
      </c>
      <c r="I205" s="623">
        <f t="shared" si="159"/>
        <v>0</v>
      </c>
    </row>
    <row r="206" spans="1:9">
      <c r="A206" s="603" t="str">
        <f t="shared" ref="A206:B206" si="160">A173</f>
        <v>+</v>
      </c>
      <c r="B206" s="173" t="str">
        <f t="shared" si="160"/>
        <v xml:space="preserve">Cash in from sold financial assets </v>
      </c>
      <c r="C206" s="171"/>
      <c r="D206" s="169">
        <f t="shared" ref="D206:I206" si="161">D173</f>
        <v>0</v>
      </c>
      <c r="E206" s="169">
        <f t="shared" si="161"/>
        <v>0</v>
      </c>
      <c r="F206" s="169">
        <f t="shared" si="161"/>
        <v>0</v>
      </c>
      <c r="G206" s="631">
        <f t="shared" si="161"/>
        <v>0</v>
      </c>
      <c r="H206" s="169">
        <f t="shared" si="161"/>
        <v>0</v>
      </c>
      <c r="I206" s="623">
        <f t="shared" si="161"/>
        <v>0</v>
      </c>
    </row>
    <row r="207" spans="1:9">
      <c r="A207" s="603" t="str">
        <f t="shared" ref="A207:B207" si="162">A174</f>
        <v>-</v>
      </c>
      <c r="B207" s="171" t="str">
        <f t="shared" si="162"/>
        <v>Cash out from investment in financial assets</v>
      </c>
      <c r="C207" s="171"/>
      <c r="D207" s="169">
        <f t="shared" ref="D207:I207" si="163">D174</f>
        <v>0</v>
      </c>
      <c r="E207" s="169">
        <f t="shared" si="163"/>
        <v>0</v>
      </c>
      <c r="F207" s="169">
        <f t="shared" si="163"/>
        <v>0</v>
      </c>
      <c r="G207" s="631">
        <f t="shared" si="163"/>
        <v>0</v>
      </c>
      <c r="H207" s="169">
        <f t="shared" si="163"/>
        <v>0</v>
      </c>
      <c r="I207" s="623">
        <f t="shared" si="163"/>
        <v>0</v>
      </c>
    </row>
    <row r="208" spans="1:9">
      <c r="A208" s="611"/>
      <c r="B208" s="612" t="str">
        <f t="shared" ref="B208" si="164">B175</f>
        <v>Cash flow from investing activities</v>
      </c>
      <c r="C208" s="612"/>
      <c r="D208" s="618">
        <f t="shared" ref="D208:I208" si="165">D175</f>
        <v>0</v>
      </c>
      <c r="E208" s="618">
        <f t="shared" si="165"/>
        <v>0</v>
      </c>
      <c r="F208" s="618">
        <f t="shared" si="165"/>
        <v>0</v>
      </c>
      <c r="G208" s="632">
        <f t="shared" si="165"/>
        <v>0</v>
      </c>
      <c r="H208" s="618">
        <f t="shared" si="165"/>
        <v>0</v>
      </c>
      <c r="I208" s="624">
        <f t="shared" si="165"/>
        <v>0</v>
      </c>
    </row>
    <row r="209" spans="1:9">
      <c r="A209" s="604"/>
      <c r="B209" s="171" t="str">
        <f t="shared" ref="B209" si="166">B176</f>
        <v>Cash in from capital injection</v>
      </c>
      <c r="C209" s="171"/>
      <c r="D209" s="619">
        <f t="shared" ref="D209:I209" si="167">D176</f>
        <v>0</v>
      </c>
      <c r="E209" s="619">
        <f t="shared" si="167"/>
        <v>0</v>
      </c>
      <c r="F209" s="619">
        <f t="shared" si="167"/>
        <v>0</v>
      </c>
      <c r="G209" s="633">
        <f t="shared" si="167"/>
        <v>0</v>
      </c>
      <c r="H209" s="619">
        <f t="shared" si="167"/>
        <v>0</v>
      </c>
      <c r="I209" s="625">
        <f t="shared" si="167"/>
        <v>0</v>
      </c>
    </row>
    <row r="210" spans="1:9">
      <c r="A210" s="604" t="str">
        <f t="shared" ref="A210:B210" si="168">A177</f>
        <v>-</v>
      </c>
      <c r="B210" s="171" t="str">
        <f t="shared" si="168"/>
        <v>Cash out minority interests</v>
      </c>
      <c r="C210" s="171"/>
      <c r="D210" s="169">
        <f t="shared" ref="D210:I210" si="169">D177</f>
        <v>0</v>
      </c>
      <c r="E210" s="169">
        <f t="shared" si="169"/>
        <v>0</v>
      </c>
      <c r="F210" s="169">
        <f t="shared" si="169"/>
        <v>0</v>
      </c>
      <c r="G210" s="631">
        <f t="shared" si="169"/>
        <v>0</v>
      </c>
      <c r="H210" s="169">
        <f t="shared" si="169"/>
        <v>0</v>
      </c>
      <c r="I210" s="623">
        <f t="shared" si="169"/>
        <v>0</v>
      </c>
    </row>
    <row r="211" spans="1:9">
      <c r="A211" s="603" t="str">
        <f t="shared" ref="A211:B211" si="170">A178</f>
        <v>+</v>
      </c>
      <c r="B211" s="171" t="str">
        <f t="shared" si="170"/>
        <v>Cash in from increase of debt</v>
      </c>
      <c r="C211" s="171"/>
      <c r="D211" s="169">
        <f t="shared" ref="D211:I211" si="171">D178</f>
        <v>0</v>
      </c>
      <c r="E211" s="169">
        <f t="shared" si="171"/>
        <v>0</v>
      </c>
      <c r="F211" s="169">
        <f t="shared" si="171"/>
        <v>0</v>
      </c>
      <c r="G211" s="631">
        <f t="shared" si="171"/>
        <v>0</v>
      </c>
      <c r="H211" s="169">
        <f t="shared" si="171"/>
        <v>0</v>
      </c>
      <c r="I211" s="623">
        <f t="shared" si="171"/>
        <v>0</v>
      </c>
    </row>
    <row r="212" spans="1:9">
      <c r="A212" s="603" t="str">
        <f t="shared" ref="A212:B212" si="172">A179</f>
        <v>-</v>
      </c>
      <c r="B212" s="171" t="str">
        <f t="shared" si="172"/>
        <v>Cash out from reduction of debt</v>
      </c>
      <c r="C212" s="171"/>
      <c r="D212" s="169">
        <f t="shared" ref="D212:I212" si="173">D179</f>
        <v>0</v>
      </c>
      <c r="E212" s="169">
        <f t="shared" si="173"/>
        <v>0</v>
      </c>
      <c r="F212" s="169">
        <f t="shared" si="173"/>
        <v>0</v>
      </c>
      <c r="G212" s="631">
        <f t="shared" si="173"/>
        <v>0</v>
      </c>
      <c r="H212" s="169">
        <f t="shared" si="173"/>
        <v>0</v>
      </c>
      <c r="I212" s="623">
        <f t="shared" si="173"/>
        <v>0</v>
      </c>
    </row>
    <row r="213" spans="1:9">
      <c r="A213" s="611"/>
      <c r="B213" s="612" t="str">
        <f t="shared" ref="B213" si="174">B180</f>
        <v>Cash flow from financing activities</v>
      </c>
      <c r="C213" s="612"/>
      <c r="D213" s="618">
        <f t="shared" ref="D213:I213" si="175">D180</f>
        <v>0</v>
      </c>
      <c r="E213" s="618">
        <f t="shared" si="175"/>
        <v>0</v>
      </c>
      <c r="F213" s="618">
        <f t="shared" si="175"/>
        <v>0</v>
      </c>
      <c r="G213" s="632">
        <f t="shared" si="175"/>
        <v>0</v>
      </c>
      <c r="H213" s="618">
        <f t="shared" si="175"/>
        <v>0</v>
      </c>
      <c r="I213" s="624">
        <f t="shared" si="175"/>
        <v>0</v>
      </c>
    </row>
    <row r="214" spans="1:9" ht="12" thickBot="1">
      <c r="A214" s="613"/>
      <c r="B214" s="614" t="str">
        <f t="shared" ref="B214" si="176">B181</f>
        <v>Change in cash funds</v>
      </c>
      <c r="C214" s="614"/>
      <c r="D214" s="620">
        <f t="shared" ref="D214:I214" si="177">D181</f>
        <v>0</v>
      </c>
      <c r="E214" s="620">
        <f t="shared" si="177"/>
        <v>0</v>
      </c>
      <c r="F214" s="620">
        <f t="shared" si="177"/>
        <v>0</v>
      </c>
      <c r="G214" s="634">
        <f t="shared" si="177"/>
        <v>0</v>
      </c>
      <c r="H214" s="620">
        <f t="shared" si="177"/>
        <v>0</v>
      </c>
      <c r="I214" s="626">
        <f t="shared" si="177"/>
        <v>0</v>
      </c>
    </row>
    <row r="215" spans="1:9">
      <c r="C215" s="175"/>
    </row>
    <row r="216" spans="1:9">
      <c r="C216" s="175"/>
    </row>
    <row r="217" spans="1:9">
      <c r="C217" s="175"/>
    </row>
    <row r="218" spans="1:9">
      <c r="C218" s="175"/>
    </row>
  </sheetData>
  <mergeCells count="5">
    <mergeCell ref="D186:F186"/>
    <mergeCell ref="G186:I186"/>
    <mergeCell ref="D112:F112"/>
    <mergeCell ref="G112:I112"/>
    <mergeCell ref="D45:F45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/>
  <dimension ref="A1:M156"/>
  <sheetViews>
    <sheetView topLeftCell="A140" zoomScale="85" zoomScaleNormal="85" workbookViewId="0">
      <selection activeCell="P158" sqref="P158"/>
    </sheetView>
  </sheetViews>
  <sheetFormatPr defaultColWidth="11.5" defaultRowHeight="11.25"/>
  <cols>
    <col min="1" max="1" width="19.83203125" style="27" customWidth="1"/>
    <col min="2" max="7" width="6.6640625" style="27" customWidth="1"/>
    <col min="8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328</v>
      </c>
    </row>
    <row r="2" spans="1:7" ht="20.25" customHeight="1">
      <c r="A2" s="48" t="s">
        <v>329</v>
      </c>
    </row>
    <row r="3" spans="1:7" ht="20.25" customHeight="1">
      <c r="A3" s="48" t="s">
        <v>330</v>
      </c>
    </row>
    <row r="4" spans="1:7" ht="20.25" customHeight="1">
      <c r="A4" s="48" t="s">
        <v>338</v>
      </c>
    </row>
    <row r="5" spans="1:7" ht="20.25" customHeight="1">
      <c r="A5" s="48" t="s">
        <v>339</v>
      </c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4" spans="1:7">
      <c r="A14" s="9" t="s">
        <v>122</v>
      </c>
    </row>
    <row r="16" spans="1:7">
      <c r="B16" s="54">
        <f>Input!E68</f>
        <v>2010</v>
      </c>
      <c r="C16" s="54">
        <f>Input!F68</f>
        <v>2011</v>
      </c>
      <c r="D16" s="54">
        <f>Input!G68</f>
        <v>2012</v>
      </c>
      <c r="E16" s="54">
        <f>Input!H68</f>
        <v>2013</v>
      </c>
      <c r="F16" s="54">
        <f>Input!I68</f>
        <v>2014</v>
      </c>
      <c r="G16" s="54">
        <f>Input!J68</f>
        <v>2015</v>
      </c>
    </row>
    <row r="17" spans="1:7">
      <c r="A17" s="27" t="str">
        <f>Input!E4</f>
        <v>€m</v>
      </c>
      <c r="B17" s="54" t="str">
        <f>Input!E69</f>
        <v>Actual</v>
      </c>
      <c r="C17" s="54" t="str">
        <f>Input!F69</f>
        <v>Actual</v>
      </c>
      <c r="D17" s="54" t="str">
        <f>Input!G69</f>
        <v>Actual</v>
      </c>
      <c r="E17" s="54" t="str">
        <f>Input!H69</f>
        <v>Plan</v>
      </c>
      <c r="F17" s="54" t="str">
        <f>Input!I69</f>
        <v>Plan</v>
      </c>
      <c r="G17" s="54" t="str">
        <f>Input!J69</f>
        <v>Plan</v>
      </c>
    </row>
    <row r="18" spans="1:7">
      <c r="A18" s="92" t="s">
        <v>289</v>
      </c>
      <c r="B18" s="92">
        <v>30</v>
      </c>
      <c r="C18" s="92">
        <v>32</v>
      </c>
      <c r="D18" s="92">
        <v>34</v>
      </c>
      <c r="E18" s="92">
        <v>35</v>
      </c>
      <c r="F18" s="92">
        <v>36</v>
      </c>
      <c r="G18" s="92">
        <v>37</v>
      </c>
    </row>
    <row r="19" spans="1:7">
      <c r="A19" s="92" t="s">
        <v>290</v>
      </c>
      <c r="B19" s="92">
        <v>25</v>
      </c>
      <c r="C19" s="92">
        <v>28</v>
      </c>
      <c r="D19" s="92">
        <v>31</v>
      </c>
      <c r="E19" s="92">
        <v>33</v>
      </c>
      <c r="F19" s="92">
        <v>33</v>
      </c>
      <c r="G19" s="92">
        <v>34</v>
      </c>
    </row>
    <row r="20" spans="1:7">
      <c r="A20" s="92" t="s">
        <v>291</v>
      </c>
      <c r="B20" s="92">
        <v>20</v>
      </c>
      <c r="C20" s="92">
        <v>20</v>
      </c>
      <c r="D20" s="92">
        <v>21</v>
      </c>
      <c r="E20" s="92">
        <v>21</v>
      </c>
      <c r="F20" s="92">
        <v>21</v>
      </c>
      <c r="G20" s="92">
        <v>21</v>
      </c>
    </row>
    <row r="21" spans="1:7">
      <c r="A21" s="92" t="s">
        <v>292</v>
      </c>
      <c r="B21" s="92">
        <v>-10</v>
      </c>
      <c r="C21" s="92">
        <v>-11</v>
      </c>
      <c r="D21" s="92">
        <v>-11</v>
      </c>
      <c r="E21" s="92">
        <v>-11</v>
      </c>
      <c r="F21" s="92">
        <v>-10</v>
      </c>
      <c r="G21" s="92">
        <v>-10</v>
      </c>
    </row>
    <row r="23" spans="1:7">
      <c r="A23" s="163" t="s">
        <v>294</v>
      </c>
      <c r="B23" s="163">
        <v>0.5</v>
      </c>
      <c r="C23" s="163">
        <v>0.49</v>
      </c>
      <c r="D23" s="163">
        <v>0.48</v>
      </c>
      <c r="E23" s="163">
        <v>0.48499999999999999</v>
      </c>
      <c r="F23" s="163">
        <v>0.49</v>
      </c>
      <c r="G23" s="163">
        <v>0.48</v>
      </c>
    </row>
    <row r="26" spans="1:7" ht="19.5" customHeight="1">
      <c r="A26" s="350" t="s">
        <v>288</v>
      </c>
      <c r="B26" s="350"/>
      <c r="C26" s="350"/>
      <c r="D26" s="350"/>
      <c r="E26" s="350"/>
      <c r="F26" s="350"/>
      <c r="G26" s="350"/>
    </row>
    <row r="27" spans="1:7" ht="14.25">
      <c r="A27" s="654"/>
      <c r="B27" s="184">
        <f>B16</f>
        <v>2010</v>
      </c>
      <c r="C27" s="184">
        <f t="shared" ref="C27:G27" si="0">C16</f>
        <v>2011</v>
      </c>
      <c r="D27" s="184">
        <f t="shared" si="0"/>
        <v>2012</v>
      </c>
      <c r="E27" s="587">
        <f t="shared" si="0"/>
        <v>2013</v>
      </c>
      <c r="F27" s="588">
        <f t="shared" si="0"/>
        <v>2014</v>
      </c>
      <c r="G27" s="589">
        <f t="shared" si="0"/>
        <v>2015</v>
      </c>
    </row>
    <row r="28" spans="1:7">
      <c r="A28" s="655" t="str">
        <f>A17</f>
        <v>€m</v>
      </c>
      <c r="B28" s="804" t="str">
        <f>C17</f>
        <v>Actual</v>
      </c>
      <c r="C28" s="804"/>
      <c r="D28" s="804"/>
      <c r="E28" s="806" t="str">
        <f>F17</f>
        <v>Plan</v>
      </c>
      <c r="F28" s="807"/>
      <c r="G28" s="814"/>
    </row>
    <row r="29" spans="1:7">
      <c r="A29" s="656" t="s">
        <v>289</v>
      </c>
      <c r="B29" s="661">
        <f>B18</f>
        <v>30</v>
      </c>
      <c r="C29" s="661">
        <f t="shared" ref="C29:G29" si="1">C18</f>
        <v>32</v>
      </c>
      <c r="D29" s="661">
        <f t="shared" si="1"/>
        <v>34</v>
      </c>
      <c r="E29" s="662">
        <f t="shared" si="1"/>
        <v>35</v>
      </c>
      <c r="F29" s="661">
        <f t="shared" si="1"/>
        <v>36</v>
      </c>
      <c r="G29" s="663">
        <f t="shared" si="1"/>
        <v>37</v>
      </c>
    </row>
    <row r="30" spans="1:7">
      <c r="A30" s="656" t="s">
        <v>290</v>
      </c>
      <c r="B30" s="661">
        <f t="shared" ref="B30:B32" si="2">B19</f>
        <v>25</v>
      </c>
      <c r="C30" s="661">
        <f t="shared" ref="C30:G30" si="3">C19</f>
        <v>28</v>
      </c>
      <c r="D30" s="661">
        <f t="shared" si="3"/>
        <v>31</v>
      </c>
      <c r="E30" s="662">
        <f t="shared" si="3"/>
        <v>33</v>
      </c>
      <c r="F30" s="661">
        <f t="shared" si="3"/>
        <v>33</v>
      </c>
      <c r="G30" s="663">
        <f t="shared" si="3"/>
        <v>34</v>
      </c>
    </row>
    <row r="31" spans="1:7">
      <c r="A31" s="656" t="s">
        <v>291</v>
      </c>
      <c r="B31" s="661">
        <f t="shared" si="2"/>
        <v>20</v>
      </c>
      <c r="C31" s="661">
        <f t="shared" ref="C31:G31" si="4">C20</f>
        <v>20</v>
      </c>
      <c r="D31" s="661">
        <f t="shared" si="4"/>
        <v>21</v>
      </c>
      <c r="E31" s="662">
        <f t="shared" si="4"/>
        <v>21</v>
      </c>
      <c r="F31" s="661">
        <f t="shared" si="4"/>
        <v>21</v>
      </c>
      <c r="G31" s="663">
        <f t="shared" si="4"/>
        <v>21</v>
      </c>
    </row>
    <row r="32" spans="1:7">
      <c r="A32" s="582" t="s">
        <v>292</v>
      </c>
      <c r="B32" s="661">
        <f t="shared" si="2"/>
        <v>-10</v>
      </c>
      <c r="C32" s="661">
        <f t="shared" ref="C32:G32" si="5">C21</f>
        <v>-11</v>
      </c>
      <c r="D32" s="661">
        <f t="shared" si="5"/>
        <v>-11</v>
      </c>
      <c r="E32" s="662">
        <f t="shared" si="5"/>
        <v>-11</v>
      </c>
      <c r="F32" s="661">
        <f t="shared" si="5"/>
        <v>-10</v>
      </c>
      <c r="G32" s="663">
        <f t="shared" si="5"/>
        <v>-10</v>
      </c>
    </row>
    <row r="33" spans="1:7" ht="12" thickBot="1">
      <c r="A33" s="658" t="s">
        <v>293</v>
      </c>
      <c r="B33" s="664">
        <f>SUM(B29:B32)</f>
        <v>65</v>
      </c>
      <c r="C33" s="664">
        <f>SUM(C32:C32)</f>
        <v>-11</v>
      </c>
      <c r="D33" s="664">
        <f>SUM(D32:D32)</f>
        <v>-11</v>
      </c>
      <c r="E33" s="665">
        <f>SUM(E32:E32)</f>
        <v>-11</v>
      </c>
      <c r="F33" s="664">
        <f>SUM(F32:F32)</f>
        <v>-10</v>
      </c>
      <c r="G33" s="666">
        <f>SUM(G32:G32)</f>
        <v>-10</v>
      </c>
    </row>
    <row r="38" spans="1:7" s="357" customFormat="1" ht="20.25" customHeight="1">
      <c r="A38" s="358" t="s">
        <v>114</v>
      </c>
    </row>
    <row r="40" spans="1:7">
      <c r="A40" s="27" t="str">
        <f>Input!E4</f>
        <v>€m</v>
      </c>
      <c r="E40" s="27">
        <v>2013</v>
      </c>
      <c r="F40" s="27">
        <v>2014</v>
      </c>
      <c r="G40" s="27">
        <v>2015</v>
      </c>
    </row>
    <row r="41" spans="1:7">
      <c r="A41" s="27" t="s">
        <v>296</v>
      </c>
    </row>
    <row r="42" spans="1:7">
      <c r="A42" s="92" t="s">
        <v>297</v>
      </c>
      <c r="E42" s="92">
        <v>100</v>
      </c>
      <c r="F42" s="92">
        <v>110</v>
      </c>
      <c r="G42" s="92">
        <v>120</v>
      </c>
    </row>
    <row r="43" spans="1:7">
      <c r="A43" s="92" t="s">
        <v>298</v>
      </c>
      <c r="E43" s="92">
        <v>4</v>
      </c>
      <c r="F43" s="92">
        <v>5</v>
      </c>
      <c r="G43" s="92">
        <v>5</v>
      </c>
    </row>
    <row r="44" spans="1:7">
      <c r="A44" s="92" t="s">
        <v>299</v>
      </c>
      <c r="E44" s="92">
        <v>7</v>
      </c>
      <c r="F44" s="92">
        <v>8</v>
      </c>
      <c r="G44" s="92">
        <v>9</v>
      </c>
    </row>
    <row r="45" spans="1:7">
      <c r="A45" s="92" t="s">
        <v>21</v>
      </c>
      <c r="E45" s="92">
        <v>3</v>
      </c>
      <c r="F45" s="92">
        <v>4</v>
      </c>
      <c r="G45" s="92">
        <v>4</v>
      </c>
    </row>
    <row r="46" spans="1:7">
      <c r="A46" s="92" t="s">
        <v>58</v>
      </c>
      <c r="E46" s="92">
        <v>2</v>
      </c>
      <c r="F46" s="92">
        <v>2</v>
      </c>
      <c r="G46" s="92">
        <v>3</v>
      </c>
    </row>
    <row r="48" spans="1:7">
      <c r="A48" s="27" t="s">
        <v>300</v>
      </c>
    </row>
    <row r="49" spans="1:7">
      <c r="A49" s="92" t="s">
        <v>301</v>
      </c>
      <c r="E49" s="92">
        <v>60</v>
      </c>
      <c r="F49" s="92">
        <v>72</v>
      </c>
      <c r="G49" s="92">
        <v>78</v>
      </c>
    </row>
    <row r="50" spans="1:7">
      <c r="A50" s="92" t="s">
        <v>302</v>
      </c>
      <c r="E50" s="92">
        <v>20</v>
      </c>
      <c r="F50" s="92">
        <v>22</v>
      </c>
      <c r="G50" s="92">
        <v>25</v>
      </c>
    </row>
    <row r="51" spans="1:7">
      <c r="A51" s="92" t="s">
        <v>303</v>
      </c>
      <c r="E51" s="92">
        <v>10</v>
      </c>
      <c r="F51" s="92">
        <v>11</v>
      </c>
      <c r="G51" s="92">
        <v>11</v>
      </c>
    </row>
    <row r="52" spans="1:7">
      <c r="A52" s="92" t="s">
        <v>21</v>
      </c>
      <c r="E52" s="92">
        <v>12</v>
      </c>
      <c r="F52" s="92">
        <v>14</v>
      </c>
      <c r="G52" s="92">
        <v>17</v>
      </c>
    </row>
    <row r="53" spans="1:7">
      <c r="A53" s="92" t="s">
        <v>58</v>
      </c>
      <c r="E53" s="92">
        <v>14</v>
      </c>
      <c r="F53" s="92">
        <v>10</v>
      </c>
      <c r="G53" s="92">
        <v>10</v>
      </c>
    </row>
    <row r="58" spans="1:7" ht="19.5" customHeight="1">
      <c r="A58" s="350" t="s">
        <v>295</v>
      </c>
      <c r="B58" s="350"/>
      <c r="C58" s="350"/>
      <c r="D58" s="350"/>
      <c r="E58" s="350"/>
      <c r="F58" s="350"/>
      <c r="G58" s="350"/>
    </row>
    <row r="59" spans="1:7">
      <c r="A59" s="669" t="str">
        <f>A40</f>
        <v>€m</v>
      </c>
      <c r="B59" s="670"/>
      <c r="C59" s="670"/>
      <c r="D59" s="670"/>
      <c r="E59" s="670">
        <f>E40</f>
        <v>2013</v>
      </c>
      <c r="F59" s="670">
        <f>F40</f>
        <v>2014</v>
      </c>
      <c r="G59" s="671">
        <f>G40</f>
        <v>2015</v>
      </c>
    </row>
    <row r="60" spans="1:7">
      <c r="A60" s="667" t="s">
        <v>296</v>
      </c>
      <c r="B60" s="161"/>
      <c r="C60" s="161"/>
      <c r="D60" s="161"/>
      <c r="E60" s="161"/>
      <c r="F60" s="161"/>
      <c r="G60" s="668"/>
    </row>
    <row r="61" spans="1:7">
      <c r="A61" s="656" t="str">
        <f>A42</f>
        <v>Operating profit</v>
      </c>
      <c r="B61" s="185"/>
      <c r="C61" s="185"/>
      <c r="D61" s="185"/>
      <c r="E61" s="185">
        <f t="shared" ref="E61:G65" si="6">E42</f>
        <v>100</v>
      </c>
      <c r="F61" s="185">
        <f t="shared" si="6"/>
        <v>110</v>
      </c>
      <c r="G61" s="657">
        <f t="shared" si="6"/>
        <v>120</v>
      </c>
    </row>
    <row r="62" spans="1:7">
      <c r="A62" s="656" t="str">
        <f t="shared" ref="A62:A65" si="7">A43</f>
        <v>Divestment of fixed assets</v>
      </c>
      <c r="B62" s="185"/>
      <c r="C62" s="185"/>
      <c r="D62" s="185"/>
      <c r="E62" s="185">
        <f t="shared" si="6"/>
        <v>4</v>
      </c>
      <c r="F62" s="185">
        <f t="shared" si="6"/>
        <v>5</v>
      </c>
      <c r="G62" s="657">
        <f t="shared" si="6"/>
        <v>5</v>
      </c>
    </row>
    <row r="63" spans="1:7">
      <c r="A63" s="656" t="str">
        <f t="shared" si="7"/>
        <v>Reduction of working capital</v>
      </c>
      <c r="B63" s="185"/>
      <c r="C63" s="185"/>
      <c r="D63" s="185"/>
      <c r="E63" s="185">
        <f t="shared" si="6"/>
        <v>7</v>
      </c>
      <c r="F63" s="185">
        <f t="shared" si="6"/>
        <v>8</v>
      </c>
      <c r="G63" s="657">
        <f t="shared" si="6"/>
        <v>9</v>
      </c>
    </row>
    <row r="64" spans="1:7">
      <c r="A64" s="656" t="str">
        <f t="shared" si="7"/>
        <v>XXX</v>
      </c>
      <c r="B64" s="185"/>
      <c r="C64" s="185"/>
      <c r="D64" s="185"/>
      <c r="E64" s="185">
        <f t="shared" si="6"/>
        <v>3</v>
      </c>
      <c r="F64" s="185">
        <f t="shared" si="6"/>
        <v>4</v>
      </c>
      <c r="G64" s="657">
        <f t="shared" si="6"/>
        <v>4</v>
      </c>
    </row>
    <row r="65" spans="1:7">
      <c r="A65" s="656" t="str">
        <f t="shared" si="7"/>
        <v>Other</v>
      </c>
      <c r="B65" s="185"/>
      <c r="C65" s="185"/>
      <c r="D65" s="185"/>
      <c r="E65" s="185">
        <f t="shared" si="6"/>
        <v>2</v>
      </c>
      <c r="F65" s="185">
        <f t="shared" si="6"/>
        <v>2</v>
      </c>
      <c r="G65" s="657">
        <f t="shared" si="6"/>
        <v>3</v>
      </c>
    </row>
    <row r="66" spans="1:7" ht="12" thickBot="1">
      <c r="A66" s="658" t="s">
        <v>74</v>
      </c>
      <c r="B66" s="659"/>
      <c r="C66" s="659"/>
      <c r="D66" s="659"/>
      <c r="E66" s="659">
        <f>SUM(E61:E65)</f>
        <v>116</v>
      </c>
      <c r="F66" s="659">
        <f>SUM(F61:F65)</f>
        <v>129</v>
      </c>
      <c r="G66" s="660">
        <f>SUM(G61:G65)</f>
        <v>141</v>
      </c>
    </row>
    <row r="67" spans="1:7">
      <c r="A67" s="667" t="s">
        <v>300</v>
      </c>
      <c r="B67" s="185"/>
      <c r="C67" s="185"/>
      <c r="D67" s="185"/>
      <c r="E67" s="185"/>
      <c r="F67" s="185"/>
      <c r="G67" s="657"/>
    </row>
    <row r="68" spans="1:7">
      <c r="A68" s="656" t="str">
        <f t="shared" ref="A68" si="8">A49</f>
        <v>Distribution</v>
      </c>
      <c r="B68" s="185"/>
      <c r="C68" s="185"/>
      <c r="D68" s="185"/>
      <c r="E68" s="185">
        <f t="shared" ref="E68:G68" si="9">E49</f>
        <v>60</v>
      </c>
      <c r="F68" s="185">
        <f t="shared" si="9"/>
        <v>72</v>
      </c>
      <c r="G68" s="657">
        <f t="shared" si="9"/>
        <v>78</v>
      </c>
    </row>
    <row r="69" spans="1:7">
      <c r="A69" s="656" t="str">
        <f t="shared" ref="A69" si="10">A50</f>
        <v>Increase in cash</v>
      </c>
      <c r="B69" s="185"/>
      <c r="C69" s="185"/>
      <c r="D69" s="185"/>
      <c r="E69" s="185">
        <f t="shared" ref="E69:G69" si="11">E50</f>
        <v>20</v>
      </c>
      <c r="F69" s="185">
        <f t="shared" si="11"/>
        <v>22</v>
      </c>
      <c r="G69" s="657">
        <f t="shared" si="11"/>
        <v>25</v>
      </c>
    </row>
    <row r="70" spans="1:7">
      <c r="A70" s="656" t="str">
        <f t="shared" ref="A70" si="12">A51</f>
        <v>Redemption of debt</v>
      </c>
      <c r="B70" s="185"/>
      <c r="C70" s="185"/>
      <c r="D70" s="185"/>
      <c r="E70" s="185">
        <f t="shared" ref="E70:G70" si="13">E51</f>
        <v>10</v>
      </c>
      <c r="F70" s="185">
        <f t="shared" si="13"/>
        <v>11</v>
      </c>
      <c r="G70" s="657">
        <f t="shared" si="13"/>
        <v>11</v>
      </c>
    </row>
    <row r="71" spans="1:7">
      <c r="A71" s="656" t="str">
        <f t="shared" ref="A71" si="14">A52</f>
        <v>XXX</v>
      </c>
      <c r="B71" s="185"/>
      <c r="C71" s="185"/>
      <c r="D71" s="185"/>
      <c r="E71" s="185">
        <f t="shared" ref="E71:G71" si="15">E52</f>
        <v>12</v>
      </c>
      <c r="F71" s="185">
        <f t="shared" si="15"/>
        <v>14</v>
      </c>
      <c r="G71" s="657">
        <f t="shared" si="15"/>
        <v>17</v>
      </c>
    </row>
    <row r="72" spans="1:7">
      <c r="A72" s="656" t="str">
        <f t="shared" ref="A72" si="16">A53</f>
        <v>Other</v>
      </c>
      <c r="B72" s="185"/>
      <c r="C72" s="185"/>
      <c r="D72" s="185"/>
      <c r="E72" s="185">
        <f t="shared" ref="E72:G72" si="17">E53</f>
        <v>14</v>
      </c>
      <c r="F72" s="185">
        <f t="shared" si="17"/>
        <v>10</v>
      </c>
      <c r="G72" s="657">
        <f t="shared" si="17"/>
        <v>10</v>
      </c>
    </row>
    <row r="73" spans="1:7" ht="12" thickBot="1">
      <c r="A73" s="658" t="s">
        <v>74</v>
      </c>
      <c r="B73" s="659"/>
      <c r="C73" s="659"/>
      <c r="D73" s="659"/>
      <c r="E73" s="659">
        <f>SUM(E68:E72)</f>
        <v>116</v>
      </c>
      <c r="F73" s="659">
        <f t="shared" ref="F73:G73" si="18">SUM(F68:F72)</f>
        <v>129</v>
      </c>
      <c r="G73" s="660">
        <f t="shared" si="18"/>
        <v>141</v>
      </c>
    </row>
    <row r="74" spans="1:7" ht="14.25">
      <c r="A74" s="157"/>
      <c r="B74" s="157"/>
      <c r="C74" s="157"/>
      <c r="D74" s="157"/>
    </row>
    <row r="75" spans="1:7" ht="14.25">
      <c r="A75" s="157"/>
      <c r="B75" s="157"/>
      <c r="C75" s="157"/>
      <c r="D75" s="157"/>
    </row>
    <row r="76" spans="1:7" s="357" customFormat="1" ht="20.25" customHeight="1">
      <c r="A76" s="358" t="s">
        <v>105</v>
      </c>
    </row>
    <row r="77" spans="1:7" ht="14.25">
      <c r="A77" s="157"/>
      <c r="B77" s="157"/>
      <c r="C77" s="157"/>
      <c r="D77" s="157"/>
    </row>
    <row r="78" spans="1:7" ht="14.25">
      <c r="A78" s="157"/>
      <c r="B78" s="157"/>
      <c r="C78" s="157"/>
      <c r="D78" s="157"/>
    </row>
    <row r="79" spans="1:7">
      <c r="A79" s="27" t="str">
        <f>Input!E4</f>
        <v>€m</v>
      </c>
      <c r="E79" s="27">
        <f>Input!H68</f>
        <v>2013</v>
      </c>
      <c r="F79" s="27">
        <f>Input!I68</f>
        <v>2014</v>
      </c>
      <c r="G79" s="27">
        <f>Input!J68</f>
        <v>2015</v>
      </c>
    </row>
    <row r="80" spans="1:7">
      <c r="A80" s="27" t="s">
        <v>304</v>
      </c>
      <c r="E80" s="92">
        <v>75</v>
      </c>
      <c r="F80" s="187">
        <f>E85</f>
        <v>90</v>
      </c>
      <c r="G80" s="187">
        <f>F85</f>
        <v>106</v>
      </c>
    </row>
    <row r="81" spans="1:7">
      <c r="A81" s="92" t="s">
        <v>305</v>
      </c>
      <c r="E81" s="92">
        <v>-10</v>
      </c>
      <c r="F81" s="92">
        <v>-11</v>
      </c>
      <c r="G81" s="92">
        <v>-11</v>
      </c>
    </row>
    <row r="82" spans="1:7">
      <c r="A82" s="92" t="s">
        <v>306</v>
      </c>
      <c r="E82" s="92">
        <v>0</v>
      </c>
      <c r="F82" s="92">
        <v>0</v>
      </c>
      <c r="G82" s="92">
        <v>0</v>
      </c>
    </row>
    <row r="83" spans="1:7">
      <c r="A83" s="92" t="s">
        <v>307</v>
      </c>
      <c r="E83" s="92">
        <v>20</v>
      </c>
      <c r="F83" s="92">
        <v>22</v>
      </c>
      <c r="G83" s="92">
        <v>25</v>
      </c>
    </row>
    <row r="84" spans="1:7">
      <c r="A84" s="92" t="s">
        <v>308</v>
      </c>
      <c r="E84" s="92">
        <v>5</v>
      </c>
      <c r="F84" s="92">
        <v>5</v>
      </c>
      <c r="G84" s="92">
        <v>5</v>
      </c>
    </row>
    <row r="85" spans="1:7">
      <c r="A85" s="27" t="s">
        <v>309</v>
      </c>
      <c r="E85" s="180">
        <f>SUM(E80:E84)</f>
        <v>90</v>
      </c>
      <c r="F85" s="180">
        <f t="shared" ref="F85:G85" si="19">SUM(F80:F84)</f>
        <v>106</v>
      </c>
      <c r="G85" s="180">
        <f t="shared" si="19"/>
        <v>125</v>
      </c>
    </row>
    <row r="86" spans="1:7">
      <c r="A86" s="121" t="s">
        <v>106</v>
      </c>
      <c r="B86" s="121"/>
      <c r="C86" s="121"/>
      <c r="D86" s="121"/>
      <c r="E86" s="121">
        <f>E85-SUM(E80:E84)</f>
        <v>0</v>
      </c>
      <c r="F86" s="121">
        <f t="shared" ref="F86:G86" si="20">F85-SUM(F80:F84)</f>
        <v>0</v>
      </c>
      <c r="G86" s="121">
        <f t="shared" si="20"/>
        <v>0</v>
      </c>
    </row>
    <row r="87" spans="1:7" ht="14.25">
      <c r="A87" s="157"/>
      <c r="B87" s="157"/>
      <c r="C87" s="157"/>
      <c r="D87" s="157"/>
    </row>
    <row r="88" spans="1:7" ht="14.25">
      <c r="A88" s="157"/>
      <c r="B88" s="157"/>
      <c r="C88" s="157"/>
      <c r="D88" s="157"/>
    </row>
    <row r="89" spans="1:7" ht="19.5" customHeight="1">
      <c r="A89" s="350" t="s">
        <v>293</v>
      </c>
      <c r="B89" s="350"/>
      <c r="C89" s="350"/>
      <c r="D89" s="350"/>
      <c r="E89" s="350"/>
      <c r="F89" s="350"/>
      <c r="G89" s="350"/>
    </row>
    <row r="90" spans="1:7">
      <c r="A90" s="675" t="str">
        <f>A79</f>
        <v>€m</v>
      </c>
      <c r="B90" s="673"/>
      <c r="C90" s="673"/>
      <c r="D90" s="673"/>
      <c r="E90" s="673">
        <f t="shared" ref="E90:G90" si="21">E79</f>
        <v>2013</v>
      </c>
      <c r="F90" s="673">
        <f t="shared" si="21"/>
        <v>2014</v>
      </c>
      <c r="G90" s="674">
        <f t="shared" si="21"/>
        <v>2015</v>
      </c>
    </row>
    <row r="91" spans="1:7">
      <c r="A91" s="676" t="str">
        <f t="shared" ref="A91:A96" si="22">A80</f>
        <v>Opening balance of the net debt</v>
      </c>
      <c r="B91" s="672"/>
      <c r="C91" s="672"/>
      <c r="D91" s="672"/>
      <c r="E91" s="678">
        <f t="shared" ref="E91" si="23">E80</f>
        <v>75</v>
      </c>
      <c r="F91" s="678">
        <f>E96</f>
        <v>90</v>
      </c>
      <c r="G91" s="679">
        <f>F96</f>
        <v>106</v>
      </c>
    </row>
    <row r="92" spans="1:7">
      <c r="A92" s="677" t="str">
        <f t="shared" si="22"/>
        <v>- Redemption of debt</v>
      </c>
      <c r="B92" s="185"/>
      <c r="C92" s="185"/>
      <c r="D92" s="185"/>
      <c r="E92" s="661">
        <f t="shared" ref="E92:G92" si="24">E81</f>
        <v>-10</v>
      </c>
      <c r="F92" s="661">
        <f t="shared" si="24"/>
        <v>-11</v>
      </c>
      <c r="G92" s="663">
        <f t="shared" si="24"/>
        <v>-11</v>
      </c>
    </row>
    <row r="93" spans="1:7">
      <c r="A93" s="677" t="str">
        <f t="shared" si="22"/>
        <v>+ Increase of debt</v>
      </c>
      <c r="B93" s="185"/>
      <c r="C93" s="185"/>
      <c r="D93" s="185"/>
      <c r="E93" s="661">
        <f t="shared" ref="E93:G93" si="25">E82</f>
        <v>0</v>
      </c>
      <c r="F93" s="661">
        <f t="shared" si="25"/>
        <v>0</v>
      </c>
      <c r="G93" s="663">
        <f t="shared" si="25"/>
        <v>0</v>
      </c>
    </row>
    <row r="94" spans="1:7">
      <c r="A94" s="677" t="str">
        <f t="shared" si="22"/>
        <v>+/- Change in cash and cash equivalents</v>
      </c>
      <c r="B94" s="185"/>
      <c r="C94" s="185"/>
      <c r="D94" s="185"/>
      <c r="E94" s="661">
        <f t="shared" ref="E94:G94" si="26">E83</f>
        <v>20</v>
      </c>
      <c r="F94" s="661">
        <f t="shared" si="26"/>
        <v>22</v>
      </c>
      <c r="G94" s="663">
        <f t="shared" si="26"/>
        <v>25</v>
      </c>
    </row>
    <row r="95" spans="1:7">
      <c r="A95" s="677" t="str">
        <f t="shared" si="22"/>
        <v>+/- XXX</v>
      </c>
      <c r="B95" s="185"/>
      <c r="C95" s="185"/>
      <c r="D95" s="185"/>
      <c r="E95" s="661">
        <f t="shared" ref="E95:G95" si="27">E84</f>
        <v>5</v>
      </c>
      <c r="F95" s="661">
        <f t="shared" si="27"/>
        <v>5</v>
      </c>
      <c r="G95" s="663">
        <f t="shared" si="27"/>
        <v>5</v>
      </c>
    </row>
    <row r="96" spans="1:7" ht="12" thickBot="1">
      <c r="A96" s="658" t="str">
        <f t="shared" si="22"/>
        <v>Closing balance of the net debt</v>
      </c>
      <c r="B96" s="659"/>
      <c r="C96" s="659"/>
      <c r="D96" s="659"/>
      <c r="E96" s="664">
        <f>SUM(E91:E95)</f>
        <v>90</v>
      </c>
      <c r="F96" s="664">
        <f t="shared" ref="F96" si="28">SUM(F91:F95)</f>
        <v>106</v>
      </c>
      <c r="G96" s="666">
        <f t="shared" ref="G96" si="29">SUM(G91:G95)</f>
        <v>125</v>
      </c>
    </row>
    <row r="99" spans="1:7" s="357" customFormat="1" ht="20.25" customHeight="1">
      <c r="A99" s="358" t="s">
        <v>105</v>
      </c>
    </row>
    <row r="101" spans="1:7">
      <c r="A101" s="160" t="s">
        <v>93</v>
      </c>
      <c r="B101" s="163"/>
      <c r="C101" s="163"/>
      <c r="D101" s="163"/>
      <c r="E101" s="163"/>
      <c r="F101" s="163"/>
      <c r="G101" s="163"/>
    </row>
    <row r="102" spans="1:7">
      <c r="A102" s="163" t="str">
        <f>Input!E4</f>
        <v>€m</v>
      </c>
      <c r="B102" s="163">
        <f>Input!E68</f>
        <v>2010</v>
      </c>
      <c r="C102" s="163">
        <f>Input!F68</f>
        <v>2011</v>
      </c>
      <c r="D102" s="163">
        <f>Input!G68</f>
        <v>2012</v>
      </c>
      <c r="E102" s="163">
        <f>Input!H68</f>
        <v>2013</v>
      </c>
      <c r="F102" s="163">
        <f>Input!I68</f>
        <v>2014</v>
      </c>
      <c r="G102" s="163">
        <f>Input!J68</f>
        <v>2015</v>
      </c>
    </row>
    <row r="103" spans="1:7">
      <c r="A103" s="163"/>
      <c r="B103" s="186" t="str">
        <f>Input!E69</f>
        <v>Actual</v>
      </c>
      <c r="C103" s="192" t="str">
        <f>Input!F69</f>
        <v>Actual</v>
      </c>
      <c r="D103" s="186" t="str">
        <f>Input!G69</f>
        <v>Actual</v>
      </c>
      <c r="E103" s="186" t="str">
        <f>Input!H69</f>
        <v>Plan</v>
      </c>
      <c r="F103" s="192" t="str">
        <f>Input!I69</f>
        <v>Plan</v>
      </c>
      <c r="G103" s="186" t="str">
        <f>Input!J69</f>
        <v>Plan</v>
      </c>
    </row>
    <row r="104" spans="1:7">
      <c r="A104" s="163" t="s">
        <v>604</v>
      </c>
      <c r="B104" s="189">
        <f t="shared" ref="B104:G104" si="30">B113/B115</f>
        <v>2.9166666666666665</v>
      </c>
      <c r="C104" s="189">
        <f t="shared" si="30"/>
        <v>2.8461538461538463</v>
      </c>
      <c r="D104" s="189">
        <f t="shared" si="30"/>
        <v>2.2222222222222223</v>
      </c>
      <c r="E104" s="189">
        <f t="shared" si="30"/>
        <v>2</v>
      </c>
      <c r="F104" s="189">
        <f t="shared" si="30"/>
        <v>2.375</v>
      </c>
      <c r="G104" s="189">
        <f t="shared" si="30"/>
        <v>2.1111111111111112</v>
      </c>
    </row>
    <row r="105" spans="1:7">
      <c r="A105" s="163" t="s">
        <v>310</v>
      </c>
      <c r="B105" s="189">
        <f t="shared" ref="B105:G105" si="31">B115/B114</f>
        <v>1</v>
      </c>
      <c r="C105" s="189">
        <f t="shared" si="31"/>
        <v>1.0317460317460319</v>
      </c>
      <c r="D105" s="189">
        <f t="shared" si="31"/>
        <v>1.35</v>
      </c>
      <c r="E105" s="189">
        <f t="shared" si="31"/>
        <v>1.3636363636363635</v>
      </c>
      <c r="F105" s="189">
        <f t="shared" si="31"/>
        <v>1.103448275862069</v>
      </c>
      <c r="G105" s="189">
        <f t="shared" si="31"/>
        <v>1.125</v>
      </c>
    </row>
    <row r="106" spans="1:7">
      <c r="A106" s="163" t="s">
        <v>311</v>
      </c>
      <c r="B106" s="191">
        <v>1.8</v>
      </c>
      <c r="C106" s="191">
        <v>1.8</v>
      </c>
      <c r="D106" s="191">
        <v>1.9</v>
      </c>
      <c r="E106" s="191">
        <v>1.8</v>
      </c>
      <c r="F106" s="191">
        <v>1.9</v>
      </c>
      <c r="G106" s="191">
        <v>1.8</v>
      </c>
    </row>
    <row r="107" spans="1:7">
      <c r="A107" s="163"/>
      <c r="B107" s="189"/>
      <c r="C107" s="189"/>
      <c r="D107" s="189"/>
      <c r="E107" s="189"/>
      <c r="F107" s="189"/>
      <c r="G107" s="189"/>
    </row>
    <row r="108" spans="1:7" ht="22.5">
      <c r="A108" s="347" t="s">
        <v>606</v>
      </c>
      <c r="B108" s="191">
        <v>2.1</v>
      </c>
      <c r="C108" s="189">
        <f t="shared" ref="C108:G110" si="32">B108</f>
        <v>2.1</v>
      </c>
      <c r="D108" s="189">
        <f t="shared" si="32"/>
        <v>2.1</v>
      </c>
      <c r="E108" s="189">
        <f t="shared" si="32"/>
        <v>2.1</v>
      </c>
      <c r="F108" s="189">
        <f t="shared" si="32"/>
        <v>2.1</v>
      </c>
      <c r="G108" s="189">
        <f t="shared" si="32"/>
        <v>2.1</v>
      </c>
    </row>
    <row r="109" spans="1:7" ht="22.5">
      <c r="A109" s="347" t="s">
        <v>605</v>
      </c>
      <c r="B109" s="191">
        <v>1.5</v>
      </c>
      <c r="C109" s="189">
        <f t="shared" si="32"/>
        <v>1.5</v>
      </c>
      <c r="D109" s="189">
        <f t="shared" si="32"/>
        <v>1.5</v>
      </c>
      <c r="E109" s="189">
        <f t="shared" si="32"/>
        <v>1.5</v>
      </c>
      <c r="F109" s="189">
        <f t="shared" si="32"/>
        <v>1.5</v>
      </c>
      <c r="G109" s="189">
        <f t="shared" si="32"/>
        <v>1.5</v>
      </c>
    </row>
    <row r="110" spans="1:7">
      <c r="A110" s="163" t="s">
        <v>312</v>
      </c>
      <c r="B110" s="191">
        <v>1.1000000000000001</v>
      </c>
      <c r="C110" s="189">
        <f t="shared" si="32"/>
        <v>1.1000000000000001</v>
      </c>
      <c r="D110" s="189">
        <f t="shared" si="32"/>
        <v>1.1000000000000001</v>
      </c>
      <c r="E110" s="189">
        <f t="shared" si="32"/>
        <v>1.1000000000000001</v>
      </c>
      <c r="F110" s="189">
        <f t="shared" si="32"/>
        <v>1.1000000000000001</v>
      </c>
      <c r="G110" s="189">
        <f t="shared" si="32"/>
        <v>1.1000000000000001</v>
      </c>
    </row>
    <row r="111" spans="1:7" ht="14.25">
      <c r="A111" s="157"/>
      <c r="B111" s="190"/>
      <c r="C111" s="190"/>
      <c r="D111" s="190"/>
      <c r="E111" s="190"/>
      <c r="F111" s="190"/>
      <c r="G111" s="190"/>
    </row>
    <row r="112" spans="1:7" ht="14.25">
      <c r="A112" s="157"/>
      <c r="B112" s="190"/>
      <c r="C112" s="190"/>
      <c r="D112" s="190"/>
      <c r="E112" s="190"/>
      <c r="F112" s="190"/>
      <c r="G112" s="190"/>
    </row>
    <row r="113" spans="1:13">
      <c r="A113" s="163" t="s">
        <v>313</v>
      </c>
      <c r="B113" s="191">
        <v>35</v>
      </c>
      <c r="C113" s="191">
        <v>37</v>
      </c>
      <c r="D113" s="191">
        <v>30</v>
      </c>
      <c r="E113" s="191">
        <v>30</v>
      </c>
      <c r="F113" s="191">
        <v>38</v>
      </c>
      <c r="G113" s="191">
        <v>38</v>
      </c>
    </row>
    <row r="114" spans="1:13">
      <c r="A114" s="163" t="s">
        <v>314</v>
      </c>
      <c r="B114" s="191">
        <v>12</v>
      </c>
      <c r="C114" s="191">
        <v>12.6</v>
      </c>
      <c r="D114" s="191">
        <v>10</v>
      </c>
      <c r="E114" s="191">
        <v>11</v>
      </c>
      <c r="F114" s="191">
        <v>14.5</v>
      </c>
      <c r="G114" s="191">
        <v>16</v>
      </c>
    </row>
    <row r="115" spans="1:13">
      <c r="A115" s="163" t="s">
        <v>0</v>
      </c>
      <c r="B115" s="189">
        <f>Input!E73</f>
        <v>12</v>
      </c>
      <c r="C115" s="189">
        <f>Input!F73</f>
        <v>13</v>
      </c>
      <c r="D115" s="189">
        <f>Input!G73</f>
        <v>13.5</v>
      </c>
      <c r="E115" s="189">
        <f>Input!H73</f>
        <v>15</v>
      </c>
      <c r="F115" s="189">
        <f>Input!I73</f>
        <v>16</v>
      </c>
      <c r="G115" s="189">
        <f>Input!J73</f>
        <v>18</v>
      </c>
    </row>
    <row r="116" spans="1:13">
      <c r="A116" s="163"/>
      <c r="B116" s="163"/>
      <c r="C116" s="163"/>
      <c r="D116" s="163"/>
      <c r="E116" s="163"/>
      <c r="F116" s="163"/>
      <c r="G116" s="163"/>
    </row>
    <row r="122" spans="1:13" s="357" customFormat="1" ht="20.25" customHeight="1">
      <c r="A122" s="358" t="s">
        <v>107</v>
      </c>
    </row>
    <row r="124" spans="1:13">
      <c r="A124" s="160" t="s">
        <v>93</v>
      </c>
      <c r="B124" s="163"/>
      <c r="C124" s="163"/>
      <c r="D124" s="163"/>
      <c r="E124" s="163"/>
      <c r="F124" s="163"/>
      <c r="G124" s="163"/>
      <c r="H124" s="163"/>
      <c r="I124" s="163"/>
      <c r="J124" s="163"/>
      <c r="K124" s="163"/>
      <c r="L124" s="163"/>
      <c r="M124" s="163"/>
    </row>
    <row r="125" spans="1:13">
      <c r="A125" s="163" t="str">
        <f>Input!E4</f>
        <v>€m</v>
      </c>
      <c r="B125" s="813">
        <f>Input!H68</f>
        <v>2013</v>
      </c>
      <c r="C125" s="813"/>
      <c r="D125" s="813"/>
      <c r="E125" s="813"/>
      <c r="F125" s="813">
        <f>Input!I68</f>
        <v>2014</v>
      </c>
      <c r="G125" s="813"/>
      <c r="H125" s="813"/>
      <c r="I125" s="813"/>
      <c r="J125" s="813">
        <f>Input!J68</f>
        <v>2015</v>
      </c>
      <c r="K125" s="813"/>
      <c r="L125" s="813"/>
      <c r="M125" s="813"/>
    </row>
    <row r="126" spans="1:13">
      <c r="A126" s="163"/>
      <c r="B126" s="186" t="s">
        <v>315</v>
      </c>
      <c r="C126" s="186" t="s">
        <v>316</v>
      </c>
      <c r="D126" s="186" t="s">
        <v>317</v>
      </c>
      <c r="E126" s="186" t="s">
        <v>318</v>
      </c>
      <c r="F126" s="186" t="str">
        <f>B126</f>
        <v>Q1</v>
      </c>
      <c r="G126" s="186" t="str">
        <f t="shared" ref="G126:M126" si="33">C126</f>
        <v>Q2</v>
      </c>
      <c r="H126" s="186" t="str">
        <f t="shared" si="33"/>
        <v>Q3</v>
      </c>
      <c r="I126" s="186" t="str">
        <f t="shared" si="33"/>
        <v>Q4</v>
      </c>
      <c r="J126" s="186" t="str">
        <f t="shared" si="33"/>
        <v>Q1</v>
      </c>
      <c r="K126" s="186" t="str">
        <f t="shared" si="33"/>
        <v>Q2</v>
      </c>
      <c r="L126" s="186" t="str">
        <f t="shared" si="33"/>
        <v>Q3</v>
      </c>
      <c r="M126" s="186" t="str">
        <f t="shared" si="33"/>
        <v>Q4</v>
      </c>
    </row>
    <row r="127" spans="1:13">
      <c r="A127" s="188" t="s">
        <v>319</v>
      </c>
      <c r="B127" s="188">
        <v>25</v>
      </c>
      <c r="C127" s="188">
        <v>25</v>
      </c>
      <c r="D127" s="188">
        <v>25</v>
      </c>
      <c r="E127" s="188">
        <v>25</v>
      </c>
      <c r="F127" s="188">
        <v>25</v>
      </c>
      <c r="G127" s="188">
        <v>25</v>
      </c>
      <c r="H127" s="188">
        <v>25</v>
      </c>
      <c r="I127" s="188">
        <v>25</v>
      </c>
      <c r="J127" s="188">
        <v>25</v>
      </c>
      <c r="K127" s="188">
        <v>25</v>
      </c>
      <c r="L127" s="188">
        <v>25</v>
      </c>
      <c r="M127" s="188">
        <v>25</v>
      </c>
    </row>
    <row r="128" spans="1:13">
      <c r="A128" s="163" t="s">
        <v>320</v>
      </c>
      <c r="B128" s="188">
        <v>10</v>
      </c>
      <c r="C128" s="188">
        <v>12</v>
      </c>
      <c r="D128" s="188">
        <v>13</v>
      </c>
      <c r="E128" s="188">
        <v>15</v>
      </c>
      <c r="F128" s="188">
        <v>16</v>
      </c>
      <c r="G128" s="188">
        <v>17</v>
      </c>
      <c r="H128" s="188">
        <v>18</v>
      </c>
      <c r="I128" s="188">
        <v>18</v>
      </c>
      <c r="J128" s="188">
        <v>19</v>
      </c>
      <c r="K128" s="188">
        <v>20</v>
      </c>
      <c r="L128" s="188">
        <v>21</v>
      </c>
      <c r="M128" s="188">
        <v>22</v>
      </c>
    </row>
    <row r="149" spans="1:7" s="357" customFormat="1" ht="20.25" customHeight="1">
      <c r="A149" s="358" t="s">
        <v>108</v>
      </c>
    </row>
    <row r="151" spans="1:7">
      <c r="A151" s="160" t="s">
        <v>93</v>
      </c>
      <c r="B151" s="163"/>
      <c r="C151" s="163"/>
      <c r="D151" s="163"/>
      <c r="E151" s="163"/>
      <c r="F151" s="163"/>
      <c r="G151" s="163"/>
    </row>
    <row r="152" spans="1:7">
      <c r="A152" s="163"/>
      <c r="B152" s="186">
        <f>Input!E68</f>
        <v>2010</v>
      </c>
      <c r="C152" s="186">
        <f>Input!F68</f>
        <v>2011</v>
      </c>
      <c r="D152" s="186">
        <f>Input!G68</f>
        <v>2012</v>
      </c>
      <c r="E152" s="186">
        <f>Input!H68</f>
        <v>2013</v>
      </c>
      <c r="F152" s="186">
        <f>Input!I68</f>
        <v>2014</v>
      </c>
      <c r="G152" s="186">
        <f>Input!J68</f>
        <v>2015</v>
      </c>
    </row>
    <row r="153" spans="1:7">
      <c r="A153" s="163" t="s">
        <v>97</v>
      </c>
      <c r="B153" s="186" t="str">
        <f>Input!E69</f>
        <v>Actual</v>
      </c>
      <c r="C153" s="192" t="str">
        <f>Input!F69</f>
        <v>Actual</v>
      </c>
      <c r="D153" s="186" t="str">
        <f>Input!G69</f>
        <v>Actual</v>
      </c>
      <c r="E153" s="186" t="str">
        <f>Input!H69</f>
        <v>Plan</v>
      </c>
      <c r="F153" s="192" t="str">
        <f>Input!I69</f>
        <v>Plan</v>
      </c>
      <c r="G153" s="186" t="str">
        <f>Input!J69</f>
        <v>Plan</v>
      </c>
    </row>
    <row r="154" spans="1:7">
      <c r="A154" s="188" t="s">
        <v>334</v>
      </c>
      <c r="B154" s="188">
        <v>60</v>
      </c>
      <c r="C154" s="188">
        <v>64</v>
      </c>
      <c r="D154" s="188">
        <v>67</v>
      </c>
      <c r="E154" s="188">
        <v>68</v>
      </c>
      <c r="F154" s="188">
        <v>69</v>
      </c>
      <c r="G154" s="188">
        <v>72</v>
      </c>
    </row>
    <row r="155" spans="1:7">
      <c r="A155" s="188" t="s">
        <v>335</v>
      </c>
      <c r="B155" s="188">
        <v>50</v>
      </c>
      <c r="C155" s="188">
        <v>55</v>
      </c>
      <c r="D155" s="188">
        <v>58</v>
      </c>
      <c r="E155" s="188">
        <v>60</v>
      </c>
      <c r="F155" s="188">
        <v>62</v>
      </c>
      <c r="G155" s="188">
        <v>65</v>
      </c>
    </row>
    <row r="156" spans="1:7">
      <c r="A156" s="163" t="s">
        <v>321</v>
      </c>
      <c r="B156" s="163">
        <f>B154-B155</f>
        <v>10</v>
      </c>
      <c r="C156" s="163">
        <f t="shared" ref="C156:G156" si="34">C154-C155</f>
        <v>9</v>
      </c>
      <c r="D156" s="163">
        <f t="shared" si="34"/>
        <v>9</v>
      </c>
      <c r="E156" s="163">
        <f t="shared" si="34"/>
        <v>8</v>
      </c>
      <c r="F156" s="163">
        <f t="shared" si="34"/>
        <v>7</v>
      </c>
      <c r="G156" s="163">
        <f t="shared" si="34"/>
        <v>7</v>
      </c>
    </row>
  </sheetData>
  <mergeCells count="5">
    <mergeCell ref="J125:M125"/>
    <mergeCell ref="B28:D28"/>
    <mergeCell ref="E28:G28"/>
    <mergeCell ref="B125:E125"/>
    <mergeCell ref="F125:I125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I118"/>
  <sheetViews>
    <sheetView topLeftCell="A92" zoomScale="130" zoomScaleNormal="130" workbookViewId="0">
      <selection activeCell="O91" sqref="O91"/>
    </sheetView>
  </sheetViews>
  <sheetFormatPr defaultColWidth="11.5" defaultRowHeight="11.25"/>
  <cols>
    <col min="1" max="1" width="19.83203125" style="27" customWidth="1"/>
    <col min="2" max="7" width="6.6640625" style="27" customWidth="1"/>
    <col min="8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80</v>
      </c>
    </row>
    <row r="2" spans="1:7" ht="20.25" customHeight="1">
      <c r="A2" s="48" t="s">
        <v>369</v>
      </c>
    </row>
    <row r="3" spans="1:7" ht="20.25" customHeight="1">
      <c r="A3" s="48" t="s">
        <v>370</v>
      </c>
    </row>
    <row r="4" spans="1:7" ht="20.25" customHeight="1">
      <c r="A4" s="48"/>
    </row>
    <row r="5" spans="1:7" ht="20.25" customHeight="1">
      <c r="A5" s="48"/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4" spans="1:7">
      <c r="A14" s="160" t="s">
        <v>93</v>
      </c>
      <c r="B14" s="163"/>
      <c r="C14" s="163"/>
      <c r="D14" s="163"/>
      <c r="E14" s="163"/>
      <c r="F14" s="163"/>
      <c r="G14" s="163"/>
    </row>
    <row r="15" spans="1:7">
      <c r="A15" s="160"/>
      <c r="B15" s="186">
        <f>Input!E68</f>
        <v>2010</v>
      </c>
      <c r="C15" s="186">
        <f>Input!F68</f>
        <v>2011</v>
      </c>
      <c r="D15" s="186">
        <f>Input!G68</f>
        <v>2012</v>
      </c>
      <c r="E15" s="186">
        <f>Input!H68</f>
        <v>2013</v>
      </c>
      <c r="F15" s="186">
        <f>Input!I68</f>
        <v>2014</v>
      </c>
      <c r="G15" s="186">
        <f>Input!J68</f>
        <v>2015</v>
      </c>
    </row>
    <row r="16" spans="1:7">
      <c r="A16" s="188" t="s">
        <v>372</v>
      </c>
      <c r="B16" s="186" t="str">
        <f>Input!E69</f>
        <v>Actual</v>
      </c>
      <c r="C16" s="192" t="str">
        <f>Input!F69</f>
        <v>Actual</v>
      </c>
      <c r="D16" s="186" t="str">
        <f>Input!G69</f>
        <v>Actual</v>
      </c>
      <c r="E16" s="186" t="str">
        <f>Input!H69</f>
        <v>Plan</v>
      </c>
      <c r="F16" s="192" t="str">
        <f>Input!I69</f>
        <v>Plan</v>
      </c>
      <c r="G16" s="186" t="str">
        <f>Input!J69</f>
        <v>Plan</v>
      </c>
    </row>
    <row r="17" spans="1:7">
      <c r="A17" s="163" t="s">
        <v>355</v>
      </c>
      <c r="B17" s="188">
        <v>10</v>
      </c>
      <c r="C17" s="188">
        <v>11.5</v>
      </c>
      <c r="D17" s="188">
        <v>12.5</v>
      </c>
      <c r="E17" s="188">
        <v>14</v>
      </c>
      <c r="F17" s="188">
        <v>15.5</v>
      </c>
      <c r="G17" s="188">
        <v>17</v>
      </c>
    </row>
    <row r="18" spans="1:7">
      <c r="A18" s="163" t="s">
        <v>356</v>
      </c>
      <c r="B18" s="188">
        <v>15</v>
      </c>
      <c r="C18" s="188">
        <f>B18</f>
        <v>15</v>
      </c>
      <c r="D18" s="188">
        <f>C18</f>
        <v>15</v>
      </c>
      <c r="E18" s="188">
        <v>18</v>
      </c>
      <c r="F18" s="188">
        <v>20</v>
      </c>
      <c r="G18" s="188">
        <v>22</v>
      </c>
    </row>
    <row r="19" spans="1:7">
      <c r="A19" s="163" t="s">
        <v>357</v>
      </c>
      <c r="B19" s="200">
        <f t="shared" ref="B19:G19" si="0">B17/B18</f>
        <v>0.66666666666666663</v>
      </c>
      <c r="C19" s="200">
        <f t="shared" si="0"/>
        <v>0.76666666666666672</v>
      </c>
      <c r="D19" s="200">
        <f t="shared" si="0"/>
        <v>0.83333333333333337</v>
      </c>
      <c r="E19" s="200">
        <f t="shared" si="0"/>
        <v>0.77777777777777779</v>
      </c>
      <c r="F19" s="200">
        <f t="shared" si="0"/>
        <v>0.77500000000000002</v>
      </c>
      <c r="G19" s="200">
        <f t="shared" si="0"/>
        <v>0.77272727272727271</v>
      </c>
    </row>
    <row r="33" spans="1:7" s="357" customFormat="1" ht="20.25" customHeight="1">
      <c r="A33" s="358" t="s">
        <v>114</v>
      </c>
    </row>
    <row r="35" spans="1:7">
      <c r="A35" s="160" t="s">
        <v>93</v>
      </c>
      <c r="B35" s="163"/>
      <c r="C35" s="163"/>
      <c r="D35" s="163"/>
      <c r="E35" s="163"/>
      <c r="F35" s="163"/>
      <c r="G35" s="163"/>
    </row>
    <row r="36" spans="1:7">
      <c r="A36" s="160"/>
      <c r="B36" s="186">
        <f>Input!E68</f>
        <v>2010</v>
      </c>
      <c r="C36" s="186">
        <f>Input!F68</f>
        <v>2011</v>
      </c>
      <c r="D36" s="186">
        <f>Input!G68</f>
        <v>2012</v>
      </c>
      <c r="E36" s="186">
        <f>Input!H68</f>
        <v>2013</v>
      </c>
      <c r="F36" s="186">
        <f>Input!I68</f>
        <v>2014</v>
      </c>
      <c r="G36" s="186">
        <f>Input!J68</f>
        <v>2015</v>
      </c>
    </row>
    <row r="37" spans="1:7">
      <c r="A37" s="163" t="str">
        <f>Input!E4</f>
        <v>€m</v>
      </c>
      <c r="B37" s="54" t="str">
        <f>Input!E69</f>
        <v>Actual</v>
      </c>
      <c r="C37" s="29" t="str">
        <f>Input!F69</f>
        <v>Actual</v>
      </c>
      <c r="D37" s="54" t="str">
        <f>Input!G69</f>
        <v>Actual</v>
      </c>
      <c r="E37" s="54" t="str">
        <f>Input!H69</f>
        <v>Plan</v>
      </c>
      <c r="F37" s="29" t="str">
        <f>Input!I69</f>
        <v>Plan</v>
      </c>
      <c r="G37" s="54" t="str">
        <f>Input!J69</f>
        <v>Plan</v>
      </c>
    </row>
    <row r="38" spans="1:7">
      <c r="A38" s="163" t="str">
        <f>Input!D75</f>
        <v>Depreciation</v>
      </c>
      <c r="B38" s="193">
        <f>Input!E75</f>
        <v>5</v>
      </c>
      <c r="C38" s="193">
        <f>Input!F75</f>
        <v>5</v>
      </c>
      <c r="D38" s="193">
        <f>Input!G75</f>
        <v>5</v>
      </c>
      <c r="E38" s="193">
        <f>Input!H75</f>
        <v>5</v>
      </c>
      <c r="F38" s="193">
        <f>Input!I75</f>
        <v>5</v>
      </c>
      <c r="G38" s="193">
        <f>Input!J75</f>
        <v>5</v>
      </c>
    </row>
    <row r="39" spans="1:7">
      <c r="A39" s="163" t="str">
        <f>Input!D80</f>
        <v>Investments</v>
      </c>
      <c r="B39" s="193">
        <f>Input!E80</f>
        <v>3</v>
      </c>
      <c r="C39" s="193">
        <f>Input!F80</f>
        <v>4</v>
      </c>
      <c r="D39" s="193">
        <f>Input!G80</f>
        <v>4.5</v>
      </c>
      <c r="E39" s="193">
        <f>Input!H80</f>
        <v>8</v>
      </c>
      <c r="F39" s="193">
        <f>Input!I80</f>
        <v>9</v>
      </c>
      <c r="G39" s="193">
        <f>Input!J80</f>
        <v>10</v>
      </c>
    </row>
    <row r="40" spans="1:7">
      <c r="A40" s="163" t="str">
        <f>Input!D70</f>
        <v>Sales</v>
      </c>
      <c r="B40" s="163">
        <f>Input!E70</f>
        <v>50</v>
      </c>
      <c r="C40" s="163">
        <f>Input!F70</f>
        <v>54</v>
      </c>
      <c r="D40" s="163">
        <f>Input!G70</f>
        <v>56</v>
      </c>
      <c r="E40" s="163">
        <f>Input!H70</f>
        <v>59</v>
      </c>
      <c r="F40" s="163">
        <f>Input!I70</f>
        <v>61</v>
      </c>
      <c r="G40" s="163">
        <f>Input!J70</f>
        <v>67</v>
      </c>
    </row>
    <row r="41" spans="1:7">
      <c r="A41" s="163"/>
      <c r="B41" s="163"/>
      <c r="C41" s="163"/>
      <c r="D41" s="163"/>
      <c r="E41" s="163"/>
      <c r="F41" s="163"/>
      <c r="G41" s="163"/>
    </row>
    <row r="42" spans="1:7">
      <c r="A42" s="194" t="s">
        <v>351</v>
      </c>
      <c r="B42" s="195"/>
      <c r="C42" s="195"/>
      <c r="D42" s="195"/>
      <c r="E42" s="195"/>
      <c r="F42" s="195"/>
      <c r="G42" s="195"/>
    </row>
    <row r="43" spans="1:7">
      <c r="A43" s="196" t="s">
        <v>597</v>
      </c>
      <c r="B43" s="197">
        <f t="shared" ref="B43:G43" si="1">B39/B40</f>
        <v>0.06</v>
      </c>
      <c r="C43" s="197">
        <f t="shared" si="1"/>
        <v>7.407407407407407E-2</v>
      </c>
      <c r="D43" s="197">
        <f t="shared" si="1"/>
        <v>8.0357142857142863E-2</v>
      </c>
      <c r="E43" s="197">
        <f t="shared" si="1"/>
        <v>0.13559322033898305</v>
      </c>
      <c r="F43" s="197">
        <f t="shared" si="1"/>
        <v>0.14754098360655737</v>
      </c>
      <c r="G43" s="197">
        <f t="shared" si="1"/>
        <v>0.14925373134328357</v>
      </c>
    </row>
    <row r="44" spans="1:7">
      <c r="A44" s="196" t="s">
        <v>59</v>
      </c>
      <c r="B44" s="197">
        <f t="shared" ref="B44:G44" si="2">B38/B40</f>
        <v>0.1</v>
      </c>
      <c r="C44" s="197">
        <f t="shared" si="2"/>
        <v>9.2592592592592587E-2</v>
      </c>
      <c r="D44" s="197">
        <f t="shared" si="2"/>
        <v>8.9285714285714288E-2</v>
      </c>
      <c r="E44" s="197">
        <f t="shared" si="2"/>
        <v>8.4745762711864403E-2</v>
      </c>
      <c r="F44" s="197">
        <f t="shared" si="2"/>
        <v>8.1967213114754092E-2</v>
      </c>
      <c r="G44" s="197">
        <f t="shared" si="2"/>
        <v>7.4626865671641784E-2</v>
      </c>
    </row>
    <row r="45" spans="1:7">
      <c r="A45" s="163" t="s">
        <v>607</v>
      </c>
      <c r="B45" s="198">
        <f>AVERAGE(B43:D43)</f>
        <v>7.1477072310405634E-2</v>
      </c>
      <c r="C45" s="198">
        <f>B45</f>
        <v>7.1477072310405634E-2</v>
      </c>
      <c r="D45" s="198">
        <f>C45</f>
        <v>7.1477072310405634E-2</v>
      </c>
      <c r="E45" s="163"/>
      <c r="F45" s="163"/>
      <c r="G45" s="163"/>
    </row>
    <row r="46" spans="1:7">
      <c r="A46" s="163" t="s">
        <v>608</v>
      </c>
      <c r="B46" s="163"/>
      <c r="C46" s="163"/>
      <c r="D46" s="163"/>
      <c r="E46" s="198">
        <f>AVERAGE(E43:G43)</f>
        <v>0.14412931176294133</v>
      </c>
      <c r="F46" s="198">
        <f>E46</f>
        <v>0.14412931176294133</v>
      </c>
      <c r="G46" s="198">
        <f>F46</f>
        <v>0.14412931176294133</v>
      </c>
    </row>
    <row r="47" spans="1:7">
      <c r="A47" s="163" t="s">
        <v>352</v>
      </c>
      <c r="B47" s="193">
        <f>AVERAGE(B39:D39)</f>
        <v>3.8333333333333335</v>
      </c>
      <c r="C47" s="193">
        <f>B47</f>
        <v>3.8333333333333335</v>
      </c>
      <c r="D47" s="193">
        <f>C47</f>
        <v>3.8333333333333335</v>
      </c>
      <c r="E47" s="163"/>
      <c r="F47" s="163"/>
      <c r="G47" s="163"/>
    </row>
    <row r="48" spans="1:7">
      <c r="A48" s="163" t="s">
        <v>353</v>
      </c>
      <c r="B48" s="163"/>
      <c r="C48" s="163"/>
      <c r="D48" s="163"/>
      <c r="E48" s="193">
        <f>AVERAGE(E39:G39)</f>
        <v>9</v>
      </c>
      <c r="F48" s="193">
        <f>E48</f>
        <v>9</v>
      </c>
      <c r="G48" s="193">
        <f>F48</f>
        <v>9</v>
      </c>
    </row>
    <row r="49" spans="1:7">
      <c r="A49" s="163"/>
      <c r="B49" s="163"/>
      <c r="C49" s="163"/>
      <c r="D49" s="163"/>
      <c r="E49" s="163"/>
      <c r="F49" s="163"/>
      <c r="G49" s="163"/>
    </row>
    <row r="50" spans="1:7">
      <c r="A50" s="163" t="s">
        <v>115</v>
      </c>
      <c r="B50" s="163"/>
      <c r="C50" s="163"/>
      <c r="D50" s="163"/>
      <c r="E50" s="163"/>
      <c r="F50" s="163"/>
      <c r="G50" s="163"/>
    </row>
    <row r="51" spans="1:7">
      <c r="A51" s="164" t="s">
        <v>609</v>
      </c>
      <c r="B51" s="163"/>
      <c r="C51" s="163"/>
      <c r="D51" s="163"/>
      <c r="E51" s="163"/>
      <c r="F51" s="163"/>
      <c r="G51" s="163"/>
    </row>
    <row r="52" spans="1:7">
      <c r="A52" s="164" t="s">
        <v>354</v>
      </c>
      <c r="B52" s="163"/>
      <c r="C52" s="163"/>
      <c r="D52" s="163"/>
      <c r="E52" s="163"/>
      <c r="F52" s="163"/>
      <c r="G52" s="163"/>
    </row>
    <row r="53" spans="1:7">
      <c r="A53" s="164" t="str">
        <f>CONCATENATE(A39, "(",A37,")")</f>
        <v>Investments(€m)</v>
      </c>
    </row>
    <row r="56" spans="1:7" s="357" customFormat="1" ht="20.25" customHeight="1">
      <c r="A56" s="358" t="s">
        <v>105</v>
      </c>
    </row>
    <row r="59" spans="1:7">
      <c r="A59" s="9" t="s">
        <v>122</v>
      </c>
    </row>
    <row r="60" spans="1:7">
      <c r="A60" s="9"/>
      <c r="D60" s="54" t="s">
        <v>374</v>
      </c>
      <c r="E60" s="54"/>
      <c r="F60" s="54"/>
      <c r="G60" s="54"/>
    </row>
    <row r="61" spans="1:7">
      <c r="A61" s="27" t="str">
        <f>Input!E4</f>
        <v>€m</v>
      </c>
      <c r="D61" s="54" t="str">
        <f>CONCATENATE("completion ",Input!G68)</f>
        <v>completion 2012</v>
      </c>
      <c r="E61" s="54">
        <f>Input!H68</f>
        <v>2013</v>
      </c>
      <c r="F61" s="54">
        <f>Input!I68</f>
        <v>2014</v>
      </c>
      <c r="G61" s="54">
        <f>Input!J68</f>
        <v>2015</v>
      </c>
    </row>
    <row r="62" spans="1:7">
      <c r="A62" s="92" t="s">
        <v>359</v>
      </c>
      <c r="D62" s="209">
        <v>0.7</v>
      </c>
      <c r="E62" s="97">
        <v>3</v>
      </c>
      <c r="F62" s="97">
        <v>4.3</v>
      </c>
      <c r="G62" s="97">
        <v>5.2</v>
      </c>
    </row>
    <row r="63" spans="1:7">
      <c r="A63" s="92" t="s">
        <v>360</v>
      </c>
      <c r="D63" s="209">
        <v>0.5</v>
      </c>
      <c r="E63" s="97">
        <v>2</v>
      </c>
      <c r="F63" s="97">
        <v>2.4</v>
      </c>
      <c r="G63" s="97">
        <v>3.3</v>
      </c>
    </row>
    <row r="64" spans="1:7">
      <c r="A64" s="92" t="s">
        <v>361</v>
      </c>
      <c r="D64" s="209">
        <v>0.3</v>
      </c>
      <c r="E64" s="97">
        <v>4.5999999999999996</v>
      </c>
      <c r="F64" s="97">
        <v>5</v>
      </c>
      <c r="G64" s="97">
        <v>5.8</v>
      </c>
    </row>
    <row r="65" spans="1:7">
      <c r="A65" s="27" t="s">
        <v>362</v>
      </c>
      <c r="E65" s="33">
        <f>SUM(E62:E64)</f>
        <v>9.6</v>
      </c>
      <c r="F65" s="33">
        <f>SUM(F62:F64)</f>
        <v>11.7</v>
      </c>
      <c r="G65" s="33">
        <f>SUM(G62:G64)</f>
        <v>14.3</v>
      </c>
    </row>
    <row r="66" spans="1:7">
      <c r="A66" s="27" t="s">
        <v>363</v>
      </c>
      <c r="E66" s="208">
        <f>E65/E68</f>
        <v>0.88073394495412838</v>
      </c>
      <c r="F66" s="208">
        <f>F65/F68</f>
        <v>0.87969924812030076</v>
      </c>
      <c r="G66" s="208">
        <f>G65/G68</f>
        <v>0.88271604938271608</v>
      </c>
    </row>
    <row r="67" spans="1:7">
      <c r="A67" s="27" t="s">
        <v>58</v>
      </c>
      <c r="D67" s="209">
        <v>0.5</v>
      </c>
      <c r="E67" s="97">
        <v>1.3</v>
      </c>
      <c r="F67" s="97">
        <v>1.6</v>
      </c>
      <c r="G67" s="97">
        <v>1.9</v>
      </c>
    </row>
    <row r="68" spans="1:7">
      <c r="A68" s="27" t="s">
        <v>375</v>
      </c>
      <c r="E68" s="33">
        <f>SUM(E65,E67)</f>
        <v>10.9</v>
      </c>
      <c r="F68" s="33">
        <f>SUM(F65,F67)</f>
        <v>13.299999999999999</v>
      </c>
      <c r="G68" s="33">
        <f>SUM(G65,G67)</f>
        <v>16.2</v>
      </c>
    </row>
    <row r="71" spans="1:7" ht="19.5" customHeight="1">
      <c r="A71" s="350" t="s">
        <v>358</v>
      </c>
      <c r="B71" s="350"/>
      <c r="C71" s="350"/>
      <c r="D71" s="350"/>
      <c r="E71" s="350"/>
      <c r="F71" s="350"/>
      <c r="G71" s="350"/>
    </row>
    <row r="72" spans="1:7">
      <c r="A72" s="684"/>
      <c r="B72" s="184"/>
      <c r="C72" s="184"/>
      <c r="D72" s="184" t="str">
        <f>D60</f>
        <v>Degree of</v>
      </c>
      <c r="E72" s="184"/>
      <c r="F72" s="184"/>
      <c r="G72" s="578"/>
    </row>
    <row r="73" spans="1:7">
      <c r="A73" s="584" t="str">
        <f>A61</f>
        <v>€m</v>
      </c>
      <c r="B73" s="585"/>
      <c r="C73" s="585"/>
      <c r="D73" s="585" t="str">
        <f t="shared" ref="D73:G73" si="3">D61</f>
        <v>completion 2012</v>
      </c>
      <c r="E73" s="585">
        <f t="shared" si="3"/>
        <v>2013</v>
      </c>
      <c r="F73" s="585">
        <f t="shared" si="3"/>
        <v>2014</v>
      </c>
      <c r="G73" s="586">
        <f t="shared" si="3"/>
        <v>2015</v>
      </c>
    </row>
    <row r="74" spans="1:7">
      <c r="A74" s="656" t="str">
        <f t="shared" ref="A74:A80" si="4">A62</f>
        <v>Planned investment A</v>
      </c>
      <c r="B74" s="201"/>
      <c r="C74" s="201"/>
      <c r="D74" s="201">
        <f t="shared" ref="D74:G74" si="5">D62</f>
        <v>0.7</v>
      </c>
      <c r="E74" s="199">
        <f t="shared" si="5"/>
        <v>3</v>
      </c>
      <c r="F74" s="199">
        <f t="shared" si="5"/>
        <v>4.3</v>
      </c>
      <c r="G74" s="680">
        <f t="shared" si="5"/>
        <v>5.2</v>
      </c>
    </row>
    <row r="75" spans="1:7">
      <c r="A75" s="656" t="str">
        <f t="shared" si="4"/>
        <v>Planned investment B</v>
      </c>
      <c r="B75" s="201"/>
      <c r="C75" s="201"/>
      <c r="D75" s="201">
        <f t="shared" ref="D75:G75" si="6">D63</f>
        <v>0.5</v>
      </c>
      <c r="E75" s="199">
        <f t="shared" si="6"/>
        <v>2</v>
      </c>
      <c r="F75" s="199">
        <f t="shared" si="6"/>
        <v>2.4</v>
      </c>
      <c r="G75" s="680">
        <f t="shared" si="6"/>
        <v>3.3</v>
      </c>
    </row>
    <row r="76" spans="1:7">
      <c r="A76" s="656" t="str">
        <f t="shared" si="4"/>
        <v>Planned investment C</v>
      </c>
      <c r="B76" s="201"/>
      <c r="C76" s="201"/>
      <c r="D76" s="201">
        <f t="shared" ref="D76:G76" si="7">D64</f>
        <v>0.3</v>
      </c>
      <c r="E76" s="199">
        <f t="shared" si="7"/>
        <v>4.5999999999999996</v>
      </c>
      <c r="F76" s="199">
        <f t="shared" si="7"/>
        <v>5</v>
      </c>
      <c r="G76" s="680">
        <f t="shared" si="7"/>
        <v>5.8</v>
      </c>
    </row>
    <row r="77" spans="1:7">
      <c r="A77" s="685" t="str">
        <f t="shared" si="4"/>
        <v>Total "Top Projects"</v>
      </c>
      <c r="B77" s="202"/>
      <c r="C77" s="202"/>
      <c r="D77" s="202"/>
      <c r="E77" s="203">
        <f t="shared" ref="E77:G77" si="8">E65</f>
        <v>9.6</v>
      </c>
      <c r="F77" s="203">
        <f t="shared" si="8"/>
        <v>11.7</v>
      </c>
      <c r="G77" s="681">
        <f t="shared" si="8"/>
        <v>14.3</v>
      </c>
    </row>
    <row r="78" spans="1:7">
      <c r="A78" s="686" t="str">
        <f t="shared" si="4"/>
        <v>Share "Top Projects"</v>
      </c>
      <c r="B78" s="204"/>
      <c r="C78" s="204"/>
      <c r="D78" s="204"/>
      <c r="E78" s="205">
        <f t="shared" ref="E78:G78" si="9">E66</f>
        <v>0.88073394495412838</v>
      </c>
      <c r="F78" s="205">
        <f t="shared" si="9"/>
        <v>0.87969924812030076</v>
      </c>
      <c r="G78" s="682">
        <f t="shared" si="9"/>
        <v>0.88271604938271608</v>
      </c>
    </row>
    <row r="79" spans="1:7">
      <c r="A79" s="687" t="str">
        <f t="shared" si="4"/>
        <v>Other</v>
      </c>
      <c r="B79" s="206"/>
      <c r="C79" s="206"/>
      <c r="D79" s="206">
        <f>D67</f>
        <v>0.5</v>
      </c>
      <c r="E79" s="207">
        <f t="shared" ref="E79:G79" si="10">E67</f>
        <v>1.3</v>
      </c>
      <c r="F79" s="207">
        <f t="shared" si="10"/>
        <v>1.6</v>
      </c>
      <c r="G79" s="683">
        <f t="shared" si="10"/>
        <v>1.9</v>
      </c>
    </row>
    <row r="80" spans="1:7" ht="12" thickBot="1">
      <c r="A80" s="658" t="str">
        <f t="shared" si="4"/>
        <v>Total Projects</v>
      </c>
      <c r="B80" s="688"/>
      <c r="C80" s="688"/>
      <c r="D80" s="688"/>
      <c r="E80" s="689">
        <f t="shared" ref="E80:G80" si="11">E68</f>
        <v>10.9</v>
      </c>
      <c r="F80" s="689">
        <f t="shared" si="11"/>
        <v>13.299999999999999</v>
      </c>
      <c r="G80" s="690">
        <f t="shared" si="11"/>
        <v>16.2</v>
      </c>
    </row>
    <row r="86" spans="1:7" s="357" customFormat="1" ht="20.25" customHeight="1">
      <c r="A86" s="358" t="s">
        <v>107</v>
      </c>
    </row>
    <row r="88" spans="1:7">
      <c r="A88" s="160" t="s">
        <v>93</v>
      </c>
      <c r="B88" s="163"/>
      <c r="C88" s="163"/>
      <c r="D88" s="163"/>
      <c r="E88" s="163"/>
      <c r="F88" s="163"/>
      <c r="G88" s="163"/>
    </row>
    <row r="89" spans="1:7">
      <c r="A89" s="27" t="s">
        <v>364</v>
      </c>
    </row>
    <row r="90" spans="1:7">
      <c r="B90" s="54">
        <f>Input!E68</f>
        <v>2010</v>
      </c>
      <c r="C90" s="54">
        <f>Input!F68</f>
        <v>2011</v>
      </c>
      <c r="D90" s="54">
        <f>Input!G68</f>
        <v>2012</v>
      </c>
      <c r="E90" s="54">
        <f>Input!H68</f>
        <v>2013</v>
      </c>
      <c r="F90" s="54">
        <f>Input!I68</f>
        <v>2014</v>
      </c>
      <c r="G90" s="54">
        <f>Input!J68</f>
        <v>2015</v>
      </c>
    </row>
    <row r="91" spans="1:7">
      <c r="A91" s="27" t="str">
        <f>Input!E4</f>
        <v>€m</v>
      </c>
      <c r="B91" s="54" t="str">
        <f>Input!E69</f>
        <v>Actual</v>
      </c>
      <c r="C91" s="29" t="str">
        <f>Input!F69</f>
        <v>Actual</v>
      </c>
      <c r="D91" s="54" t="str">
        <f>Input!G69</f>
        <v>Actual</v>
      </c>
      <c r="E91" s="54" t="str">
        <f>Input!H69</f>
        <v>Plan</v>
      </c>
      <c r="F91" s="29" t="str">
        <f>Input!I69</f>
        <v>Plan</v>
      </c>
      <c r="G91" s="54" t="str">
        <f>Input!J69</f>
        <v>Plan</v>
      </c>
    </row>
    <row r="92" spans="1:7">
      <c r="A92" s="92" t="s">
        <v>365</v>
      </c>
      <c r="B92" s="97">
        <v>1.5</v>
      </c>
      <c r="C92" s="97">
        <v>1.9</v>
      </c>
      <c r="D92" s="97">
        <v>1.9</v>
      </c>
      <c r="E92" s="97">
        <v>4.5</v>
      </c>
      <c r="F92" s="97">
        <v>5.5</v>
      </c>
      <c r="G92" s="97">
        <v>8</v>
      </c>
    </row>
    <row r="93" spans="1:7">
      <c r="A93" s="92" t="s">
        <v>366</v>
      </c>
      <c r="B93" s="97">
        <v>1</v>
      </c>
      <c r="C93" s="97">
        <v>1.4</v>
      </c>
      <c r="D93" s="97">
        <v>1.4</v>
      </c>
      <c r="E93" s="97">
        <v>1.8</v>
      </c>
      <c r="F93" s="97">
        <v>3</v>
      </c>
      <c r="G93" s="97">
        <v>1.5</v>
      </c>
    </row>
    <row r="94" spans="1:7">
      <c r="A94" s="92" t="s">
        <v>367</v>
      </c>
      <c r="B94" s="97">
        <v>0.3</v>
      </c>
      <c r="C94" s="97">
        <v>0.5</v>
      </c>
      <c r="D94" s="97">
        <v>0.8</v>
      </c>
      <c r="E94" s="97">
        <v>0.9</v>
      </c>
      <c r="F94" s="97">
        <v>0.3</v>
      </c>
      <c r="G94" s="97">
        <v>0.3</v>
      </c>
    </row>
    <row r="95" spans="1:7">
      <c r="A95" s="92" t="s">
        <v>58</v>
      </c>
      <c r="B95" s="97">
        <v>0.2</v>
      </c>
      <c r="C95" s="97">
        <v>0.2</v>
      </c>
      <c r="D95" s="97">
        <v>0.4</v>
      </c>
      <c r="E95" s="97">
        <v>0.8</v>
      </c>
      <c r="F95" s="97">
        <v>0.2</v>
      </c>
      <c r="G95" s="97">
        <v>0.2</v>
      </c>
    </row>
    <row r="96" spans="1:7">
      <c r="A96" s="9" t="s">
        <v>368</v>
      </c>
      <c r="B96" s="210">
        <f t="shared" ref="B96:G96" si="12">SUM(B92:B95)</f>
        <v>3</v>
      </c>
      <c r="C96" s="210">
        <f t="shared" si="12"/>
        <v>4</v>
      </c>
      <c r="D96" s="210">
        <f t="shared" si="12"/>
        <v>4.5</v>
      </c>
      <c r="E96" s="210">
        <f t="shared" si="12"/>
        <v>8</v>
      </c>
      <c r="F96" s="210">
        <f t="shared" si="12"/>
        <v>9</v>
      </c>
      <c r="G96" s="210">
        <f t="shared" si="12"/>
        <v>10</v>
      </c>
    </row>
    <row r="97" spans="1:9">
      <c r="A97" s="85" t="s">
        <v>106</v>
      </c>
      <c r="B97" s="121">
        <f>B96-Input!E80</f>
        <v>0</v>
      </c>
      <c r="C97" s="121">
        <f>C96-Input!F80</f>
        <v>0</v>
      </c>
      <c r="D97" s="121">
        <f>D96-Input!G80</f>
        <v>0</v>
      </c>
      <c r="E97" s="121">
        <f>E96-Input!H80</f>
        <v>0</v>
      </c>
      <c r="F97" s="121">
        <f>F96-Input!I80</f>
        <v>0</v>
      </c>
      <c r="G97" s="121">
        <f>G96-Input!J80</f>
        <v>0</v>
      </c>
    </row>
    <row r="107" spans="1:9" s="357" customFormat="1" ht="20.25" customHeight="1">
      <c r="A107" s="358" t="s">
        <v>108</v>
      </c>
    </row>
    <row r="109" spans="1:9">
      <c r="A109" s="160" t="s">
        <v>93</v>
      </c>
      <c r="B109" s="163"/>
      <c r="C109" s="163"/>
      <c r="D109" s="163"/>
      <c r="E109" s="163"/>
      <c r="F109" s="163"/>
      <c r="G109" s="163"/>
      <c r="H109" s="163"/>
      <c r="I109" s="163"/>
    </row>
    <row r="110" spans="1:9">
      <c r="A110" s="163"/>
      <c r="B110" s="186">
        <f>Input!E68</f>
        <v>2010</v>
      </c>
      <c r="C110" s="186">
        <f>Input!F68</f>
        <v>2011</v>
      </c>
      <c r="D110" s="186">
        <f>Input!G68</f>
        <v>2012</v>
      </c>
      <c r="E110" s="186">
        <f>Input!H68</f>
        <v>2013</v>
      </c>
      <c r="F110" s="186">
        <f>Input!I68</f>
        <v>2014</v>
      </c>
      <c r="G110" s="186">
        <f>Input!J68</f>
        <v>2015</v>
      </c>
      <c r="H110" s="186" t="s">
        <v>424</v>
      </c>
      <c r="I110" s="163" t="s">
        <v>430</v>
      </c>
    </row>
    <row r="111" spans="1:9">
      <c r="A111" s="163"/>
      <c r="B111" s="186" t="str">
        <f>Input!E69</f>
        <v>Actual</v>
      </c>
      <c r="C111" s="186" t="str">
        <f>Input!F69</f>
        <v>Actual</v>
      </c>
      <c r="D111" s="186" t="str">
        <f>Input!G69</f>
        <v>Actual</v>
      </c>
      <c r="E111" s="186" t="str">
        <f>Input!H69</f>
        <v>Plan</v>
      </c>
      <c r="F111" s="186" t="str">
        <f>Input!I69</f>
        <v>Plan</v>
      </c>
      <c r="G111" s="186" t="str">
        <f>Input!J69</f>
        <v>Plan</v>
      </c>
      <c r="H111" s="186"/>
      <c r="I111" s="163"/>
    </row>
    <row r="112" spans="1:9">
      <c r="A112" s="163" t="s">
        <v>47</v>
      </c>
      <c r="B112" s="193">
        <f>Input!E70</f>
        <v>50</v>
      </c>
      <c r="C112" s="193">
        <f>Input!F70</f>
        <v>54</v>
      </c>
      <c r="D112" s="193">
        <f>Input!G70</f>
        <v>56</v>
      </c>
      <c r="E112" s="193">
        <f>Input!H70</f>
        <v>59</v>
      </c>
      <c r="F112" s="193">
        <f>Input!I70</f>
        <v>61</v>
      </c>
      <c r="G112" s="193">
        <f>Input!J70</f>
        <v>67</v>
      </c>
      <c r="H112" s="193"/>
      <c r="I112" s="193">
        <f>AVERAGE(B112:H112)</f>
        <v>57.833333333333336</v>
      </c>
    </row>
    <row r="113" spans="1:9">
      <c r="A113" s="163" t="s">
        <v>80</v>
      </c>
      <c r="B113" s="193">
        <f>Input!E80</f>
        <v>3</v>
      </c>
      <c r="C113" s="193">
        <f>Input!F80</f>
        <v>4</v>
      </c>
      <c r="D113" s="193">
        <f>Input!G80</f>
        <v>4.5</v>
      </c>
      <c r="E113" s="193">
        <f>Input!H80</f>
        <v>8</v>
      </c>
      <c r="F113" s="193">
        <f>Input!I80</f>
        <v>9</v>
      </c>
      <c r="G113" s="193">
        <f>Input!J80</f>
        <v>10</v>
      </c>
      <c r="H113" s="193"/>
      <c r="I113" s="193">
        <f>AVERAGE(B113:G113)</f>
        <v>6.416666666666667</v>
      </c>
    </row>
    <row r="114" spans="1:9">
      <c r="A114" s="163" t="s">
        <v>597</v>
      </c>
      <c r="B114" s="198">
        <f>B113/B112</f>
        <v>0.06</v>
      </c>
      <c r="C114" s="198">
        <f t="shared" ref="C114:G114" si="13">C113/C112</f>
        <v>7.407407407407407E-2</v>
      </c>
      <c r="D114" s="198">
        <f t="shared" si="13"/>
        <v>8.0357142857142863E-2</v>
      </c>
      <c r="E114" s="198">
        <f t="shared" si="13"/>
        <v>0.13559322033898305</v>
      </c>
      <c r="F114" s="198">
        <f t="shared" si="13"/>
        <v>0.14754098360655737</v>
      </c>
      <c r="G114" s="198">
        <f t="shared" si="13"/>
        <v>0.14925373134328357</v>
      </c>
      <c r="H114" s="198">
        <v>0.05</v>
      </c>
      <c r="I114" s="198">
        <f>I113/I112</f>
        <v>0.11095100864553314</v>
      </c>
    </row>
    <row r="115" spans="1:9">
      <c r="A115" s="163" t="s">
        <v>424</v>
      </c>
      <c r="B115" s="200">
        <v>0.05</v>
      </c>
      <c r="C115" s="200">
        <v>0.05</v>
      </c>
      <c r="D115" s="200">
        <v>0.05</v>
      </c>
      <c r="E115" s="200">
        <v>0.05</v>
      </c>
      <c r="F115" s="200">
        <v>0.05</v>
      </c>
      <c r="G115" s="200">
        <v>0.05</v>
      </c>
      <c r="H115" s="163"/>
      <c r="I115" s="163"/>
    </row>
    <row r="117" spans="1:9">
      <c r="A117" s="27" t="s">
        <v>391</v>
      </c>
    </row>
    <row r="118" spans="1:9">
      <c r="A118" s="27" t="str">
        <f>Input!E3</f>
        <v>XXX AG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/>
  <dimension ref="A1:M95"/>
  <sheetViews>
    <sheetView topLeftCell="A19" zoomScale="115" zoomScaleNormal="115" workbookViewId="0">
      <selection activeCell="O43" sqref="O43"/>
    </sheetView>
  </sheetViews>
  <sheetFormatPr defaultColWidth="11.5" defaultRowHeight="11.25"/>
  <cols>
    <col min="1" max="1" width="19.83203125" style="27" customWidth="1"/>
    <col min="2" max="7" width="6.6640625" style="27" customWidth="1"/>
    <col min="8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380</v>
      </c>
    </row>
    <row r="2" spans="1:7" ht="20.25" customHeight="1">
      <c r="A2" s="48" t="s">
        <v>392</v>
      </c>
    </row>
    <row r="3" spans="1:7" ht="20.25" customHeight="1">
      <c r="A3" s="48" t="s">
        <v>398</v>
      </c>
    </row>
    <row r="4" spans="1:7" ht="20.25" customHeight="1">
      <c r="A4" s="48"/>
    </row>
    <row r="5" spans="1:7" ht="20.25" customHeight="1">
      <c r="A5" s="48"/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4" spans="1:7">
      <c r="A14" s="160" t="s">
        <v>93</v>
      </c>
      <c r="B14" s="163"/>
      <c r="C14" s="163"/>
      <c r="D14" s="163"/>
    </row>
    <row r="15" spans="1:7">
      <c r="A15" s="163" t="str">
        <f>Input!E4</f>
        <v>€m</v>
      </c>
      <c r="E15" s="163">
        <f>Input!H68</f>
        <v>2013</v>
      </c>
      <c r="F15" s="163">
        <f>Input!I68</f>
        <v>2014</v>
      </c>
      <c r="G15" s="163">
        <f>Input!J68</f>
        <v>2015</v>
      </c>
    </row>
    <row r="16" spans="1:7">
      <c r="A16" s="163" t="s">
        <v>389</v>
      </c>
      <c r="E16" s="217">
        <v>61</v>
      </c>
      <c r="F16" s="217">
        <v>63</v>
      </c>
      <c r="G16" s="217">
        <v>70</v>
      </c>
    </row>
    <row r="17" spans="1:7">
      <c r="A17" s="163" t="s">
        <v>390</v>
      </c>
      <c r="E17" s="211">
        <f>Input!H70</f>
        <v>59</v>
      </c>
      <c r="F17" s="211">
        <f>Input!I70</f>
        <v>61</v>
      </c>
      <c r="G17" s="211">
        <f>Input!J70</f>
        <v>67</v>
      </c>
    </row>
    <row r="19" spans="1:7">
      <c r="A19" s="27" t="s">
        <v>391</v>
      </c>
    </row>
    <row r="20" spans="1:7">
      <c r="A20" s="27" t="str">
        <f>CONCATENATE("Sales (",A15,")")</f>
        <v>Sales (€m)</v>
      </c>
    </row>
    <row r="31" spans="1:7" s="357" customFormat="1" ht="20.25" customHeight="1">
      <c r="A31" s="358" t="s">
        <v>114</v>
      </c>
    </row>
    <row r="33" spans="1:13" ht="14.25">
      <c r="A33" s="160" t="s">
        <v>381</v>
      </c>
      <c r="B33" s="157"/>
      <c r="C33" s="157"/>
      <c r="D33" s="157"/>
      <c r="E33" s="157"/>
      <c r="F33" s="157"/>
      <c r="G33" s="157"/>
      <c r="H33" s="157"/>
      <c r="I33" s="157"/>
      <c r="J33" s="157"/>
      <c r="K33" s="157"/>
      <c r="L33" s="157"/>
      <c r="M33" s="157"/>
    </row>
    <row r="34" spans="1:13" ht="14.25">
      <c r="A34" s="157"/>
      <c r="B34" s="813">
        <f>Input!E68</f>
        <v>2010</v>
      </c>
      <c r="C34" s="813"/>
      <c r="D34" s="813"/>
      <c r="E34" s="813"/>
      <c r="F34" s="813">
        <f>Input!F68</f>
        <v>2011</v>
      </c>
      <c r="G34" s="813"/>
      <c r="H34" s="813"/>
      <c r="I34" s="813"/>
      <c r="J34" s="813">
        <f>Input!G68</f>
        <v>2012</v>
      </c>
      <c r="K34" s="813"/>
      <c r="L34" s="813"/>
      <c r="M34" s="813"/>
    </row>
    <row r="35" spans="1:13">
      <c r="A35" s="163" t="str">
        <f>Input!E4</f>
        <v>€m</v>
      </c>
      <c r="B35" s="186" t="s">
        <v>2</v>
      </c>
      <c r="C35" s="186" t="s">
        <v>51</v>
      </c>
      <c r="D35" s="186" t="s">
        <v>393</v>
      </c>
      <c r="E35" s="186" t="s">
        <v>124</v>
      </c>
      <c r="F35" s="186" t="str">
        <f>B35</f>
        <v>Plan</v>
      </c>
      <c r="G35" s="186" t="str">
        <f t="shared" ref="G35:M35" si="0">C35</f>
        <v>Actual</v>
      </c>
      <c r="H35" s="186" t="str">
        <f t="shared" si="0"/>
        <v>∆</v>
      </c>
      <c r="I35" s="186" t="str">
        <f t="shared" si="0"/>
        <v>in %</v>
      </c>
      <c r="J35" s="186" t="str">
        <f t="shared" si="0"/>
        <v>Plan</v>
      </c>
      <c r="K35" s="186" t="str">
        <f t="shared" si="0"/>
        <v>Actual</v>
      </c>
      <c r="L35" s="186" t="str">
        <f t="shared" si="0"/>
        <v>∆</v>
      </c>
      <c r="M35" s="186" t="str">
        <f t="shared" si="0"/>
        <v>in %</v>
      </c>
    </row>
    <row r="36" spans="1:13">
      <c r="A36" s="163" t="s">
        <v>47</v>
      </c>
      <c r="B36" s="191">
        <v>48</v>
      </c>
      <c r="C36" s="189">
        <f>Input!E70</f>
        <v>50</v>
      </c>
      <c r="D36" s="692">
        <f>C36-B36</f>
        <v>2</v>
      </c>
      <c r="E36" s="691">
        <f>C36/B36-1</f>
        <v>4.1666666666666741E-2</v>
      </c>
      <c r="F36" s="191">
        <v>55</v>
      </c>
      <c r="G36" s="189">
        <f>Input!F70</f>
        <v>54</v>
      </c>
      <c r="H36" s="692">
        <f>G36-F36</f>
        <v>-1</v>
      </c>
      <c r="I36" s="691">
        <f>G36/F36-1</f>
        <v>-1.8181818181818188E-2</v>
      </c>
      <c r="J36" s="191">
        <v>55</v>
      </c>
      <c r="K36" s="189">
        <f>Input!G70</f>
        <v>56</v>
      </c>
      <c r="L36" s="692">
        <f>K36-J36</f>
        <v>1</v>
      </c>
      <c r="M36" s="691">
        <f>K36/J36-1</f>
        <v>1.8181818181818077E-2</v>
      </c>
    </row>
    <row r="37" spans="1:13">
      <c r="A37" s="163" t="s">
        <v>0</v>
      </c>
      <c r="B37" s="191">
        <v>17</v>
      </c>
      <c r="C37" s="189">
        <f>Input!E73</f>
        <v>12</v>
      </c>
      <c r="D37" s="692">
        <f>C37-B37</f>
        <v>-5</v>
      </c>
      <c r="E37" s="691">
        <f>C37/B37-1</f>
        <v>-0.29411764705882348</v>
      </c>
      <c r="F37" s="191">
        <v>19.2</v>
      </c>
      <c r="G37" s="189">
        <f>Input!F73</f>
        <v>13</v>
      </c>
      <c r="H37" s="692">
        <f>G37-F37</f>
        <v>-6.1999999999999993</v>
      </c>
      <c r="I37" s="691">
        <f>G37/F37-1</f>
        <v>-0.32291666666666663</v>
      </c>
      <c r="J37" s="191">
        <v>19.8</v>
      </c>
      <c r="K37" s="189">
        <f>Input!G73</f>
        <v>13.5</v>
      </c>
      <c r="L37" s="692">
        <f>K37-J37</f>
        <v>-6.3000000000000007</v>
      </c>
      <c r="M37" s="691">
        <f>K37/J37-1</f>
        <v>-0.31818181818181823</v>
      </c>
    </row>
    <row r="38" spans="1:13">
      <c r="A38" s="163" t="s">
        <v>1</v>
      </c>
      <c r="B38" s="191">
        <v>12.5</v>
      </c>
      <c r="C38" s="189">
        <f>Input!E77</f>
        <v>7</v>
      </c>
      <c r="D38" s="692">
        <f>C38-B38</f>
        <v>-5.5</v>
      </c>
      <c r="E38" s="691">
        <f>C38/B38-1</f>
        <v>-0.43999999999999995</v>
      </c>
      <c r="F38" s="191">
        <v>13</v>
      </c>
      <c r="G38" s="189">
        <f>Input!F77</f>
        <v>8</v>
      </c>
      <c r="H38" s="692">
        <f>G38-F38</f>
        <v>-5</v>
      </c>
      <c r="I38" s="691">
        <f>G38/F38-1</f>
        <v>-0.38461538461538458</v>
      </c>
      <c r="J38" s="191">
        <v>13.2</v>
      </c>
      <c r="K38" s="189">
        <f>Input!G77</f>
        <v>8.5</v>
      </c>
      <c r="L38" s="692">
        <f>K38-J38</f>
        <v>-4.6999999999999993</v>
      </c>
      <c r="M38" s="691">
        <f>K38/J38-1</f>
        <v>-0.35606060606060608</v>
      </c>
    </row>
    <row r="42" spans="1:13" ht="19.5" customHeight="1">
      <c r="A42" s="350" t="s">
        <v>383</v>
      </c>
      <c r="B42" s="350"/>
      <c r="C42" s="350"/>
      <c r="D42" s="350"/>
      <c r="E42" s="350"/>
      <c r="F42" s="350"/>
      <c r="G42" s="350"/>
    </row>
    <row r="43" spans="1:13" ht="12" customHeight="1">
      <c r="A43" s="669" t="str">
        <f>A35</f>
        <v>€m</v>
      </c>
      <c r="B43" s="670"/>
      <c r="C43" s="670" t="s">
        <v>47</v>
      </c>
      <c r="D43" s="670"/>
      <c r="E43" s="670" t="s">
        <v>0</v>
      </c>
      <c r="F43" s="670"/>
      <c r="G43" s="671" t="s">
        <v>1</v>
      </c>
      <c r="M43" s="54"/>
    </row>
    <row r="44" spans="1:13">
      <c r="A44" s="582" t="str">
        <f>CONCATENATE(B35, " ", B34)</f>
        <v>Plan 2010</v>
      </c>
      <c r="B44" s="815">
        <f>'08_Adherence'!B36</f>
        <v>48</v>
      </c>
      <c r="C44" s="817"/>
      <c r="D44" s="815">
        <f>'08_Adherence'!B37</f>
        <v>17</v>
      </c>
      <c r="E44" s="817"/>
      <c r="F44" s="815">
        <f>'08_Adherence'!B38</f>
        <v>12.5</v>
      </c>
      <c r="G44" s="820"/>
    </row>
    <row r="45" spans="1:13">
      <c r="A45" s="582" t="str">
        <f>CONCATENATE(C35, " ", B34)</f>
        <v>Actual 2010</v>
      </c>
      <c r="B45" s="815">
        <f>'08_Adherence'!C36</f>
        <v>50</v>
      </c>
      <c r="C45" s="816"/>
      <c r="D45" s="815">
        <f>'08_Adherence'!C37</f>
        <v>12</v>
      </c>
      <c r="E45" s="816"/>
      <c r="F45" s="815">
        <f>'08_Adherence'!C38</f>
        <v>7</v>
      </c>
      <c r="G45" s="820"/>
    </row>
    <row r="46" spans="1:13">
      <c r="A46" s="656" t="str">
        <f>D35</f>
        <v>∆</v>
      </c>
      <c r="B46" s="815">
        <f>B45-B44</f>
        <v>2</v>
      </c>
      <c r="C46" s="816"/>
      <c r="D46" s="815">
        <f>D45-D44</f>
        <v>-5</v>
      </c>
      <c r="E46" s="816"/>
      <c r="F46" s="815">
        <f>F45-F44</f>
        <v>-5.5</v>
      </c>
      <c r="G46" s="820"/>
    </row>
    <row r="47" spans="1:13">
      <c r="A47" s="694" t="s">
        <v>124</v>
      </c>
      <c r="B47" s="818">
        <f>B45/B44-1</f>
        <v>4.1666666666666741E-2</v>
      </c>
      <c r="C47" s="819"/>
      <c r="D47" s="818">
        <f>D45/D44-1</f>
        <v>-0.29411764705882348</v>
      </c>
      <c r="E47" s="819"/>
      <c r="F47" s="818">
        <f>F45/F44-1</f>
        <v>-0.43999999999999995</v>
      </c>
      <c r="G47" s="821"/>
    </row>
    <row r="48" spans="1:13">
      <c r="A48" s="582" t="str">
        <f>CONCATENATE(F35, " ", F34)</f>
        <v>Plan 2011</v>
      </c>
      <c r="B48" s="815">
        <f>'08_Adherence'!F36</f>
        <v>55</v>
      </c>
      <c r="C48" s="817"/>
      <c r="D48" s="815">
        <f>'08_Adherence'!F37</f>
        <v>19.2</v>
      </c>
      <c r="E48" s="817"/>
      <c r="F48" s="815">
        <f>'08_Adherence'!F38</f>
        <v>13</v>
      </c>
      <c r="G48" s="820"/>
    </row>
    <row r="49" spans="1:7">
      <c r="A49" s="582" t="str">
        <f>CONCATENATE(G35, " ", F34)</f>
        <v>Actual 2011</v>
      </c>
      <c r="B49" s="815">
        <f>'08_Adherence'!G36</f>
        <v>54</v>
      </c>
      <c r="C49" s="816"/>
      <c r="D49" s="815">
        <f>'08_Adherence'!G37</f>
        <v>13</v>
      </c>
      <c r="E49" s="816"/>
      <c r="F49" s="815">
        <f>'08_Adherence'!G38</f>
        <v>8</v>
      </c>
      <c r="G49" s="820"/>
    </row>
    <row r="50" spans="1:7">
      <c r="A50" s="656" t="str">
        <f>H35</f>
        <v>∆</v>
      </c>
      <c r="B50" s="815">
        <f>B49-B48</f>
        <v>-1</v>
      </c>
      <c r="C50" s="816"/>
      <c r="D50" s="815">
        <f>D49-D48</f>
        <v>-6.1999999999999993</v>
      </c>
      <c r="E50" s="816"/>
      <c r="F50" s="815">
        <f>F49-F48</f>
        <v>-5</v>
      </c>
      <c r="G50" s="820"/>
    </row>
    <row r="51" spans="1:7">
      <c r="A51" s="694" t="s">
        <v>124</v>
      </c>
      <c r="B51" s="695"/>
      <c r="C51" s="696">
        <f>B49/B48-1</f>
        <v>-1.8181818181818188E-2</v>
      </c>
      <c r="D51" s="818">
        <f>D49/D48-1</f>
        <v>-0.32291666666666663</v>
      </c>
      <c r="E51" s="819"/>
      <c r="F51" s="818">
        <f>F49/F48-1</f>
        <v>-0.38461538461538458</v>
      </c>
      <c r="G51" s="821"/>
    </row>
    <row r="52" spans="1:7">
      <c r="A52" s="582" t="str">
        <f>CONCATENATE(J35, " ", J34)</f>
        <v>Plan 2012</v>
      </c>
      <c r="B52" s="815">
        <f>'08_Adherence'!J36</f>
        <v>55</v>
      </c>
      <c r="C52" s="817"/>
      <c r="D52" s="815">
        <f>'08_Adherence'!J37</f>
        <v>19.8</v>
      </c>
      <c r="E52" s="817"/>
      <c r="F52" s="815">
        <f>'08_Adherence'!J38</f>
        <v>13.2</v>
      </c>
      <c r="G52" s="820"/>
    </row>
    <row r="53" spans="1:7">
      <c r="A53" s="582" t="str">
        <f>CONCATENATE(K35, " ", J34)</f>
        <v>Actual 2012</v>
      </c>
      <c r="B53" s="815">
        <f>'08_Adherence'!K36</f>
        <v>56</v>
      </c>
      <c r="C53" s="816"/>
      <c r="D53" s="815">
        <f>'08_Adherence'!K37</f>
        <v>13.5</v>
      </c>
      <c r="E53" s="816"/>
      <c r="F53" s="815">
        <f>'08_Adherence'!K38</f>
        <v>8.5</v>
      </c>
      <c r="G53" s="820"/>
    </row>
    <row r="54" spans="1:7">
      <c r="A54" s="656" t="str">
        <f>L35</f>
        <v>∆</v>
      </c>
      <c r="B54" s="815">
        <f>B53-B52</f>
        <v>1</v>
      </c>
      <c r="C54" s="816"/>
      <c r="D54" s="815">
        <f>D53-D52</f>
        <v>-6.3000000000000007</v>
      </c>
      <c r="E54" s="816"/>
      <c r="F54" s="815">
        <f>F53-F52</f>
        <v>-4.6999999999999993</v>
      </c>
      <c r="G54" s="820"/>
    </row>
    <row r="55" spans="1:7" ht="12" thickBot="1">
      <c r="A55" s="693" t="s">
        <v>124</v>
      </c>
      <c r="B55" s="822">
        <f>B53/B52-1</f>
        <v>1.8181818181818077E-2</v>
      </c>
      <c r="C55" s="823"/>
      <c r="D55" s="822">
        <f>D53/D52-1</f>
        <v>-0.31818181818181823</v>
      </c>
      <c r="E55" s="823"/>
      <c r="F55" s="822">
        <f>F53/F52-1</f>
        <v>-0.35606060606060608</v>
      </c>
      <c r="G55" s="824"/>
    </row>
    <row r="59" spans="1:7" s="357" customFormat="1" ht="20.25" customHeight="1">
      <c r="A59" s="358" t="s">
        <v>105</v>
      </c>
    </row>
    <row r="61" spans="1:7">
      <c r="A61" s="160" t="s">
        <v>93</v>
      </c>
      <c r="B61" s="163"/>
      <c r="C61" s="163"/>
      <c r="D61" s="163"/>
    </row>
    <row r="62" spans="1:7">
      <c r="A62" s="163" t="str">
        <f>Input!D70</f>
        <v>Sales</v>
      </c>
      <c r="B62" s="163"/>
      <c r="C62" s="163"/>
      <c r="D62" s="163"/>
    </row>
    <row r="63" spans="1:7">
      <c r="A63" s="163" t="str">
        <f>Input!E4</f>
        <v>€m</v>
      </c>
      <c r="B63" s="163">
        <f>Input!E68</f>
        <v>2010</v>
      </c>
      <c r="C63" s="163">
        <f>Input!F68</f>
        <v>2011</v>
      </c>
      <c r="D63" s="163">
        <f>Input!G68</f>
        <v>2012</v>
      </c>
    </row>
    <row r="64" spans="1:7">
      <c r="A64" s="163" t="s">
        <v>51</v>
      </c>
      <c r="B64" s="211">
        <f>Input!E70</f>
        <v>50</v>
      </c>
      <c r="C64" s="211">
        <f>Input!F70</f>
        <v>54</v>
      </c>
      <c r="D64" s="211">
        <f>Input!G70</f>
        <v>56</v>
      </c>
    </row>
    <row r="65" spans="1:4">
      <c r="A65" s="163" t="str">
        <f>CONCATENATE("Planning ", B63-1)</f>
        <v>Planning 2009</v>
      </c>
      <c r="B65" s="217">
        <v>49</v>
      </c>
      <c r="C65" s="217">
        <v>51</v>
      </c>
      <c r="D65" s="217">
        <v>53</v>
      </c>
    </row>
    <row r="66" spans="1:4">
      <c r="A66" s="163" t="str">
        <f>CONCATENATE("Planning ", C63-1)</f>
        <v>Planning 2010</v>
      </c>
      <c r="B66" s="211"/>
      <c r="C66" s="217">
        <v>52</v>
      </c>
      <c r="D66" s="217">
        <v>54</v>
      </c>
    </row>
    <row r="67" spans="1:4">
      <c r="A67" s="163" t="str">
        <f>CONCATENATE("Planning ", D63-1)</f>
        <v>Planning 2011</v>
      </c>
      <c r="B67" s="211"/>
      <c r="C67" s="211"/>
      <c r="D67" s="217">
        <v>55</v>
      </c>
    </row>
    <row r="68" spans="1:4" ht="14.25">
      <c r="A68" s="157"/>
      <c r="B68" s="157"/>
      <c r="C68" s="157"/>
      <c r="D68" s="157"/>
    </row>
    <row r="69" spans="1:4">
      <c r="A69" s="163" t="s">
        <v>388</v>
      </c>
      <c r="B69" s="163">
        <f>B63</f>
        <v>2010</v>
      </c>
      <c r="C69" s="163">
        <f>C63</f>
        <v>2011</v>
      </c>
      <c r="D69" s="163">
        <f>D63</f>
        <v>2012</v>
      </c>
    </row>
    <row r="70" spans="1:4">
      <c r="A70" s="163" t="s">
        <v>385</v>
      </c>
      <c r="B70" s="215">
        <f>B$64/B65-1</f>
        <v>2.0408163265306145E-2</v>
      </c>
      <c r="C70" s="215">
        <f>C$64/C65-1</f>
        <v>5.8823529411764719E-2</v>
      </c>
      <c r="D70" s="215">
        <f>D$64/D65-1</f>
        <v>5.6603773584905648E-2</v>
      </c>
    </row>
    <row r="71" spans="1:4">
      <c r="A71" s="163" t="s">
        <v>386</v>
      </c>
      <c r="B71" s="216"/>
      <c r="C71" s="215">
        <f>C$64/C66-1</f>
        <v>3.8461538461538547E-2</v>
      </c>
      <c r="D71" s="215">
        <f>D$64/D66-1</f>
        <v>3.7037037037036979E-2</v>
      </c>
    </row>
    <row r="72" spans="1:4">
      <c r="A72" s="163" t="s">
        <v>387</v>
      </c>
      <c r="B72" s="216"/>
      <c r="C72" s="215"/>
      <c r="D72" s="215">
        <f>D$64/D67-1</f>
        <v>1.8181818181818077E-2</v>
      </c>
    </row>
    <row r="74" spans="1:4">
      <c r="A74" s="27" t="s">
        <v>391</v>
      </c>
    </row>
    <row r="75" spans="1:4">
      <c r="A75" s="27" t="str">
        <f>CONCATENATE(A62, " (",A63,")")</f>
        <v>Sales (€m)</v>
      </c>
    </row>
    <row r="81" spans="1:7" ht="19.5" customHeight="1">
      <c r="A81" s="350" t="str">
        <f>CONCATENATE("Actual/Plan Comparison - ",A62)</f>
        <v>Actual/Plan Comparison - Sales</v>
      </c>
      <c r="B81" s="350"/>
      <c r="C81" s="350"/>
      <c r="D81" s="350"/>
      <c r="E81" s="350"/>
      <c r="F81" s="350"/>
      <c r="G81" s="350"/>
    </row>
    <row r="82" spans="1:7">
      <c r="A82" s="667" t="str">
        <f>A63</f>
        <v>€m</v>
      </c>
      <c r="B82" s="162"/>
      <c r="C82" s="162"/>
      <c r="D82" s="162"/>
      <c r="E82" s="162">
        <v>2010</v>
      </c>
      <c r="F82" s="162">
        <v>2011</v>
      </c>
      <c r="G82" s="700">
        <v>2012</v>
      </c>
    </row>
    <row r="83" spans="1:7">
      <c r="A83" s="697" t="s">
        <v>384</v>
      </c>
      <c r="B83" s="213"/>
      <c r="C83" s="213"/>
      <c r="D83" s="213"/>
      <c r="E83" s="213">
        <f>B64</f>
        <v>50</v>
      </c>
      <c r="F83" s="213">
        <f t="shared" ref="F83:G83" si="1">C64</f>
        <v>54</v>
      </c>
      <c r="G83" s="701">
        <f t="shared" si="1"/>
        <v>56</v>
      </c>
    </row>
    <row r="84" spans="1:7">
      <c r="A84" s="656" t="str">
        <f>A65</f>
        <v>Planning 2009</v>
      </c>
      <c r="B84" s="212"/>
      <c r="C84" s="212"/>
      <c r="D84" s="212"/>
      <c r="E84" s="212">
        <f>B65</f>
        <v>49</v>
      </c>
      <c r="F84" s="212">
        <f t="shared" ref="F84:G84" si="2">C65</f>
        <v>51</v>
      </c>
      <c r="G84" s="702">
        <f t="shared" si="2"/>
        <v>53</v>
      </c>
    </row>
    <row r="85" spans="1:7">
      <c r="A85" s="698" t="s">
        <v>382</v>
      </c>
      <c r="B85" s="212"/>
      <c r="C85" s="212"/>
      <c r="D85" s="212"/>
      <c r="E85" s="212">
        <f>E83-E84</f>
        <v>1</v>
      </c>
      <c r="F85" s="212">
        <f>F83-F84</f>
        <v>3</v>
      </c>
      <c r="G85" s="702">
        <f>G83-G84</f>
        <v>3</v>
      </c>
    </row>
    <row r="86" spans="1:7">
      <c r="A86" s="704" t="s">
        <v>124</v>
      </c>
      <c r="B86" s="695"/>
      <c r="C86" s="695"/>
      <c r="D86" s="695"/>
      <c r="E86" s="695">
        <f>E83/E84-1</f>
        <v>2.0408163265306145E-2</v>
      </c>
      <c r="F86" s="695">
        <f>F83/F84-1</f>
        <v>5.8823529411764719E-2</v>
      </c>
      <c r="G86" s="705">
        <f>G83/G84-1</f>
        <v>5.6603773584905648E-2</v>
      </c>
    </row>
    <row r="87" spans="1:7">
      <c r="A87" s="656" t="str">
        <f>A66</f>
        <v>Planning 2010</v>
      </c>
      <c r="B87" s="161"/>
      <c r="C87" s="161"/>
      <c r="D87" s="161"/>
      <c r="E87" s="161"/>
      <c r="F87" s="212">
        <f>C66</f>
        <v>52</v>
      </c>
      <c r="G87" s="702">
        <f>D66</f>
        <v>54</v>
      </c>
    </row>
    <row r="88" spans="1:7">
      <c r="A88" s="698" t="s">
        <v>382</v>
      </c>
      <c r="B88" s="161"/>
      <c r="C88" s="161"/>
      <c r="D88" s="161"/>
      <c r="E88" s="161"/>
      <c r="F88" s="212">
        <f>F83-F87</f>
        <v>2</v>
      </c>
      <c r="G88" s="702">
        <f>G83-G87</f>
        <v>2</v>
      </c>
    </row>
    <row r="89" spans="1:7">
      <c r="A89" s="704" t="s">
        <v>124</v>
      </c>
      <c r="B89" s="706"/>
      <c r="C89" s="706"/>
      <c r="D89" s="706"/>
      <c r="E89" s="706"/>
      <c r="F89" s="695">
        <f>F83/F87-1</f>
        <v>3.8461538461538547E-2</v>
      </c>
      <c r="G89" s="705">
        <f>G83/G87-1</f>
        <v>3.7037037037036979E-2</v>
      </c>
    </row>
    <row r="90" spans="1:7">
      <c r="A90" s="656" t="str">
        <f>A67</f>
        <v>Planning 2011</v>
      </c>
      <c r="B90" s="161"/>
      <c r="C90" s="161"/>
      <c r="D90" s="161"/>
      <c r="E90" s="161"/>
      <c r="F90" s="161"/>
      <c r="G90" s="702">
        <f>D67</f>
        <v>55</v>
      </c>
    </row>
    <row r="91" spans="1:7">
      <c r="A91" s="698" t="s">
        <v>382</v>
      </c>
      <c r="B91" s="161"/>
      <c r="C91" s="161"/>
      <c r="D91" s="161"/>
      <c r="E91" s="161"/>
      <c r="F91" s="161"/>
      <c r="G91" s="702">
        <f>G83-G87</f>
        <v>2</v>
      </c>
    </row>
    <row r="92" spans="1:7" ht="12" thickBot="1">
      <c r="A92" s="699" t="s">
        <v>124</v>
      </c>
      <c r="B92" s="214"/>
      <c r="C92" s="214"/>
      <c r="D92" s="214"/>
      <c r="E92" s="214"/>
      <c r="F92" s="214"/>
      <c r="G92" s="703">
        <f>G83/G90-1</f>
        <v>1.8181818181818077E-2</v>
      </c>
    </row>
    <row r="94" spans="1:7">
      <c r="A94" s="27" t="s">
        <v>391</v>
      </c>
    </row>
    <row r="95" spans="1:7">
      <c r="A95" s="27" t="str">
        <f>CONCATENATE("∆ Actual/Plan ",A62)</f>
        <v>∆ Actual/Plan Sales</v>
      </c>
    </row>
  </sheetData>
  <mergeCells count="38">
    <mergeCell ref="F54:G54"/>
    <mergeCell ref="F55:G55"/>
    <mergeCell ref="F49:G49"/>
    <mergeCell ref="F50:G50"/>
    <mergeCell ref="F51:G51"/>
    <mergeCell ref="F52:G52"/>
    <mergeCell ref="F53:G53"/>
    <mergeCell ref="B53:C53"/>
    <mergeCell ref="B54:C54"/>
    <mergeCell ref="B55:C55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B52:C52"/>
    <mergeCell ref="B50:C50"/>
    <mergeCell ref="B46:C46"/>
    <mergeCell ref="B34:E34"/>
    <mergeCell ref="F34:I34"/>
    <mergeCell ref="J34:M34"/>
    <mergeCell ref="B44:C44"/>
    <mergeCell ref="B45:C45"/>
    <mergeCell ref="B47:C47"/>
    <mergeCell ref="B48:C48"/>
    <mergeCell ref="B49:C49"/>
    <mergeCell ref="F44:G44"/>
    <mergeCell ref="F45:G45"/>
    <mergeCell ref="F46:G46"/>
    <mergeCell ref="F47:G47"/>
    <mergeCell ref="F48:G48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"/>
  <dimension ref="A1:I147"/>
  <sheetViews>
    <sheetView topLeftCell="A120" zoomScaleNormal="100" workbookViewId="0">
      <selection activeCell="O159" sqref="O159"/>
    </sheetView>
  </sheetViews>
  <sheetFormatPr defaultColWidth="11.5" defaultRowHeight="11.25"/>
  <cols>
    <col min="1" max="1" width="19.83203125" style="27" customWidth="1"/>
    <col min="2" max="5" width="6.6640625" style="27" customWidth="1"/>
    <col min="6" max="6" width="7.5" style="27" customWidth="1"/>
    <col min="7" max="7" width="8.5" style="27" customWidth="1"/>
    <col min="8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9" ht="20.25" customHeight="1">
      <c r="A1" s="46" t="s">
        <v>380</v>
      </c>
    </row>
    <row r="2" spans="1:9" ht="20.25" customHeight="1">
      <c r="A2" s="48" t="s">
        <v>438</v>
      </c>
    </row>
    <row r="3" spans="1:9" ht="20.25" customHeight="1">
      <c r="A3" s="48" t="s">
        <v>439</v>
      </c>
    </row>
    <row r="4" spans="1:9" ht="20.25" customHeight="1">
      <c r="A4" s="48" t="s">
        <v>440</v>
      </c>
    </row>
    <row r="5" spans="1:9" ht="20.25" customHeight="1">
      <c r="A5" s="48" t="s">
        <v>441</v>
      </c>
    </row>
    <row r="6" spans="1:9" ht="20.25" customHeight="1">
      <c r="A6" s="48"/>
    </row>
    <row r="7" spans="1:9" ht="20.25" customHeight="1">
      <c r="A7" s="47"/>
    </row>
    <row r="8" spans="1:9" ht="20.25" customHeight="1">
      <c r="A8" s="47"/>
    </row>
    <row r="9" spans="1:9" ht="20.25" customHeight="1">
      <c r="A9" s="47"/>
    </row>
    <row r="10" spans="1:9" ht="20.25" customHeight="1">
      <c r="A10" s="47"/>
    </row>
    <row r="11" spans="1:9" ht="20.25" customHeight="1">
      <c r="A11" s="47"/>
    </row>
    <row r="12" spans="1:9" s="357" customFormat="1" ht="20.25" customHeight="1">
      <c r="A12" s="358" t="s">
        <v>158</v>
      </c>
    </row>
    <row r="14" spans="1:9">
      <c r="A14" s="163" t="s">
        <v>93</v>
      </c>
      <c r="B14" s="163"/>
      <c r="C14" s="163"/>
      <c r="D14" s="163"/>
      <c r="E14" s="163"/>
      <c r="F14" s="163"/>
      <c r="G14" s="163"/>
      <c r="H14" s="163"/>
      <c r="I14" s="163"/>
    </row>
    <row r="15" spans="1:9">
      <c r="A15" s="163"/>
      <c r="B15" s="163">
        <f>Input!E68</f>
        <v>2010</v>
      </c>
      <c r="C15" s="163">
        <f>Input!F68</f>
        <v>2011</v>
      </c>
      <c r="D15" s="163">
        <f>Input!G68</f>
        <v>2012</v>
      </c>
      <c r="E15" s="163">
        <f>Input!H68</f>
        <v>2013</v>
      </c>
      <c r="F15" s="163">
        <f>Input!I68</f>
        <v>2014</v>
      </c>
      <c r="G15" s="163">
        <f>Input!J68</f>
        <v>2015</v>
      </c>
      <c r="H15" s="163"/>
      <c r="I15" s="163" t="s">
        <v>442</v>
      </c>
    </row>
    <row r="16" spans="1:9">
      <c r="A16" s="163" t="str">
        <f>Input!E4</f>
        <v>€m</v>
      </c>
      <c r="B16" s="54" t="str">
        <f>Input!E69</f>
        <v>Actual</v>
      </c>
      <c r="C16" s="54" t="str">
        <f>Input!F69</f>
        <v>Actual</v>
      </c>
      <c r="D16" s="54" t="str">
        <f>Input!G69</f>
        <v>Actual</v>
      </c>
      <c r="E16" s="54" t="str">
        <f>Input!H69</f>
        <v>Plan</v>
      </c>
      <c r="F16" s="54" t="str">
        <f>Input!I69</f>
        <v>Plan</v>
      </c>
      <c r="G16" s="54" t="str">
        <f>Input!J69</f>
        <v>Plan</v>
      </c>
      <c r="H16" s="163"/>
      <c r="I16" s="163"/>
    </row>
    <row r="17" spans="1:9">
      <c r="A17" s="163" t="s">
        <v>47</v>
      </c>
      <c r="B17" s="193">
        <v>35</v>
      </c>
      <c r="C17" s="193">
        <v>60</v>
      </c>
      <c r="D17" s="193">
        <v>45</v>
      </c>
      <c r="E17" s="193">
        <v>38</v>
      </c>
      <c r="F17" s="193">
        <v>65</v>
      </c>
      <c r="G17" s="193">
        <v>50</v>
      </c>
      <c r="H17" s="163"/>
      <c r="I17" s="222">
        <v>57</v>
      </c>
    </row>
    <row r="18" spans="1:9">
      <c r="A18" s="163"/>
      <c r="B18" s="163"/>
      <c r="C18" s="163"/>
      <c r="D18" s="163"/>
      <c r="E18" s="163"/>
      <c r="F18" s="163"/>
      <c r="G18" s="163"/>
      <c r="H18" s="163"/>
      <c r="I18" s="163"/>
    </row>
    <row r="19" spans="1:9">
      <c r="A19" s="219" t="s">
        <v>391</v>
      </c>
      <c r="B19" s="163"/>
      <c r="C19" s="163"/>
      <c r="D19" s="163"/>
      <c r="E19" s="163"/>
      <c r="F19" s="163"/>
      <c r="G19" s="163"/>
      <c r="H19" s="163"/>
      <c r="I19" s="163"/>
    </row>
    <row r="20" spans="1:9">
      <c r="A20" s="219" t="str">
        <f>CONCATENATE(A17, " (",A16,")")</f>
        <v>Sales (€m)</v>
      </c>
      <c r="B20" s="163"/>
      <c r="C20" s="163"/>
      <c r="D20" s="163"/>
      <c r="E20" s="163"/>
      <c r="F20" s="163"/>
      <c r="G20" s="163"/>
      <c r="H20" s="163"/>
      <c r="I20" s="163"/>
    </row>
    <row r="34" spans="1:8" s="357" customFormat="1" ht="20.25" customHeight="1">
      <c r="A34" s="358" t="s">
        <v>114</v>
      </c>
    </row>
    <row r="37" spans="1:8" s="157" customFormat="1" ht="14.25">
      <c r="A37" s="160" t="s">
        <v>93</v>
      </c>
      <c r="B37" s="163"/>
      <c r="C37" s="163"/>
      <c r="D37" s="163"/>
      <c r="E37" s="163"/>
      <c r="F37" s="163"/>
      <c r="G37" s="163"/>
    </row>
    <row r="38" spans="1:8" s="157" customFormat="1" ht="19.5" customHeight="1">
      <c r="A38" s="27" t="s">
        <v>417</v>
      </c>
      <c r="B38" s="27"/>
      <c r="C38" s="27"/>
      <c r="D38" s="27"/>
      <c r="E38" s="27"/>
      <c r="F38" s="27"/>
      <c r="G38" s="27"/>
    </row>
    <row r="39" spans="1:8" s="157" customFormat="1" ht="12" customHeight="1">
      <c r="A39" s="27"/>
      <c r="B39" s="54">
        <f>Input!E68</f>
        <v>2010</v>
      </c>
      <c r="C39" s="54">
        <f>Input!F68</f>
        <v>2011</v>
      </c>
      <c r="D39" s="54">
        <f>Input!G68</f>
        <v>2012</v>
      </c>
      <c r="E39" s="54">
        <f>Input!H68</f>
        <v>2013</v>
      </c>
      <c r="F39" s="54">
        <f>Input!I68</f>
        <v>2014</v>
      </c>
      <c r="G39" s="54">
        <f>Input!J68</f>
        <v>2015</v>
      </c>
    </row>
    <row r="40" spans="1:8" s="157" customFormat="1" ht="12" customHeight="1">
      <c r="A40" s="27"/>
      <c r="B40" s="54" t="str">
        <f>Input!E69</f>
        <v>Actual</v>
      </c>
      <c r="C40" s="29" t="str">
        <f>Input!F69</f>
        <v>Actual</v>
      </c>
      <c r="D40" s="54" t="str">
        <f>Input!G69</f>
        <v>Actual</v>
      </c>
      <c r="E40" s="54" t="str">
        <f>Input!H69</f>
        <v>Plan</v>
      </c>
      <c r="F40" s="29" t="str">
        <f>Input!I69</f>
        <v>Plan</v>
      </c>
      <c r="G40" s="54" t="str">
        <f>Input!J69</f>
        <v>Plan</v>
      </c>
    </row>
    <row r="41" spans="1:8" s="157" customFormat="1" ht="12" customHeight="1">
      <c r="A41" s="27" t="str">
        <f>Input!E3</f>
        <v>XXX AG</v>
      </c>
      <c r="B41" s="93">
        <v>0.06</v>
      </c>
      <c r="C41" s="93">
        <v>5.7000000000000002E-2</v>
      </c>
      <c r="D41" s="93">
        <v>5.1999999999999998E-2</v>
      </c>
      <c r="E41" s="93">
        <v>0.05</v>
      </c>
      <c r="F41" s="93">
        <v>4.9000000000000002E-2</v>
      </c>
      <c r="G41" s="93">
        <v>4.8000000000000001E-2</v>
      </c>
    </row>
    <row r="42" spans="1:8" s="157" customFormat="1" ht="12" customHeight="1">
      <c r="A42" s="92" t="s">
        <v>4</v>
      </c>
      <c r="B42" s="93">
        <v>5.5E-2</v>
      </c>
      <c r="C42" s="93">
        <v>5.1999999999999998E-2</v>
      </c>
      <c r="D42" s="93">
        <v>5.1999999999999998E-2</v>
      </c>
      <c r="E42" s="93">
        <v>5.1999999999999998E-2</v>
      </c>
      <c r="F42" s="93">
        <v>5.1999999999999998E-2</v>
      </c>
      <c r="G42" s="93">
        <v>5.1999999999999998E-2</v>
      </c>
    </row>
    <row r="43" spans="1:8" s="157" customFormat="1" ht="12" customHeight="1">
      <c r="A43" s="92" t="s">
        <v>5</v>
      </c>
      <c r="B43" s="93">
        <v>0.04</v>
      </c>
      <c r="C43" s="93">
        <v>0.04</v>
      </c>
      <c r="D43" s="93">
        <v>0.04</v>
      </c>
      <c r="E43" s="93">
        <v>0.04</v>
      </c>
      <c r="F43" s="93">
        <v>0.04</v>
      </c>
      <c r="G43" s="93">
        <v>0.04</v>
      </c>
    </row>
    <row r="44" spans="1:8" s="157" customFormat="1" ht="12" customHeight="1">
      <c r="A44" s="92" t="s">
        <v>6</v>
      </c>
      <c r="B44" s="93">
        <v>3.7999999999999999E-2</v>
      </c>
      <c r="C44" s="93">
        <v>4.4999999999999998E-2</v>
      </c>
      <c r="D44" s="93">
        <v>4.4999999999999998E-2</v>
      </c>
      <c r="E44" s="93">
        <v>4.4999999999999998E-2</v>
      </c>
      <c r="F44" s="93">
        <v>4.4999999999999998E-2</v>
      </c>
      <c r="G44" s="93">
        <v>4.4999999999999998E-2</v>
      </c>
    </row>
    <row r="45" spans="1:8" s="157" customFormat="1" ht="12" customHeight="1">
      <c r="A45" s="27"/>
      <c r="B45" s="65"/>
      <c r="C45" s="65"/>
      <c r="D45" s="65"/>
      <c r="E45" s="65"/>
      <c r="F45" s="65"/>
      <c r="G45" s="65"/>
    </row>
    <row r="46" spans="1:8" s="157" customFormat="1" ht="12" customHeight="1">
      <c r="A46" s="27" t="s">
        <v>7</v>
      </c>
      <c r="B46" s="65">
        <f t="shared" ref="B46:G46" si="0">MAX(B42:B44)</f>
        <v>5.5E-2</v>
      </c>
      <c r="C46" s="65">
        <f t="shared" si="0"/>
        <v>5.1999999999999998E-2</v>
      </c>
      <c r="D46" s="65">
        <f t="shared" si="0"/>
        <v>5.1999999999999998E-2</v>
      </c>
      <c r="E46" s="65">
        <f t="shared" si="0"/>
        <v>5.1999999999999998E-2</v>
      </c>
      <c r="F46" s="65">
        <f t="shared" si="0"/>
        <v>5.1999999999999998E-2</v>
      </c>
      <c r="G46" s="65">
        <f t="shared" si="0"/>
        <v>5.1999999999999998E-2</v>
      </c>
      <c r="H46" s="218"/>
    </row>
    <row r="47" spans="1:8" s="157" customFormat="1" ht="12" customHeight="1">
      <c r="A47" s="27" t="s">
        <v>8</v>
      </c>
      <c r="B47" s="65">
        <f t="shared" ref="B47:G47" si="1">MIN(B42:B44)</f>
        <v>3.7999999999999999E-2</v>
      </c>
      <c r="C47" s="65">
        <f t="shared" si="1"/>
        <v>0.04</v>
      </c>
      <c r="D47" s="65">
        <f t="shared" si="1"/>
        <v>0.04</v>
      </c>
      <c r="E47" s="65">
        <f t="shared" si="1"/>
        <v>0.04</v>
      </c>
      <c r="F47" s="65">
        <f t="shared" si="1"/>
        <v>0.04</v>
      </c>
      <c r="G47" s="65">
        <f t="shared" si="1"/>
        <v>0.04</v>
      </c>
      <c r="H47" s="218"/>
    </row>
    <row r="48" spans="1:8" s="157" customFormat="1" ht="12" customHeight="1">
      <c r="A48" s="27" t="s">
        <v>24</v>
      </c>
      <c r="B48" s="65">
        <f t="shared" ref="B48:G48" si="2">AVERAGE(B42:B44)</f>
        <v>4.4333333333333336E-2</v>
      </c>
      <c r="C48" s="65">
        <f t="shared" si="2"/>
        <v>4.5666666666666668E-2</v>
      </c>
      <c r="D48" s="65">
        <f t="shared" si="2"/>
        <v>4.5666666666666668E-2</v>
      </c>
      <c r="E48" s="65">
        <f t="shared" si="2"/>
        <v>4.5666666666666668E-2</v>
      </c>
      <c r="F48" s="65">
        <f t="shared" si="2"/>
        <v>4.5666666666666668E-2</v>
      </c>
      <c r="G48" s="65">
        <f t="shared" si="2"/>
        <v>4.5666666666666668E-2</v>
      </c>
      <c r="H48" s="218"/>
    </row>
    <row r="49" spans="1:8" s="157" customFormat="1" ht="14.25">
      <c r="A49" s="163"/>
      <c r="B49" s="163"/>
      <c r="C49" s="163"/>
      <c r="D49" s="163"/>
      <c r="E49" s="163"/>
      <c r="F49" s="163"/>
      <c r="G49" s="163"/>
    </row>
    <row r="50" spans="1:8" s="157" customFormat="1" ht="14.25">
      <c r="A50" s="164" t="s">
        <v>611</v>
      </c>
      <c r="B50" s="163"/>
      <c r="C50" s="163"/>
      <c r="D50" s="163"/>
      <c r="E50" s="163"/>
      <c r="F50" s="163"/>
      <c r="G50" s="163"/>
    </row>
    <row r="51" spans="1:8" s="157" customFormat="1" ht="14.25">
      <c r="A51" s="164" t="s">
        <v>610</v>
      </c>
      <c r="B51" s="163"/>
      <c r="C51" s="163"/>
      <c r="D51" s="163"/>
      <c r="E51" s="163"/>
      <c r="F51" s="163"/>
      <c r="G51" s="163"/>
    </row>
    <row r="52" spans="1:8" s="157" customFormat="1" ht="14.25">
      <c r="A52" s="164"/>
      <c r="B52" s="163"/>
      <c r="C52" s="163"/>
      <c r="D52" s="163"/>
      <c r="E52" s="163"/>
      <c r="F52" s="163"/>
      <c r="G52" s="163"/>
    </row>
    <row r="53" spans="1:8" s="157" customFormat="1" ht="14.25">
      <c r="A53" s="164"/>
      <c r="B53" s="163"/>
      <c r="C53" s="163"/>
      <c r="D53" s="163"/>
      <c r="E53" s="163"/>
      <c r="F53" s="163"/>
      <c r="G53" s="163"/>
    </row>
    <row r="54" spans="1:8" s="157" customFormat="1" ht="14.25">
      <c r="A54" s="160" t="s">
        <v>93</v>
      </c>
      <c r="B54" s="163"/>
      <c r="C54" s="163"/>
      <c r="D54" s="163"/>
      <c r="E54" s="163"/>
      <c r="F54" s="163"/>
      <c r="G54" s="163"/>
    </row>
    <row r="55" spans="1:8" s="157" customFormat="1" ht="19.5" customHeight="1">
      <c r="A55" s="27" t="s">
        <v>418</v>
      </c>
      <c r="B55" s="27"/>
      <c r="C55" s="27"/>
      <c r="D55" s="27"/>
      <c r="E55" s="27"/>
      <c r="F55" s="27"/>
      <c r="G55" s="27"/>
    </row>
    <row r="56" spans="1:8" s="157" customFormat="1" ht="12" customHeight="1">
      <c r="A56" s="27"/>
      <c r="B56" s="54">
        <f>Input!E68</f>
        <v>2010</v>
      </c>
      <c r="C56" s="54">
        <f>Input!F68</f>
        <v>2011</v>
      </c>
      <c r="D56" s="54">
        <f>Input!G68</f>
        <v>2012</v>
      </c>
      <c r="E56" s="54">
        <f>Input!H68</f>
        <v>2013</v>
      </c>
      <c r="F56" s="54">
        <f>Input!I68</f>
        <v>2014</v>
      </c>
      <c r="G56" s="54">
        <f>Input!J68</f>
        <v>2015</v>
      </c>
    </row>
    <row r="57" spans="1:8" s="157" customFormat="1" ht="12" customHeight="1">
      <c r="A57" s="27"/>
      <c r="B57" s="54" t="str">
        <f>Input!E69</f>
        <v>Actual</v>
      </c>
      <c r="C57" s="54" t="str">
        <f>Input!F69</f>
        <v>Actual</v>
      </c>
      <c r="D57" s="54" t="str">
        <f>Input!G69</f>
        <v>Actual</v>
      </c>
      <c r="E57" s="54" t="str">
        <f>Input!H69</f>
        <v>Plan</v>
      </c>
      <c r="F57" s="54" t="str">
        <f>Input!I69</f>
        <v>Plan</v>
      </c>
      <c r="G57" s="54" t="str">
        <f>Input!J69</f>
        <v>Plan</v>
      </c>
    </row>
    <row r="58" spans="1:8" s="157" customFormat="1" ht="12" customHeight="1">
      <c r="A58" s="27" t="str">
        <f>Input!E3</f>
        <v>XXX AG</v>
      </c>
      <c r="B58" s="93">
        <v>-0.01</v>
      </c>
      <c r="C58" s="93">
        <v>0</v>
      </c>
      <c r="D58" s="93">
        <v>0.01</v>
      </c>
      <c r="E58" s="93">
        <v>1.2999999999999999E-2</v>
      </c>
      <c r="F58" s="93">
        <v>1.4E-2</v>
      </c>
      <c r="G58" s="93">
        <v>1.4999999999999999E-2</v>
      </c>
    </row>
    <row r="59" spans="1:8" s="157" customFormat="1" ht="12" customHeight="1">
      <c r="A59" s="223" t="str">
        <f>A42</f>
        <v>Peer 1</v>
      </c>
      <c r="B59" s="93">
        <v>2.3E-2</v>
      </c>
      <c r="C59" s="93">
        <v>2.1999999999999999E-2</v>
      </c>
      <c r="D59" s="93">
        <v>2.1999999999999999E-2</v>
      </c>
      <c r="E59" s="93">
        <v>0.02</v>
      </c>
      <c r="F59" s="93">
        <v>1.4999999999999999E-2</v>
      </c>
      <c r="G59" s="93">
        <v>0.01</v>
      </c>
    </row>
    <row r="60" spans="1:8" s="157" customFormat="1" ht="12" customHeight="1">
      <c r="A60" s="223" t="str">
        <f t="shared" ref="A60:A61" si="3">A43</f>
        <v>Peer 2</v>
      </c>
      <c r="B60" s="93">
        <v>1.4999999999999999E-2</v>
      </c>
      <c r="C60" s="93">
        <v>1.6E-2</v>
      </c>
      <c r="D60" s="93">
        <v>1.7000000000000001E-2</v>
      </c>
      <c r="E60" s="93">
        <v>1.7999999999999999E-2</v>
      </c>
      <c r="F60" s="93">
        <v>2.1999999999999999E-2</v>
      </c>
      <c r="G60" s="93">
        <v>2.4E-2</v>
      </c>
    </row>
    <row r="61" spans="1:8" s="157" customFormat="1" ht="12" customHeight="1">
      <c r="A61" s="223" t="str">
        <f t="shared" si="3"/>
        <v>Peer 3</v>
      </c>
      <c r="B61" s="93">
        <v>0.01</v>
      </c>
      <c r="C61" s="93">
        <v>0.01</v>
      </c>
      <c r="D61" s="93">
        <v>1.2E-2</v>
      </c>
      <c r="E61" s="93">
        <v>1.2999999999999999E-2</v>
      </c>
      <c r="F61" s="93">
        <v>1.2E-2</v>
      </c>
      <c r="G61" s="93">
        <v>1.4E-2</v>
      </c>
    </row>
    <row r="62" spans="1:8" s="157" customFormat="1" ht="12" customHeight="1">
      <c r="A62" s="27"/>
      <c r="B62" s="65"/>
      <c r="C62" s="65"/>
      <c r="D62" s="65"/>
      <c r="E62" s="65"/>
      <c r="F62" s="65"/>
      <c r="G62" s="65"/>
    </row>
    <row r="63" spans="1:8" s="157" customFormat="1" ht="12" customHeight="1">
      <c r="A63" s="27" t="s">
        <v>7</v>
      </c>
      <c r="B63" s="65">
        <f t="shared" ref="B63:G63" si="4">MAX(B59:B61)</f>
        <v>2.3E-2</v>
      </c>
      <c r="C63" s="65">
        <f t="shared" si="4"/>
        <v>2.1999999999999999E-2</v>
      </c>
      <c r="D63" s="65">
        <f t="shared" si="4"/>
        <v>2.1999999999999999E-2</v>
      </c>
      <c r="E63" s="65">
        <f t="shared" si="4"/>
        <v>0.02</v>
      </c>
      <c r="F63" s="65">
        <f t="shared" si="4"/>
        <v>2.1999999999999999E-2</v>
      </c>
      <c r="G63" s="65">
        <f t="shared" si="4"/>
        <v>2.4E-2</v>
      </c>
      <c r="H63" s="218"/>
    </row>
    <row r="64" spans="1:8" s="157" customFormat="1" ht="12" customHeight="1">
      <c r="A64" s="27" t="s">
        <v>8</v>
      </c>
      <c r="B64" s="65">
        <f t="shared" ref="B64:G64" si="5">MIN(B59:B61)</f>
        <v>0.01</v>
      </c>
      <c r="C64" s="65">
        <f t="shared" si="5"/>
        <v>0.01</v>
      </c>
      <c r="D64" s="65">
        <f t="shared" si="5"/>
        <v>1.2E-2</v>
      </c>
      <c r="E64" s="65">
        <f t="shared" si="5"/>
        <v>1.2999999999999999E-2</v>
      </c>
      <c r="F64" s="65">
        <f t="shared" si="5"/>
        <v>1.2E-2</v>
      </c>
      <c r="G64" s="65">
        <f t="shared" si="5"/>
        <v>0.01</v>
      </c>
      <c r="H64" s="218"/>
    </row>
    <row r="65" spans="1:8" s="157" customFormat="1" ht="12" customHeight="1">
      <c r="A65" s="27" t="s">
        <v>24</v>
      </c>
      <c r="B65" s="65">
        <f t="shared" ref="B65:G65" si="6">AVERAGE(B59:B61)</f>
        <v>1.6E-2</v>
      </c>
      <c r="C65" s="65">
        <f t="shared" si="6"/>
        <v>1.6E-2</v>
      </c>
      <c r="D65" s="65">
        <f t="shared" si="6"/>
        <v>1.7000000000000001E-2</v>
      </c>
      <c r="E65" s="65">
        <f t="shared" si="6"/>
        <v>1.6999999999999998E-2</v>
      </c>
      <c r="F65" s="65">
        <f t="shared" si="6"/>
        <v>1.6333333333333335E-2</v>
      </c>
      <c r="G65" s="65">
        <f t="shared" si="6"/>
        <v>1.6E-2</v>
      </c>
      <c r="H65" s="218"/>
    </row>
    <row r="66" spans="1:8" s="157" customFormat="1" ht="14.25">
      <c r="A66" s="164"/>
      <c r="B66" s="163"/>
      <c r="C66" s="163"/>
      <c r="D66" s="163"/>
      <c r="E66" s="163"/>
      <c r="F66" s="163"/>
      <c r="G66" s="163"/>
    </row>
    <row r="67" spans="1:8" s="157" customFormat="1" ht="14.25">
      <c r="A67" s="164" t="s">
        <v>419</v>
      </c>
      <c r="B67" s="163"/>
      <c r="C67" s="163"/>
      <c r="D67" s="163"/>
      <c r="E67" s="163"/>
      <c r="F67" s="163"/>
      <c r="G67" s="163"/>
    </row>
    <row r="68" spans="1:8" s="157" customFormat="1" ht="14.25">
      <c r="A68" s="164" t="s">
        <v>420</v>
      </c>
      <c r="B68" s="163"/>
      <c r="C68" s="163"/>
      <c r="D68" s="163"/>
      <c r="E68" s="163"/>
      <c r="F68" s="163"/>
      <c r="G68" s="163"/>
    </row>
    <row r="69" spans="1:8" s="157" customFormat="1" ht="14.25"/>
    <row r="71" spans="1:8" s="357" customFormat="1" ht="20.25" customHeight="1">
      <c r="A71" s="358" t="s">
        <v>105</v>
      </c>
    </row>
    <row r="74" spans="1:8" s="157" customFormat="1" ht="14.25">
      <c r="A74" s="160" t="s">
        <v>93</v>
      </c>
      <c r="B74" s="163"/>
      <c r="C74" s="163"/>
      <c r="D74" s="163"/>
      <c r="E74" s="163"/>
      <c r="F74" s="163"/>
      <c r="G74" s="163"/>
    </row>
    <row r="75" spans="1:8" s="157" customFormat="1" ht="19.5" customHeight="1">
      <c r="A75" s="163" t="s">
        <v>45</v>
      </c>
      <c r="B75" s="54">
        <f>Input!E68</f>
        <v>2010</v>
      </c>
      <c r="C75" s="54">
        <f>Input!F68</f>
        <v>2011</v>
      </c>
      <c r="D75" s="54">
        <f>Input!G68</f>
        <v>2012</v>
      </c>
      <c r="E75" s="54">
        <f>Input!H68</f>
        <v>2013</v>
      </c>
      <c r="F75" s="54">
        <f>Input!I68</f>
        <v>2014</v>
      </c>
      <c r="G75" s="54">
        <f>Input!J68</f>
        <v>2015</v>
      </c>
    </row>
    <row r="76" spans="1:8" s="157" customFormat="1" ht="12" customHeight="1">
      <c r="A76" s="163"/>
      <c r="B76" s="54" t="str">
        <f>Input!E69</f>
        <v>Actual</v>
      </c>
      <c r="C76" s="29" t="str">
        <f>Input!F69</f>
        <v>Actual</v>
      </c>
      <c r="D76" s="54" t="str">
        <f>Input!G69</f>
        <v>Actual</v>
      </c>
      <c r="E76" s="54" t="str">
        <f>Input!H69</f>
        <v>Plan</v>
      </c>
      <c r="F76" s="29" t="str">
        <f>Input!I69</f>
        <v>Plan</v>
      </c>
      <c r="G76" s="54" t="str">
        <f>Input!J69</f>
        <v>Plan</v>
      </c>
    </row>
    <row r="77" spans="1:8" s="157" customFormat="1" ht="12" customHeight="1">
      <c r="A77" s="188" t="s">
        <v>421</v>
      </c>
      <c r="B77" s="224">
        <v>0.06</v>
      </c>
      <c r="C77" s="224">
        <v>5.7000000000000002E-2</v>
      </c>
      <c r="D77" s="224">
        <v>5.1999999999999998E-2</v>
      </c>
      <c r="E77" s="224">
        <v>0.05</v>
      </c>
      <c r="F77" s="224">
        <v>4.9000000000000002E-2</v>
      </c>
      <c r="G77" s="224">
        <v>4.8000000000000001E-2</v>
      </c>
    </row>
    <row r="78" spans="1:8" s="157" customFormat="1" ht="12" customHeight="1">
      <c r="A78" s="188" t="s">
        <v>422</v>
      </c>
      <c r="B78" s="224">
        <v>3.5000000000000003E-2</v>
      </c>
      <c r="C78" s="224">
        <v>3.6999999999999998E-2</v>
      </c>
      <c r="D78" s="224">
        <v>0.04</v>
      </c>
      <c r="E78" s="224">
        <v>4.2000000000000003E-2</v>
      </c>
      <c r="F78" s="224">
        <v>4.2999999999999997E-2</v>
      </c>
      <c r="G78" s="224">
        <v>4.2999999999999997E-2</v>
      </c>
    </row>
    <row r="79" spans="1:8" s="157" customFormat="1" ht="12" customHeight="1">
      <c r="A79" s="188" t="s">
        <v>4</v>
      </c>
      <c r="B79" s="224">
        <v>5.5E-2</v>
      </c>
      <c r="C79" s="224">
        <v>5.1999999999999998E-2</v>
      </c>
      <c r="D79" s="224">
        <v>5.1999999999999998E-2</v>
      </c>
      <c r="E79" s="224">
        <v>5.1999999999999998E-2</v>
      </c>
      <c r="F79" s="224">
        <v>5.1999999999999998E-2</v>
      </c>
      <c r="G79" s="224">
        <v>5.1999999999999998E-2</v>
      </c>
    </row>
    <row r="80" spans="1:8" s="157" customFormat="1" ht="12" customHeight="1">
      <c r="A80" s="188" t="s">
        <v>5</v>
      </c>
      <c r="B80" s="224">
        <v>0.04</v>
      </c>
      <c r="C80" s="224">
        <v>0.04</v>
      </c>
      <c r="D80" s="224">
        <v>0.04</v>
      </c>
      <c r="E80" s="224">
        <v>0.04</v>
      </c>
      <c r="F80" s="224">
        <v>0.04</v>
      </c>
      <c r="G80" s="224">
        <v>0.04</v>
      </c>
    </row>
    <row r="81" spans="1:8" s="157" customFormat="1" ht="12" customHeight="1">
      <c r="A81" s="188" t="s">
        <v>6</v>
      </c>
      <c r="B81" s="224">
        <v>3.7999999999999999E-2</v>
      </c>
      <c r="C81" s="224">
        <v>4.4999999999999998E-2</v>
      </c>
      <c r="D81" s="224">
        <v>4.4999999999999998E-2</v>
      </c>
      <c r="E81" s="224">
        <v>4.4999999999999998E-2</v>
      </c>
      <c r="F81" s="224">
        <v>4.4999999999999998E-2</v>
      </c>
      <c r="G81" s="224">
        <v>4.4999999999999998E-2</v>
      </c>
    </row>
    <row r="82" spans="1:8" s="157" customFormat="1" ht="12" customHeight="1">
      <c r="A82" s="163"/>
      <c r="B82" s="163"/>
      <c r="C82" s="163"/>
      <c r="D82" s="163"/>
      <c r="E82" s="163"/>
      <c r="F82" s="163"/>
      <c r="G82" s="163"/>
    </row>
    <row r="83" spans="1:8" s="157" customFormat="1" ht="14.25">
      <c r="A83" s="163" t="s">
        <v>7</v>
      </c>
      <c r="B83" s="198">
        <f t="shared" ref="B83:G83" si="7">MAX(B79:B81)</f>
        <v>5.5E-2</v>
      </c>
      <c r="C83" s="198">
        <f t="shared" si="7"/>
        <v>5.1999999999999998E-2</v>
      </c>
      <c r="D83" s="198">
        <f t="shared" si="7"/>
        <v>5.1999999999999998E-2</v>
      </c>
      <c r="E83" s="198">
        <f t="shared" si="7"/>
        <v>5.1999999999999998E-2</v>
      </c>
      <c r="F83" s="198">
        <f t="shared" si="7"/>
        <v>5.1999999999999998E-2</v>
      </c>
      <c r="G83" s="198">
        <f t="shared" si="7"/>
        <v>5.1999999999999998E-2</v>
      </c>
      <c r="H83" s="218"/>
    </row>
    <row r="84" spans="1:8" s="157" customFormat="1" ht="14.25">
      <c r="A84" s="163" t="s">
        <v>8</v>
      </c>
      <c r="B84" s="198">
        <f t="shared" ref="B84:G84" si="8">MIN(B79:B81)</f>
        <v>3.7999999999999999E-2</v>
      </c>
      <c r="C84" s="198">
        <f t="shared" si="8"/>
        <v>0.04</v>
      </c>
      <c r="D84" s="198">
        <f t="shared" si="8"/>
        <v>0.04</v>
      </c>
      <c r="E84" s="198">
        <f t="shared" si="8"/>
        <v>0.04</v>
      </c>
      <c r="F84" s="198">
        <f t="shared" si="8"/>
        <v>0.04</v>
      </c>
      <c r="G84" s="198">
        <f t="shared" si="8"/>
        <v>0.04</v>
      </c>
      <c r="H84" s="218"/>
    </row>
    <row r="85" spans="1:8" s="157" customFormat="1" ht="14.25">
      <c r="A85" s="163" t="s">
        <v>24</v>
      </c>
      <c r="B85" s="198">
        <f t="shared" ref="B85:G85" si="9">AVERAGE(B79:B81)</f>
        <v>4.4333333333333336E-2</v>
      </c>
      <c r="C85" s="198">
        <f t="shared" si="9"/>
        <v>4.5666666666666668E-2</v>
      </c>
      <c r="D85" s="198">
        <f t="shared" si="9"/>
        <v>4.5666666666666668E-2</v>
      </c>
      <c r="E85" s="198">
        <f t="shared" si="9"/>
        <v>4.5666666666666668E-2</v>
      </c>
      <c r="F85" s="198">
        <f t="shared" si="9"/>
        <v>4.5666666666666668E-2</v>
      </c>
      <c r="G85" s="198">
        <f t="shared" si="9"/>
        <v>4.5666666666666668E-2</v>
      </c>
      <c r="H85" s="218"/>
    </row>
    <row r="86" spans="1:8" s="157" customFormat="1" ht="14.25">
      <c r="A86" s="163"/>
      <c r="B86" s="163"/>
      <c r="C86" s="163"/>
      <c r="D86" s="163"/>
      <c r="E86" s="163"/>
      <c r="F86" s="163"/>
      <c r="G86" s="163"/>
    </row>
    <row r="87" spans="1:8" s="157" customFormat="1" ht="14.25">
      <c r="A87" s="163"/>
      <c r="B87" s="163"/>
      <c r="C87" s="163"/>
      <c r="D87" s="163"/>
      <c r="E87" s="163"/>
      <c r="F87" s="163"/>
      <c r="G87" s="163"/>
    </row>
    <row r="88" spans="1:8" s="157" customFormat="1" ht="14.25">
      <c r="A88" s="164" t="s">
        <v>423</v>
      </c>
      <c r="B88" s="163"/>
      <c r="C88" s="163"/>
      <c r="D88" s="163"/>
      <c r="E88" s="163"/>
      <c r="F88" s="163"/>
      <c r="G88" s="163"/>
    </row>
    <row r="89" spans="1:8" s="157" customFormat="1" ht="14.25">
      <c r="A89" s="159"/>
      <c r="B89" s="165"/>
      <c r="C89" s="165"/>
      <c r="D89" s="165"/>
      <c r="E89" s="165"/>
      <c r="F89" s="165"/>
      <c r="G89" s="165"/>
    </row>
    <row r="98" spans="1:9" s="357" customFormat="1" ht="20.25" customHeight="1">
      <c r="A98" s="358" t="s">
        <v>107</v>
      </c>
    </row>
    <row r="100" spans="1:9">
      <c r="A100" s="163" t="s">
        <v>93</v>
      </c>
      <c r="B100" s="163"/>
      <c r="C100" s="163"/>
      <c r="D100" s="163"/>
      <c r="E100" s="163"/>
      <c r="F100" s="163"/>
      <c r="G100" s="163"/>
      <c r="H100" s="163"/>
      <c r="I100" s="163"/>
    </row>
    <row r="101" spans="1:9">
      <c r="A101" s="163"/>
      <c r="B101" s="163">
        <f>Input!E68</f>
        <v>2010</v>
      </c>
      <c r="C101" s="163">
        <f>Input!F68</f>
        <v>2011</v>
      </c>
      <c r="D101" s="163">
        <f>Input!G68</f>
        <v>2012</v>
      </c>
      <c r="E101" s="163">
        <f>Input!H68</f>
        <v>2013</v>
      </c>
      <c r="F101" s="163">
        <f>Input!I68</f>
        <v>2014</v>
      </c>
      <c r="G101" s="163">
        <f>Input!J68</f>
        <v>2015</v>
      </c>
      <c r="H101" s="163" t="s">
        <v>430</v>
      </c>
      <c r="I101" s="163" t="s">
        <v>443</v>
      </c>
    </row>
    <row r="102" spans="1:9">
      <c r="A102" s="163" t="str">
        <f>Input!E4</f>
        <v>€m</v>
      </c>
      <c r="B102" s="186" t="str">
        <f>Input!E69</f>
        <v>Actual</v>
      </c>
      <c r="C102" s="192" t="str">
        <f>Input!F69</f>
        <v>Actual</v>
      </c>
      <c r="D102" s="186" t="str">
        <f>Input!G69</f>
        <v>Actual</v>
      </c>
      <c r="E102" s="186" t="str">
        <f>Input!H69</f>
        <v>Plan</v>
      </c>
      <c r="F102" s="192" t="str">
        <f>Input!I69</f>
        <v>Plan</v>
      </c>
      <c r="G102" s="186" t="str">
        <f>Input!J69</f>
        <v>Plan</v>
      </c>
      <c r="H102" s="163"/>
      <c r="I102" s="163"/>
    </row>
    <row r="103" spans="1:9">
      <c r="A103" s="163" t="s">
        <v>47</v>
      </c>
      <c r="B103" s="225">
        <f>Input!E70</f>
        <v>50</v>
      </c>
      <c r="C103" s="225">
        <f>Input!F70</f>
        <v>54</v>
      </c>
      <c r="D103" s="225">
        <f>Input!G70</f>
        <v>56</v>
      </c>
      <c r="E103" s="225">
        <f>Input!H70</f>
        <v>59</v>
      </c>
      <c r="F103" s="225">
        <f>Input!I70</f>
        <v>61</v>
      </c>
      <c r="G103" s="225">
        <f>Input!J70</f>
        <v>67</v>
      </c>
      <c r="H103" s="225">
        <f>AVERAGE(B103:G103)</f>
        <v>57.833333333333336</v>
      </c>
      <c r="I103" s="225">
        <v>55</v>
      </c>
    </row>
    <row r="105" spans="1:9">
      <c r="A105" s="27" t="s">
        <v>391</v>
      </c>
    </row>
    <row r="106" spans="1:9">
      <c r="A106" s="27" t="str">
        <f>CONCATENATE(A103," (",A102,")")</f>
        <v>Sales (€m)</v>
      </c>
    </row>
    <row r="118" spans="1:5" s="357" customFormat="1" ht="20.25" customHeight="1">
      <c r="A118" s="358" t="s">
        <v>108</v>
      </c>
    </row>
    <row r="120" spans="1:5">
      <c r="A120" s="163" t="s">
        <v>93</v>
      </c>
      <c r="B120" s="163"/>
      <c r="C120" s="163"/>
      <c r="D120" s="163"/>
      <c r="E120" s="163"/>
    </row>
    <row r="121" spans="1:5">
      <c r="A121" s="229" t="s">
        <v>425</v>
      </c>
      <c r="B121" s="227">
        <v>0.224</v>
      </c>
      <c r="C121" s="227">
        <v>0.224</v>
      </c>
      <c r="D121" s="226"/>
      <c r="E121" s="226"/>
    </row>
    <row r="122" spans="1:5">
      <c r="A122" s="88" t="s">
        <v>426</v>
      </c>
      <c r="B122" s="230">
        <v>-2E-3</v>
      </c>
      <c r="C122" s="226"/>
      <c r="D122" s="227">
        <f>IF(PRODUCT(SUM($B121:$B$121),SUM($B121:$B$121))&gt;=0,IF(PRODUCT(SUM($B121:$B$121),$B122)&gt;=0,SUM($B121:$B$121),SUM($B121:$B$121)+$B122),0)</f>
        <v>0.222</v>
      </c>
      <c r="E122" s="227">
        <f>IF(PRODUCT(SUM($B121:$B$124),SUM($B121:$B$124))&gt;=0,(IF(PRODUCT(SUM($B121:$B$124),$B122)&gt;=0,$B122,-$B122)),(SUM($B121:$B$124)))</f>
        <v>2E-3</v>
      </c>
    </row>
    <row r="123" spans="1:5">
      <c r="A123" s="89" t="s">
        <v>427</v>
      </c>
      <c r="B123" s="230">
        <v>2E-3</v>
      </c>
      <c r="C123" s="226"/>
      <c r="D123" s="227">
        <f>IF(PRODUCT(SUM($B$121:$B122),SUM($B$121:$B122))&gt;=0,IF(PRODUCT(SUM($B$121:$B122),$B123)&gt;=0,SUM($B$121:$B122),SUM($B$121:$B122)+$B123),0)</f>
        <v>0.222</v>
      </c>
      <c r="E123" s="227">
        <f>IF(PRODUCT(SUM($B122:$B$124),SUM($B122:$B$124))&gt;=0,(IF(PRODUCT(SUM($B122:$B$124),$B123)&gt;=0,$B123,-$B123)),(SUM($B122:$B$124)))</f>
        <v>2E-3</v>
      </c>
    </row>
    <row r="124" spans="1:5">
      <c r="A124" s="89" t="s">
        <v>428</v>
      </c>
      <c r="B124" s="230">
        <v>0.01</v>
      </c>
      <c r="C124" s="226"/>
      <c r="D124" s="227">
        <f>IF(PRODUCT(SUM($B$121:$B123),SUM($B$121:$B123))&gt;=0,IF(PRODUCT(SUM($B$121:$B123),$B124)&gt;=0,SUM($B$121:$B123),SUM($B$121:$B123)+$B124),0)</f>
        <v>0.224</v>
      </c>
      <c r="E124" s="227">
        <f>IF(PRODUCT(SUM($B123:$B$124),SUM($B123:$B$124))&gt;=0,(IF(PRODUCT(SUM($B123:$B$124),$B124)&gt;=0,$B124,-$B124)),(SUM($B123:$B$124)))</f>
        <v>0.01</v>
      </c>
    </row>
    <row r="125" spans="1:5">
      <c r="A125" s="229" t="s">
        <v>429</v>
      </c>
      <c r="B125" s="228">
        <f>SUM(B121:B124)</f>
        <v>0.23400000000000001</v>
      </c>
      <c r="C125" s="227">
        <f>B125</f>
        <v>0.23400000000000001</v>
      </c>
      <c r="D125" s="226"/>
      <c r="E125" s="226"/>
    </row>
    <row r="126" spans="1:5" ht="14.25">
      <c r="A126" s="157"/>
      <c r="B126" s="157"/>
      <c r="C126" s="157"/>
      <c r="D126" s="157"/>
      <c r="E126" s="157"/>
    </row>
    <row r="139" spans="1:7" s="357" customFormat="1" ht="20.25" customHeight="1">
      <c r="A139" s="358" t="s">
        <v>128</v>
      </c>
    </row>
    <row r="141" spans="1:7">
      <c r="A141" s="163" t="s">
        <v>93</v>
      </c>
      <c r="B141" s="163"/>
      <c r="C141" s="163"/>
      <c r="D141" s="163"/>
      <c r="E141" s="163"/>
      <c r="F141" s="163"/>
      <c r="G141" s="163"/>
    </row>
    <row r="142" spans="1:7">
      <c r="A142" s="163"/>
      <c r="B142" s="163" t="s">
        <v>431</v>
      </c>
      <c r="C142" s="163" t="s">
        <v>432</v>
      </c>
      <c r="D142" s="163" t="s">
        <v>433</v>
      </c>
      <c r="E142" s="163"/>
      <c r="F142" s="163" t="s">
        <v>74</v>
      </c>
      <c r="G142" s="163"/>
    </row>
    <row r="143" spans="1:7">
      <c r="A143" s="163" t="s">
        <v>434</v>
      </c>
      <c r="B143" s="232">
        <v>112</v>
      </c>
      <c r="C143" s="232">
        <v>84</v>
      </c>
      <c r="D143" s="232">
        <v>84</v>
      </c>
      <c r="E143" s="163"/>
      <c r="F143" s="189">
        <f>SUM(B143:E143)</f>
        <v>280</v>
      </c>
      <c r="G143" s="163"/>
    </row>
    <row r="144" spans="1:7">
      <c r="A144" s="163" t="s">
        <v>435</v>
      </c>
      <c r="B144" s="198">
        <f>B143/$F143</f>
        <v>0.4</v>
      </c>
      <c r="C144" s="198">
        <f>C143/$F143</f>
        <v>0.3</v>
      </c>
      <c r="D144" s="198">
        <f>D143/$F143</f>
        <v>0.3</v>
      </c>
      <c r="E144" s="163"/>
      <c r="F144" s="231">
        <f>SUM(B144:E144)</f>
        <v>1</v>
      </c>
      <c r="G144" s="163"/>
    </row>
    <row r="145" spans="1:7">
      <c r="A145" s="163" t="s">
        <v>53</v>
      </c>
      <c r="B145" s="232">
        <v>40.32</v>
      </c>
      <c r="C145" s="232">
        <v>25.2</v>
      </c>
      <c r="D145" s="232">
        <v>16.8</v>
      </c>
      <c r="E145" s="220"/>
      <c r="F145" s="189">
        <f>SUM(B145:E145)</f>
        <v>82.32</v>
      </c>
      <c r="G145" s="163"/>
    </row>
    <row r="146" spans="1:7">
      <c r="A146" s="163" t="s">
        <v>436</v>
      </c>
      <c r="B146" s="200">
        <f>B145/B143</f>
        <v>0.36</v>
      </c>
      <c r="C146" s="200">
        <f>C145/C143</f>
        <v>0.3</v>
      </c>
      <c r="D146" s="200">
        <f>D145/D143</f>
        <v>0.2</v>
      </c>
      <c r="E146" s="163"/>
      <c r="F146" s="198">
        <f>F145/F143</f>
        <v>0.29399999999999998</v>
      </c>
      <c r="G146" s="163"/>
    </row>
    <row r="147" spans="1:7">
      <c r="A147" s="163" t="s">
        <v>437</v>
      </c>
      <c r="B147" s="198">
        <f>B144*B146</f>
        <v>0.14399999999999999</v>
      </c>
      <c r="C147" s="198">
        <f>C144*C146</f>
        <v>0.09</v>
      </c>
      <c r="D147" s="198">
        <f>D144*D146</f>
        <v>0.06</v>
      </c>
      <c r="E147" s="163"/>
      <c r="F147" s="198">
        <f>SUM(B147:D147)</f>
        <v>0.29399999999999998</v>
      </c>
      <c r="G147" s="221">
        <f>F146-F147</f>
        <v>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9"/>
  <dimension ref="A1:AB223"/>
  <sheetViews>
    <sheetView showGridLines="0" topLeftCell="A40" zoomScale="130" zoomScaleNormal="130" workbookViewId="0">
      <selection activeCell="I70" sqref="I70"/>
    </sheetView>
  </sheetViews>
  <sheetFormatPr defaultColWidth="13.33203125" defaultRowHeight="14.25" outlineLevelCol="1"/>
  <cols>
    <col min="1" max="1" width="2" style="157" customWidth="1"/>
    <col min="2" max="2" width="3.33203125" style="251" customWidth="1"/>
    <col min="3" max="3" width="28.1640625" style="251" customWidth="1"/>
    <col min="4" max="4" width="12.1640625" style="252" customWidth="1"/>
    <col min="5" max="5" width="13.1640625" style="252" customWidth="1"/>
    <col min="6" max="6" width="12.1640625" style="251" customWidth="1"/>
    <col min="7" max="10" width="14.6640625" style="251" customWidth="1"/>
    <col min="11" max="11" width="14.6640625" style="163" customWidth="1"/>
    <col min="12" max="13" width="14.6640625" style="251" customWidth="1"/>
    <col min="14" max="14" width="12.1640625" style="251" customWidth="1"/>
    <col min="15" max="15" width="28.1640625" style="251" customWidth="1"/>
    <col min="16" max="16" width="12.1640625" style="252" customWidth="1"/>
    <col min="17" max="17" width="13.5" style="252" customWidth="1"/>
    <col min="18" max="18" width="4.1640625" style="251" customWidth="1"/>
    <col min="19" max="20" width="13.33203125" style="251"/>
    <col min="21" max="21" width="2.1640625" style="254" customWidth="1" outlineLevel="1"/>
    <col min="22" max="22" width="25.1640625" style="254" customWidth="1" outlineLevel="1"/>
    <col min="23" max="23" width="5.6640625" style="254" customWidth="1" outlineLevel="1"/>
    <col min="24" max="24" width="25.1640625" style="254" customWidth="1" outlineLevel="1"/>
    <col min="25" max="26" width="17.33203125" style="254" customWidth="1" outlineLevel="1"/>
    <col min="27" max="16384" width="13.33203125" style="251"/>
  </cols>
  <sheetData>
    <row r="1" spans="1:28" ht="19.5" customHeight="1">
      <c r="A1" s="249" t="s">
        <v>490</v>
      </c>
      <c r="B1" s="250"/>
      <c r="F1" s="251" t="s">
        <v>158</v>
      </c>
      <c r="S1" s="253"/>
    </row>
    <row r="2" spans="1:28" ht="12" customHeight="1">
      <c r="S2" s="253"/>
    </row>
    <row r="3" spans="1:28" ht="19.5" customHeight="1">
      <c r="B3" s="348" t="s">
        <v>491</v>
      </c>
      <c r="C3" s="349"/>
      <c r="D3" s="349"/>
      <c r="E3" s="349"/>
      <c r="F3" s="349"/>
      <c r="G3" s="349"/>
      <c r="H3" s="349"/>
      <c r="I3" s="349"/>
      <c r="J3" s="349"/>
      <c r="K3" s="349"/>
      <c r="L3" s="348"/>
      <c r="M3" s="349"/>
      <c r="N3" s="349"/>
      <c r="O3" s="349"/>
      <c r="P3" s="349"/>
      <c r="Q3" s="349"/>
      <c r="T3" s="255" t="s">
        <v>492</v>
      </c>
    </row>
    <row r="4" spans="1:28" ht="12" customHeight="1">
      <c r="B4" s="256"/>
      <c r="C4" s="256"/>
      <c r="D4" s="256"/>
      <c r="E4" s="256"/>
      <c r="F4" s="256"/>
      <c r="G4" s="256"/>
      <c r="H4" s="257"/>
      <c r="I4" s="256"/>
      <c r="J4" s="256"/>
      <c r="K4" s="256"/>
      <c r="L4" s="256"/>
      <c r="M4" s="256"/>
      <c r="N4" s="256"/>
      <c r="O4" s="256"/>
      <c r="P4" s="256"/>
      <c r="Q4" s="256"/>
    </row>
    <row r="5" spans="1:28" ht="12" customHeight="1">
      <c r="B5" s="256"/>
      <c r="C5" s="258" t="s">
        <v>493</v>
      </c>
      <c r="D5" s="256"/>
      <c r="E5" s="259" t="s">
        <v>3</v>
      </c>
      <c r="F5" s="260" t="s">
        <v>494</v>
      </c>
      <c r="G5" s="261"/>
      <c r="H5" s="262" t="s">
        <v>495</v>
      </c>
      <c r="I5" s="261"/>
      <c r="J5" s="256"/>
      <c r="K5" s="263" t="str">
        <f>E5</f>
        <v>XXX AG</v>
      </c>
      <c r="L5" s="263" t="str">
        <f>F5</f>
        <v>Total market</v>
      </c>
      <c r="M5" s="256"/>
      <c r="N5" s="256"/>
      <c r="O5" s="256"/>
      <c r="P5" s="256"/>
      <c r="Q5" s="256"/>
      <c r="Y5" s="264" t="str">
        <f>K5</f>
        <v>XXX AG</v>
      </c>
      <c r="Z5" s="264" t="str">
        <f>L5</f>
        <v>Total market</v>
      </c>
    </row>
    <row r="6" spans="1:28" ht="12" customHeight="1">
      <c r="B6" s="256"/>
      <c r="C6" s="256"/>
      <c r="D6" s="256"/>
      <c r="E6" s="261"/>
      <c r="F6" s="261"/>
      <c r="G6" s="261"/>
      <c r="H6" s="265"/>
      <c r="I6" s="261"/>
      <c r="J6" s="256"/>
      <c r="K6" s="266" t="s">
        <v>496</v>
      </c>
      <c r="L6" s="266"/>
      <c r="M6" s="256"/>
      <c r="N6" s="256"/>
      <c r="O6" s="256"/>
      <c r="P6" s="256"/>
      <c r="Q6" s="256"/>
    </row>
    <row r="7" spans="1:28" ht="12" customHeight="1">
      <c r="B7" s="256"/>
      <c r="C7" s="256"/>
      <c r="D7" s="256"/>
      <c r="E7" s="261"/>
      <c r="F7" s="261"/>
      <c r="G7" s="261"/>
      <c r="H7" s="261"/>
      <c r="I7" s="261"/>
      <c r="J7" s="256"/>
      <c r="K7" s="267"/>
      <c r="L7" s="267"/>
      <c r="M7" s="256"/>
      <c r="N7" s="256"/>
      <c r="O7" s="256"/>
      <c r="P7" s="256"/>
      <c r="Q7" s="256"/>
    </row>
    <row r="8" spans="1:28" ht="12" customHeight="1">
      <c r="B8" s="256"/>
      <c r="C8" s="268" t="s">
        <v>497</v>
      </c>
      <c r="D8" s="256"/>
      <c r="E8" s="260" t="s">
        <v>498</v>
      </c>
      <c r="F8" s="261"/>
      <c r="G8" s="261"/>
      <c r="H8" s="265" t="s">
        <v>499</v>
      </c>
      <c r="I8" s="269">
        <v>0.01</v>
      </c>
      <c r="J8" s="256"/>
      <c r="K8" s="267"/>
      <c r="L8" s="267"/>
      <c r="M8" s="256"/>
      <c r="N8" s="256"/>
      <c r="O8" s="256"/>
      <c r="P8" s="256"/>
      <c r="Q8" s="256"/>
      <c r="U8" s="270" t="s">
        <v>500</v>
      </c>
      <c r="V8" s="270"/>
      <c r="W8" s="270"/>
      <c r="X8" s="270">
        <f ca="1">COUNTIF(X10:X34,"&lt;&gt;n/a")</f>
        <v>5</v>
      </c>
      <c r="Y8" s="270">
        <f t="shared" ref="Y8:Z8" ca="1" si="0">COUNTIF(Y10:Y34,"&lt;&gt;n/a")</f>
        <v>5</v>
      </c>
      <c r="Z8" s="270">
        <f t="shared" ca="1" si="0"/>
        <v>5</v>
      </c>
    </row>
    <row r="9" spans="1:28" ht="12" customHeight="1">
      <c r="B9" s="256"/>
      <c r="C9" s="256"/>
      <c r="D9" s="256"/>
      <c r="E9" s="261"/>
      <c r="F9" s="261"/>
      <c r="G9" s="261"/>
      <c r="H9" s="265" t="s">
        <v>501</v>
      </c>
      <c r="I9" s="271">
        <v>1</v>
      </c>
      <c r="J9" s="256"/>
      <c r="K9" s="272"/>
      <c r="L9" s="272"/>
      <c r="M9" s="256"/>
      <c r="N9" s="256"/>
      <c r="O9" s="256"/>
      <c r="P9" s="256"/>
      <c r="Q9" s="256"/>
    </row>
    <row r="10" spans="1:28" ht="12" customHeight="1">
      <c r="B10" s="256"/>
      <c r="C10" s="260" t="s">
        <v>502</v>
      </c>
      <c r="D10" s="256"/>
      <c r="E10" s="273">
        <v>0.65</v>
      </c>
      <c r="F10" s="274">
        <v>0.42670000000000002</v>
      </c>
      <c r="G10" s="261"/>
      <c r="H10" s="265" t="s">
        <v>503</v>
      </c>
      <c r="I10" s="275">
        <f>I8*I9</f>
        <v>0.01</v>
      </c>
      <c r="J10" s="256"/>
      <c r="K10" s="276">
        <f>IF(E10="","n/a",IF($I$10=0,E10,E10/$I$10))</f>
        <v>65</v>
      </c>
      <c r="L10" s="276">
        <f>IF(F10="","n/a",IF($I$10=0,F10,F10/$I$10))</f>
        <v>42.67</v>
      </c>
      <c r="M10" s="256"/>
      <c r="N10" s="256"/>
      <c r="O10" s="256"/>
      <c r="P10" s="256"/>
      <c r="Q10" s="256"/>
      <c r="U10" s="277">
        <f>IF(C10&lt;&gt;"",1,0)</f>
        <v>1</v>
      </c>
      <c r="V10" s="278" t="str">
        <f t="shared" ref="V10:V34" si="1">IF(U10=1,C10,"")</f>
        <v>Share Germany</v>
      </c>
      <c r="W10" s="279"/>
      <c r="X10" s="280" t="str">
        <f t="array" aca="1" ref="X10" ca="1">IFERROR(INDEX(V$10:V$34,SMALL(IF(COUNTIF(OFFSET(V$10,,,ROW($10:$34)),V$10:V$34)=1,ROW($10:$34)-9),ROW(V10)-9)),"n/a")</f>
        <v>Share Germany</v>
      </c>
      <c r="Y10" s="281">
        <f ca="1">IFERROR(VLOOKUP($X10,$C$10:$L$34,9,0),"n/a")</f>
        <v>65</v>
      </c>
      <c r="Z10" s="281">
        <f ca="1">IFERROR(VLOOKUP($X10,$C$10:$L$34,10,0),"n/a")</f>
        <v>42.67</v>
      </c>
      <c r="AA10" s="282"/>
      <c r="AB10" s="283"/>
    </row>
    <row r="11" spans="1:28" ht="12" customHeight="1">
      <c r="B11" s="256"/>
      <c r="C11" s="260" t="s">
        <v>504</v>
      </c>
      <c r="D11" s="256"/>
      <c r="E11" s="273">
        <v>0.3</v>
      </c>
      <c r="F11" s="274">
        <v>0.26669999999999999</v>
      </c>
      <c r="G11" s="261"/>
      <c r="H11" s="284"/>
      <c r="I11" s="284"/>
      <c r="J11" s="256"/>
      <c r="K11" s="276">
        <f t="shared" ref="K11:L13" si="2">IF(E11="","n/a",IF($I$10=0,E11,E11/$I$10))</f>
        <v>30</v>
      </c>
      <c r="L11" s="276">
        <f t="shared" si="2"/>
        <v>26.669999999999998</v>
      </c>
      <c r="M11" s="256"/>
      <c r="N11" s="256"/>
      <c r="O11" s="256"/>
      <c r="P11" s="256"/>
      <c r="Q11" s="256"/>
      <c r="U11" s="285">
        <f>IF(C11&lt;&gt;"",1,0)</f>
        <v>1</v>
      </c>
      <c r="V11" s="286" t="str">
        <f t="shared" si="1"/>
        <v>Share France</v>
      </c>
      <c r="W11" s="279"/>
      <c r="X11" s="280" t="str">
        <f t="array" aca="1" ref="X11" ca="1">IFERROR(INDEX(V$10:V$34,SMALL(IF(COUNTIF(OFFSET(V$10,,,ROW($10:$34)),V$10:V$34)=1,ROW($10:$34)-9),ROW(V11)-9)),"n/a")</f>
        <v>Share France</v>
      </c>
      <c r="Y11" s="281">
        <f t="shared" ref="Y11:Y34" ca="1" si="3">IFERROR(VLOOKUP($X11,$C$10:$L$34,9,0),"n/a")</f>
        <v>30</v>
      </c>
      <c r="Z11" s="281">
        <f t="shared" ref="Z11:Z34" ca="1" si="4">IFERROR(VLOOKUP($X11,$C$10:$L$34,10,0),"n/a")</f>
        <v>26.669999999999998</v>
      </c>
      <c r="AA11" s="282"/>
    </row>
    <row r="12" spans="1:28" ht="12" customHeight="1">
      <c r="B12" s="256"/>
      <c r="C12" s="260"/>
      <c r="D12" s="256"/>
      <c r="E12" s="273"/>
      <c r="F12" s="274"/>
      <c r="G12" s="261"/>
      <c r="H12" s="287"/>
      <c r="I12" s="284"/>
      <c r="J12" s="256"/>
      <c r="K12" s="276" t="str">
        <f t="shared" si="2"/>
        <v>n/a</v>
      </c>
      <c r="L12" s="276" t="str">
        <f t="shared" si="2"/>
        <v>n/a</v>
      </c>
      <c r="M12" s="256"/>
      <c r="N12" s="256"/>
      <c r="O12" s="256"/>
      <c r="P12" s="256"/>
      <c r="Q12" s="256"/>
      <c r="U12" s="285">
        <f>IF(C12&lt;&gt;"",1,0)</f>
        <v>0</v>
      </c>
      <c r="V12" s="286" t="str">
        <f t="shared" si="1"/>
        <v/>
      </c>
      <c r="W12" s="279"/>
      <c r="X12" s="280" t="str">
        <f t="array" aca="1" ref="X12" ca="1">IFERROR(INDEX(V$10:V$34,SMALL(IF(COUNTIF(OFFSET(V$10,,,ROW($10:$34)),V$10:V$34)=1,ROW($10:$34)-9),ROW(V12)-9)),"n/a")</f>
        <v>Share Netherlands</v>
      </c>
      <c r="Y12" s="281">
        <f t="shared" ca="1" si="3"/>
        <v>20</v>
      </c>
      <c r="Z12" s="281">
        <f t="shared" ca="1" si="4"/>
        <v>25</v>
      </c>
      <c r="AA12" s="282"/>
    </row>
    <row r="13" spans="1:28" ht="12" customHeight="1">
      <c r="B13" s="256"/>
      <c r="C13" s="260"/>
      <c r="D13" s="256"/>
      <c r="E13" s="273"/>
      <c r="F13" s="274"/>
      <c r="G13" s="261"/>
      <c r="H13" s="287"/>
      <c r="I13" s="284"/>
      <c r="J13" s="256"/>
      <c r="K13" s="276" t="str">
        <f t="shared" si="2"/>
        <v>n/a</v>
      </c>
      <c r="L13" s="276" t="str">
        <f t="shared" si="2"/>
        <v>n/a</v>
      </c>
      <c r="M13" s="256"/>
      <c r="N13" s="256"/>
      <c r="O13" s="256"/>
      <c r="P13" s="256"/>
      <c r="Q13" s="256"/>
      <c r="U13" s="288">
        <f>IF(C13&lt;&gt;"",1,0)</f>
        <v>0</v>
      </c>
      <c r="V13" s="289" t="str">
        <f t="shared" si="1"/>
        <v/>
      </c>
      <c r="W13" s="279"/>
      <c r="X13" s="280" t="str">
        <f t="array" aca="1" ref="X13" ca="1">IFERROR(INDEX(V$10:V$34,SMALL(IF(COUNTIF(OFFSET(V$10,,,ROW($10:$34)),V$10:V$34)=1,ROW($10:$34)-9),ROW(V13)-9)),"n/a")</f>
        <v>Share Poland</v>
      </c>
      <c r="Y13" s="281">
        <f t="shared" ca="1" si="3"/>
        <v>2</v>
      </c>
      <c r="Z13" s="281">
        <f t="shared" ca="1" si="4"/>
        <v>7.0000000000000009</v>
      </c>
      <c r="AA13" s="282"/>
    </row>
    <row r="14" spans="1:28" ht="12" customHeight="1">
      <c r="B14" s="256"/>
      <c r="C14" s="256"/>
      <c r="D14" s="256"/>
      <c r="E14" s="261"/>
      <c r="F14" s="261"/>
      <c r="G14" s="261"/>
      <c r="H14" s="287"/>
      <c r="I14" s="284"/>
      <c r="J14" s="256"/>
      <c r="K14" s="267"/>
      <c r="L14" s="267"/>
      <c r="M14" s="256"/>
      <c r="N14" s="256"/>
      <c r="O14" s="256"/>
      <c r="P14" s="256"/>
      <c r="Q14" s="256"/>
      <c r="U14" s="290"/>
      <c r="V14" s="254" t="str">
        <f t="shared" si="1"/>
        <v/>
      </c>
      <c r="X14" s="280" t="str">
        <f t="array" aca="1" ref="X14" ca="1">IFERROR(INDEX(V$10:V$34,SMALL(IF(COUNTIF(OFFSET(V$10,,,ROW($10:$34)),V$10:V$34)=1,ROW($10:$34)-9),ROW(V14)-9)),"n/a")</f>
        <v>Share Serbia</v>
      </c>
      <c r="Y14" s="281">
        <f t="shared" ca="1" si="3"/>
        <v>1</v>
      </c>
      <c r="Z14" s="281">
        <f t="shared" ca="1" si="4"/>
        <v>8</v>
      </c>
      <c r="AA14" s="282"/>
    </row>
    <row r="15" spans="1:28" ht="12" customHeight="1">
      <c r="B15" s="256"/>
      <c r="C15" s="268" t="s">
        <v>505</v>
      </c>
      <c r="D15" s="256"/>
      <c r="E15" s="260" t="s">
        <v>498</v>
      </c>
      <c r="F15" s="261"/>
      <c r="G15" s="261"/>
      <c r="H15" s="265" t="s">
        <v>499</v>
      </c>
      <c r="I15" s="269">
        <v>0.01</v>
      </c>
      <c r="J15" s="256"/>
      <c r="K15" s="267"/>
      <c r="L15" s="267"/>
      <c r="M15" s="256"/>
      <c r="N15" s="256"/>
      <c r="O15" s="256"/>
      <c r="P15" s="256"/>
      <c r="Q15" s="256"/>
      <c r="U15" s="290"/>
      <c r="V15" s="254" t="str">
        <f t="shared" si="1"/>
        <v/>
      </c>
      <c r="X15" s="280" t="str">
        <f t="array" aca="1" ref="X15" ca="1">IFERROR(INDEX(V$10:V$34,SMALL(IF(COUNTIF(OFFSET(V$10,,,ROW($10:$34)),V$10:V$34)=1,ROW($10:$34)-9),ROW(V15)-9)),"n/a")</f>
        <v>n/a</v>
      </c>
      <c r="Y15" s="281" t="str">
        <f t="shared" ca="1" si="3"/>
        <v>n/a</v>
      </c>
      <c r="Z15" s="281" t="str">
        <f t="shared" ca="1" si="4"/>
        <v>n/a</v>
      </c>
    </row>
    <row r="16" spans="1:28" ht="12" customHeight="1">
      <c r="B16" s="256"/>
      <c r="C16" s="256"/>
      <c r="D16" s="256"/>
      <c r="E16" s="261"/>
      <c r="F16" s="261"/>
      <c r="G16" s="261"/>
      <c r="H16" s="265" t="s">
        <v>501</v>
      </c>
      <c r="I16" s="291">
        <v>1</v>
      </c>
      <c r="J16" s="256"/>
      <c r="K16" s="272"/>
      <c r="L16" s="272"/>
      <c r="M16" s="256"/>
      <c r="N16" s="256"/>
      <c r="O16" s="256"/>
      <c r="P16" s="256"/>
      <c r="Q16" s="256"/>
      <c r="U16" s="290"/>
      <c r="V16" s="254" t="str">
        <f t="shared" si="1"/>
        <v/>
      </c>
      <c r="X16" s="280" t="str">
        <f t="array" aca="1" ref="X16" ca="1">IFERROR(INDEX(V$10:V$34,SMALL(IF(COUNTIF(OFFSET(V$10,,,ROW($10:$34)),V$10:V$34)=1,ROW($10:$34)-9),ROW(V16)-9)),"n/a")</f>
        <v>n/a</v>
      </c>
      <c r="Y16" s="281" t="str">
        <f t="shared" ca="1" si="3"/>
        <v>n/a</v>
      </c>
      <c r="Z16" s="281" t="str">
        <f t="shared" ca="1" si="4"/>
        <v>n/a</v>
      </c>
    </row>
    <row r="17" spans="2:26" ht="12" customHeight="1">
      <c r="B17" s="256"/>
      <c r="C17" s="260" t="s">
        <v>506</v>
      </c>
      <c r="D17" s="256"/>
      <c r="E17" s="273">
        <v>0.2</v>
      </c>
      <c r="F17" s="274">
        <v>0.25</v>
      </c>
      <c r="G17" s="261"/>
      <c r="H17" s="265" t="s">
        <v>503</v>
      </c>
      <c r="I17" s="275">
        <f>I15*I16</f>
        <v>0.01</v>
      </c>
      <c r="J17" s="256"/>
      <c r="K17" s="276">
        <f>IF(E17="","n/a",IF($I$17=0,E17,E17/$I$17))</f>
        <v>20</v>
      </c>
      <c r="L17" s="276">
        <f>IF(F17="","n/a",IF($I$17=0,F17,F17/$I$17))</f>
        <v>25</v>
      </c>
      <c r="M17" s="256"/>
      <c r="N17" s="256"/>
      <c r="O17" s="256"/>
      <c r="P17" s="256"/>
      <c r="Q17" s="256"/>
      <c r="U17" s="292">
        <f>IF(C17&lt;&gt;"",1,0)</f>
        <v>1</v>
      </c>
      <c r="V17" s="293" t="str">
        <f t="shared" si="1"/>
        <v>Share Netherlands</v>
      </c>
      <c r="X17" s="280" t="str">
        <f t="array" aca="1" ref="X17" ca="1">IFERROR(INDEX(V$10:V$34,SMALL(IF(COUNTIF(OFFSET(V$10,,,ROW($10:$34)),V$10:V$34)=1,ROW($10:$34)-9),ROW(V17)-9)),"n/a")</f>
        <v>n/a</v>
      </c>
      <c r="Y17" s="281" t="str">
        <f t="shared" ca="1" si="3"/>
        <v>n/a</v>
      </c>
      <c r="Z17" s="281" t="str">
        <f t="shared" ca="1" si="4"/>
        <v>n/a</v>
      </c>
    </row>
    <row r="18" spans="2:26" ht="12" customHeight="1">
      <c r="B18" s="256"/>
      <c r="C18" s="260" t="s">
        <v>507</v>
      </c>
      <c r="D18" s="256"/>
      <c r="E18" s="259">
        <v>0.02</v>
      </c>
      <c r="F18" s="260">
        <v>7.0000000000000007E-2</v>
      </c>
      <c r="G18" s="261"/>
      <c r="H18" s="284"/>
      <c r="I18" s="284"/>
      <c r="J18" s="256"/>
      <c r="K18" s="276">
        <f t="shared" ref="K18:L20" si="5">IF(E18="","n/a",IF($I$17=0,E18,E18/$I$17))</f>
        <v>2</v>
      </c>
      <c r="L18" s="276">
        <f t="shared" si="5"/>
        <v>7.0000000000000009</v>
      </c>
      <c r="M18" s="256"/>
      <c r="N18" s="256"/>
      <c r="O18" s="256"/>
      <c r="P18" s="256"/>
      <c r="Q18" s="256"/>
      <c r="U18" s="285">
        <f>IF(C18&lt;&gt;"",1,0)</f>
        <v>1</v>
      </c>
      <c r="V18" s="286" t="str">
        <f t="shared" si="1"/>
        <v>Share Poland</v>
      </c>
      <c r="X18" s="280" t="str">
        <f t="array" aca="1" ref="X18" ca="1">IFERROR(INDEX(V$10:V$34,SMALL(IF(COUNTIF(OFFSET(V$10,,,ROW($10:$34)),V$10:V$34)=1,ROW($10:$34)-9),ROW(V18)-9)),"n/a")</f>
        <v>n/a</v>
      </c>
      <c r="Y18" s="281" t="str">
        <f t="shared" ca="1" si="3"/>
        <v>n/a</v>
      </c>
      <c r="Z18" s="281" t="str">
        <f t="shared" ca="1" si="4"/>
        <v>n/a</v>
      </c>
    </row>
    <row r="19" spans="2:26" ht="12" customHeight="1">
      <c r="B19" s="256"/>
      <c r="C19" s="260"/>
      <c r="D19" s="256"/>
      <c r="E19" s="273"/>
      <c r="F19" s="274"/>
      <c r="G19" s="261"/>
      <c r="H19" s="287"/>
      <c r="I19" s="284"/>
      <c r="J19" s="256"/>
      <c r="K19" s="276" t="str">
        <f t="shared" si="5"/>
        <v>n/a</v>
      </c>
      <c r="L19" s="276" t="str">
        <f t="shared" si="5"/>
        <v>n/a</v>
      </c>
      <c r="M19" s="256"/>
      <c r="N19" s="256"/>
      <c r="O19" s="256"/>
      <c r="P19" s="256"/>
      <c r="Q19" s="256"/>
      <c r="U19" s="285">
        <f>IF(C19&lt;&gt;"",1,0)</f>
        <v>0</v>
      </c>
      <c r="V19" s="286" t="str">
        <f t="shared" si="1"/>
        <v/>
      </c>
      <c r="X19" s="280" t="str">
        <f t="array" aca="1" ref="X19" ca="1">IFERROR(INDEX(V$10:V$34,SMALL(IF(COUNTIF(OFFSET(V$10,,,ROW($10:$34)),V$10:V$34)=1,ROW($10:$34)-9),ROW(V19)-9)),"n/a")</f>
        <v>n/a</v>
      </c>
      <c r="Y19" s="281" t="str">
        <f t="shared" ca="1" si="3"/>
        <v>n/a</v>
      </c>
      <c r="Z19" s="281" t="str">
        <f t="shared" ca="1" si="4"/>
        <v>n/a</v>
      </c>
    </row>
    <row r="20" spans="2:26" ht="12" customHeight="1">
      <c r="B20" s="256"/>
      <c r="C20" s="260"/>
      <c r="D20" s="256"/>
      <c r="E20" s="273"/>
      <c r="F20" s="274"/>
      <c r="G20" s="261"/>
      <c r="H20" s="287"/>
      <c r="I20" s="284"/>
      <c r="J20" s="256"/>
      <c r="K20" s="276" t="str">
        <f t="shared" si="5"/>
        <v>n/a</v>
      </c>
      <c r="L20" s="276" t="str">
        <f t="shared" si="5"/>
        <v>n/a</v>
      </c>
      <c r="M20" s="256"/>
      <c r="N20" s="256"/>
      <c r="O20" s="256"/>
      <c r="P20" s="256"/>
      <c r="Q20" s="256"/>
      <c r="U20" s="288">
        <f>IF(C20&lt;&gt;"",1,0)</f>
        <v>0</v>
      </c>
      <c r="V20" s="289" t="str">
        <f t="shared" si="1"/>
        <v/>
      </c>
      <c r="X20" s="280" t="str">
        <f t="array" aca="1" ref="X20" ca="1">IFERROR(INDEX(V$10:V$34,SMALL(IF(COUNTIF(OFFSET(V$10,,,ROW($10:$34)),V$10:V$34)=1,ROW($10:$34)-9),ROW(V20)-9)),"n/a")</f>
        <v>n/a</v>
      </c>
      <c r="Y20" s="281" t="str">
        <f t="shared" ca="1" si="3"/>
        <v>n/a</v>
      </c>
      <c r="Z20" s="281" t="str">
        <f t="shared" ca="1" si="4"/>
        <v>n/a</v>
      </c>
    </row>
    <row r="21" spans="2:26" ht="12" customHeight="1">
      <c r="B21" s="256"/>
      <c r="C21" s="256"/>
      <c r="D21" s="256"/>
      <c r="E21" s="261"/>
      <c r="F21" s="261"/>
      <c r="G21" s="261"/>
      <c r="H21" s="287"/>
      <c r="I21" s="284"/>
      <c r="J21" s="256"/>
      <c r="K21" s="267"/>
      <c r="L21" s="267"/>
      <c r="M21" s="256"/>
      <c r="N21" s="256"/>
      <c r="O21" s="256"/>
      <c r="P21" s="256"/>
      <c r="Q21" s="256"/>
      <c r="U21" s="290"/>
      <c r="V21" s="254" t="str">
        <f t="shared" si="1"/>
        <v/>
      </c>
      <c r="X21" s="280" t="str">
        <f t="array" aca="1" ref="X21" ca="1">IFERROR(INDEX(V$10:V$34,SMALL(IF(COUNTIF(OFFSET(V$10,,,ROW($10:$34)),V$10:V$34)=1,ROW($10:$34)-9),ROW(V21)-9)),"n/a")</f>
        <v>n/a</v>
      </c>
      <c r="Y21" s="281" t="str">
        <f t="shared" ca="1" si="3"/>
        <v>n/a</v>
      </c>
      <c r="Z21" s="281" t="str">
        <f t="shared" ca="1" si="4"/>
        <v>n/a</v>
      </c>
    </row>
    <row r="22" spans="2:26" ht="12" customHeight="1">
      <c r="B22" s="256"/>
      <c r="C22" s="268" t="s">
        <v>508</v>
      </c>
      <c r="D22" s="256"/>
      <c r="E22" s="260" t="s">
        <v>498</v>
      </c>
      <c r="F22" s="261"/>
      <c r="G22" s="261"/>
      <c r="H22" s="265" t="s">
        <v>499</v>
      </c>
      <c r="I22" s="269">
        <v>0.01</v>
      </c>
      <c r="J22" s="256"/>
      <c r="K22" s="267"/>
      <c r="L22" s="267"/>
      <c r="M22" s="256"/>
      <c r="N22" s="256"/>
      <c r="O22" s="256"/>
      <c r="P22" s="256"/>
      <c r="Q22" s="256"/>
      <c r="U22" s="290"/>
      <c r="V22" s="254" t="str">
        <f t="shared" si="1"/>
        <v/>
      </c>
      <c r="X22" s="280" t="str">
        <f t="array" aca="1" ref="X22" ca="1">IFERROR(INDEX(V$10:V$34,SMALL(IF(COUNTIF(OFFSET(V$10,,,ROW($10:$34)),V$10:V$34)=1,ROW($10:$34)-9),ROW(V22)-9)),"n/a")</f>
        <v>n/a</v>
      </c>
      <c r="Y22" s="281" t="str">
        <f t="shared" ca="1" si="3"/>
        <v>n/a</v>
      </c>
      <c r="Z22" s="281" t="str">
        <f t="shared" ca="1" si="4"/>
        <v>n/a</v>
      </c>
    </row>
    <row r="23" spans="2:26" ht="12" customHeight="1">
      <c r="B23" s="256"/>
      <c r="C23" s="256"/>
      <c r="D23" s="256"/>
      <c r="E23" s="261"/>
      <c r="F23" s="261"/>
      <c r="G23" s="261"/>
      <c r="H23" s="265" t="s">
        <v>501</v>
      </c>
      <c r="I23" s="291">
        <v>1</v>
      </c>
      <c r="J23" s="256"/>
      <c r="K23" s="276"/>
      <c r="L23" s="276"/>
      <c r="M23" s="256"/>
      <c r="N23" s="256"/>
      <c r="O23" s="256"/>
      <c r="P23" s="256"/>
      <c r="Q23" s="256"/>
      <c r="U23" s="290"/>
      <c r="V23" s="254" t="str">
        <f t="shared" si="1"/>
        <v/>
      </c>
      <c r="X23" s="280" t="str">
        <f t="array" aca="1" ref="X23" ca="1">IFERROR(INDEX(V$10:V$34,SMALL(IF(COUNTIF(OFFSET(V$10,,,ROW($10:$34)),V$10:V$34)=1,ROW($10:$34)-9),ROW(V23)-9)),"n/a")</f>
        <v>n/a</v>
      </c>
      <c r="Y23" s="281" t="str">
        <f t="shared" ca="1" si="3"/>
        <v>n/a</v>
      </c>
      <c r="Z23" s="281" t="str">
        <f t="shared" ca="1" si="4"/>
        <v>n/a</v>
      </c>
    </row>
    <row r="24" spans="2:26" ht="12" customHeight="1">
      <c r="B24" s="256"/>
      <c r="C24" s="260" t="s">
        <v>509</v>
      </c>
      <c r="D24" s="256"/>
      <c r="E24" s="259">
        <v>0.01</v>
      </c>
      <c r="F24" s="260">
        <v>0.08</v>
      </c>
      <c r="G24" s="261"/>
      <c r="H24" s="265" t="s">
        <v>503</v>
      </c>
      <c r="I24" s="275">
        <f>I22*I23</f>
        <v>0.01</v>
      </c>
      <c r="J24" s="256"/>
      <c r="K24" s="276">
        <f>IF(E24="","n/a",IF($I$24=0,E24,E24/$I$24))</f>
        <v>1</v>
      </c>
      <c r="L24" s="276">
        <f>IF(F24="","n/a",IF($I$24=0,F24,F24/$I$24))</f>
        <v>8</v>
      </c>
      <c r="M24" s="256"/>
      <c r="N24" s="256"/>
      <c r="O24" s="256"/>
      <c r="P24" s="256"/>
      <c r="Q24" s="256"/>
      <c r="U24" s="292">
        <f>IF(C24&lt;&gt;"",1,0)</f>
        <v>1</v>
      </c>
      <c r="V24" s="293" t="str">
        <f t="shared" si="1"/>
        <v>Share Serbia</v>
      </c>
      <c r="X24" s="280" t="str">
        <f t="array" aca="1" ref="X24" ca="1">IFERROR(INDEX(V$10:V$34,SMALL(IF(COUNTIF(OFFSET(V$10,,,ROW($10:$34)),V$10:V$34)=1,ROW($10:$34)-9),ROW(V24)-9)),"n/a")</f>
        <v>n/a</v>
      </c>
      <c r="Y24" s="281" t="str">
        <f t="shared" ca="1" si="3"/>
        <v>n/a</v>
      </c>
      <c r="Z24" s="281" t="str">
        <f t="shared" ca="1" si="4"/>
        <v>n/a</v>
      </c>
    </row>
    <row r="25" spans="2:26" ht="12" customHeight="1">
      <c r="B25" s="256"/>
      <c r="C25" s="260"/>
      <c r="D25" s="256"/>
      <c r="E25" s="259"/>
      <c r="F25" s="260"/>
      <c r="G25" s="261"/>
      <c r="H25" s="284"/>
      <c r="I25" s="284"/>
      <c r="J25" s="256"/>
      <c r="K25" s="276" t="str">
        <f t="shared" ref="K25:L27" si="6">IF(E25="","n/a",IF($I$24=0,E25,E25/$I$24))</f>
        <v>n/a</v>
      </c>
      <c r="L25" s="276" t="str">
        <f t="shared" si="6"/>
        <v>n/a</v>
      </c>
      <c r="M25" s="256"/>
      <c r="N25" s="256"/>
      <c r="O25" s="256"/>
      <c r="P25" s="256"/>
      <c r="Q25" s="256"/>
      <c r="U25" s="285">
        <f>IF(C25&lt;&gt;"",1,0)</f>
        <v>0</v>
      </c>
      <c r="V25" s="286" t="str">
        <f t="shared" si="1"/>
        <v/>
      </c>
      <c r="X25" s="280" t="str">
        <f t="array" aca="1" ref="X25" ca="1">IFERROR(INDEX(V$10:V$34,SMALL(IF(COUNTIF(OFFSET(V$10,,,ROW($10:$34)),V$10:V$34)=1,ROW($10:$34)-9),ROW(V25)-9)),"n/a")</f>
        <v>n/a</v>
      </c>
      <c r="Y25" s="281" t="str">
        <f t="shared" ca="1" si="3"/>
        <v>n/a</v>
      </c>
      <c r="Z25" s="281" t="str">
        <f t="shared" ca="1" si="4"/>
        <v>n/a</v>
      </c>
    </row>
    <row r="26" spans="2:26" ht="12" customHeight="1">
      <c r="B26" s="256"/>
      <c r="C26" s="260"/>
      <c r="D26" s="256"/>
      <c r="E26" s="294"/>
      <c r="F26" s="295"/>
      <c r="G26" s="261"/>
      <c r="H26" s="287"/>
      <c r="I26" s="284"/>
      <c r="J26" s="256"/>
      <c r="K26" s="276" t="str">
        <f t="shared" si="6"/>
        <v>n/a</v>
      </c>
      <c r="L26" s="276" t="str">
        <f t="shared" si="6"/>
        <v>n/a</v>
      </c>
      <c r="M26" s="256"/>
      <c r="N26" s="256"/>
      <c r="O26" s="256"/>
      <c r="P26" s="256"/>
      <c r="Q26" s="256"/>
      <c r="U26" s="285">
        <f>IF(C26&lt;&gt;"",1,0)</f>
        <v>0</v>
      </c>
      <c r="V26" s="286" t="str">
        <f t="shared" si="1"/>
        <v/>
      </c>
      <c r="X26" s="280" t="str">
        <f t="array" aca="1" ref="X26" ca="1">IFERROR(INDEX(V$10:V$34,SMALL(IF(COUNTIF(OFFSET(V$10,,,ROW($10:$34)),V$10:V$34)=1,ROW($10:$34)-9),ROW(V26)-9)),"n/a")</f>
        <v>n/a</v>
      </c>
      <c r="Y26" s="281" t="str">
        <f t="shared" ca="1" si="3"/>
        <v>n/a</v>
      </c>
      <c r="Z26" s="281" t="str">
        <f t="shared" ca="1" si="4"/>
        <v>n/a</v>
      </c>
    </row>
    <row r="27" spans="2:26" ht="12" customHeight="1">
      <c r="B27" s="256"/>
      <c r="C27" s="260"/>
      <c r="D27" s="256"/>
      <c r="E27" s="294"/>
      <c r="F27" s="295"/>
      <c r="G27" s="261"/>
      <c r="H27" s="287"/>
      <c r="I27" s="284"/>
      <c r="J27" s="256"/>
      <c r="K27" s="276" t="str">
        <f t="shared" si="6"/>
        <v>n/a</v>
      </c>
      <c r="L27" s="276" t="str">
        <f t="shared" si="6"/>
        <v>n/a</v>
      </c>
      <c r="M27" s="256"/>
      <c r="N27" s="256"/>
      <c r="O27" s="256"/>
      <c r="P27" s="256"/>
      <c r="Q27" s="256"/>
      <c r="U27" s="288">
        <f>IF(C27&lt;&gt;"",1,0)</f>
        <v>0</v>
      </c>
      <c r="V27" s="289" t="str">
        <f t="shared" si="1"/>
        <v/>
      </c>
      <c r="X27" s="280" t="str">
        <f t="array" aca="1" ref="X27" ca="1">IFERROR(INDEX(V$10:V$34,SMALL(IF(COUNTIF(OFFSET(V$10,,,ROW($10:$34)),V$10:V$34)=1,ROW($10:$34)-9),ROW(V27)-9)),"n/a")</f>
        <v>n/a</v>
      </c>
      <c r="Y27" s="281" t="str">
        <f t="shared" ca="1" si="3"/>
        <v>n/a</v>
      </c>
      <c r="Z27" s="281" t="str">
        <f t="shared" ca="1" si="4"/>
        <v>n/a</v>
      </c>
    </row>
    <row r="28" spans="2:26" ht="12" customHeight="1">
      <c r="B28" s="256"/>
      <c r="C28" s="256"/>
      <c r="D28" s="256"/>
      <c r="E28" s="261"/>
      <c r="F28" s="261"/>
      <c r="G28" s="261"/>
      <c r="H28" s="287"/>
      <c r="I28" s="284"/>
      <c r="J28" s="256"/>
      <c r="K28" s="276"/>
      <c r="L28" s="276"/>
      <c r="M28" s="256"/>
      <c r="N28" s="256"/>
      <c r="O28" s="256"/>
      <c r="P28" s="256"/>
      <c r="Q28" s="256"/>
      <c r="U28" s="290"/>
      <c r="V28" s="254" t="str">
        <f t="shared" si="1"/>
        <v/>
      </c>
      <c r="X28" s="280" t="str">
        <f t="array" aca="1" ref="X28" ca="1">IFERROR(INDEX(V$10:V$34,SMALL(IF(COUNTIF(OFFSET(V$10,,,ROW($10:$34)),V$10:V$34)=1,ROW($10:$34)-9),ROW(V28)-9)),"n/a")</f>
        <v>n/a</v>
      </c>
      <c r="Y28" s="281" t="str">
        <f t="shared" ca="1" si="3"/>
        <v>n/a</v>
      </c>
      <c r="Z28" s="281" t="str">
        <f t="shared" ca="1" si="4"/>
        <v>n/a</v>
      </c>
    </row>
    <row r="29" spans="2:26" ht="12" customHeight="1">
      <c r="B29" s="256"/>
      <c r="C29" s="268" t="s">
        <v>510</v>
      </c>
      <c r="D29" s="256"/>
      <c r="E29" s="260"/>
      <c r="F29" s="261"/>
      <c r="G29" s="261"/>
      <c r="H29" s="265" t="s">
        <v>499</v>
      </c>
      <c r="I29" s="269">
        <v>0.01</v>
      </c>
      <c r="J29" s="256"/>
      <c r="K29" s="267"/>
      <c r="L29" s="267"/>
      <c r="M29" s="256"/>
      <c r="N29" s="256"/>
      <c r="O29" s="256"/>
      <c r="P29" s="256"/>
      <c r="Q29" s="256"/>
      <c r="U29" s="290"/>
      <c r="V29" s="254" t="str">
        <f t="shared" si="1"/>
        <v/>
      </c>
      <c r="X29" s="280" t="str">
        <f t="array" aca="1" ref="X29" ca="1">IFERROR(INDEX(V$10:V$34,SMALL(IF(COUNTIF(OFFSET(V$10,,,ROW($10:$34)),V$10:V$34)=1,ROW($10:$34)-9),ROW(V29)-9)),"n/a")</f>
        <v>n/a</v>
      </c>
      <c r="Y29" s="281" t="str">
        <f t="shared" ca="1" si="3"/>
        <v>n/a</v>
      </c>
      <c r="Z29" s="281" t="str">
        <f t="shared" ca="1" si="4"/>
        <v>n/a</v>
      </c>
    </row>
    <row r="30" spans="2:26" ht="12" customHeight="1">
      <c r="B30" s="256"/>
      <c r="C30" s="256"/>
      <c r="D30" s="256"/>
      <c r="E30" s="261"/>
      <c r="F30" s="261"/>
      <c r="G30" s="261"/>
      <c r="H30" s="265" t="s">
        <v>501</v>
      </c>
      <c r="I30" s="291">
        <v>1</v>
      </c>
      <c r="J30" s="256"/>
      <c r="K30" s="267"/>
      <c r="L30" s="267"/>
      <c r="M30" s="256"/>
      <c r="N30" s="256"/>
      <c r="O30" s="256"/>
      <c r="P30" s="256"/>
      <c r="Q30" s="256"/>
      <c r="U30" s="290"/>
      <c r="V30" s="254" t="str">
        <f t="shared" si="1"/>
        <v/>
      </c>
      <c r="X30" s="280" t="str">
        <f t="array" aca="1" ref="X30" ca="1">IFERROR(INDEX(V$10:V$34,SMALL(IF(COUNTIF(OFFSET(V$10,,,ROW($10:$34)),V$10:V$34)=1,ROW($10:$34)-9),ROW(V30)-9)),"n/a")</f>
        <v>n/a</v>
      </c>
      <c r="Y30" s="281" t="str">
        <f t="shared" ca="1" si="3"/>
        <v>n/a</v>
      </c>
      <c r="Z30" s="281" t="str">
        <f t="shared" ca="1" si="4"/>
        <v>n/a</v>
      </c>
    </row>
    <row r="31" spans="2:26" ht="12" customHeight="1">
      <c r="B31" s="256"/>
      <c r="C31" s="260"/>
      <c r="D31" s="256"/>
      <c r="E31" s="273"/>
      <c r="F31" s="274"/>
      <c r="G31" s="261"/>
      <c r="H31" s="265" t="s">
        <v>503</v>
      </c>
      <c r="I31" s="275">
        <f>I29*I30</f>
        <v>0.01</v>
      </c>
      <c r="J31" s="256"/>
      <c r="K31" s="276" t="str">
        <f>IF(E31="","n/a",IF($I$31=0,E31,E31/$I$31))</f>
        <v>n/a</v>
      </c>
      <c r="L31" s="276" t="str">
        <f>IF(F31="","n/a",IF($I$31=0,F31,F31/$I$31))</f>
        <v>n/a</v>
      </c>
      <c r="M31" s="256"/>
      <c r="N31" s="256"/>
      <c r="O31" s="256"/>
      <c r="P31" s="256"/>
      <c r="Q31" s="256"/>
      <c r="U31" s="292">
        <f>IF(C31&lt;&gt;"",1,0)</f>
        <v>0</v>
      </c>
      <c r="V31" s="293" t="str">
        <f t="shared" si="1"/>
        <v/>
      </c>
      <c r="X31" s="280" t="str">
        <f t="array" aca="1" ref="X31" ca="1">IFERROR(INDEX(V$10:V$34,SMALL(IF(COUNTIF(OFFSET(V$10,,,ROW($10:$34)),V$10:V$34)=1,ROW($10:$34)-9),ROW(V31)-9)),"n/a")</f>
        <v>n/a</v>
      </c>
      <c r="Y31" s="281" t="str">
        <f t="shared" ca="1" si="3"/>
        <v>n/a</v>
      </c>
      <c r="Z31" s="281" t="str">
        <f t="shared" ca="1" si="4"/>
        <v>n/a</v>
      </c>
    </row>
    <row r="32" spans="2:26" ht="12" customHeight="1">
      <c r="B32" s="256"/>
      <c r="C32" s="260"/>
      <c r="D32" s="256"/>
      <c r="E32" s="273"/>
      <c r="F32" s="274"/>
      <c r="G32" s="261"/>
      <c r="H32" s="261"/>
      <c r="I32" s="261"/>
      <c r="J32" s="256"/>
      <c r="K32" s="276" t="str">
        <f t="shared" ref="K32:L34" si="7">IF(E32="","n/a",IF($I$31=0,E32,E32/$I$31))</f>
        <v>n/a</v>
      </c>
      <c r="L32" s="276" t="str">
        <f t="shared" si="7"/>
        <v>n/a</v>
      </c>
      <c r="M32" s="256"/>
      <c r="N32" s="256"/>
      <c r="O32" s="256"/>
      <c r="P32" s="256"/>
      <c r="Q32" s="256"/>
      <c r="U32" s="285">
        <f>IF(C32&lt;&gt;"",1,0)</f>
        <v>0</v>
      </c>
      <c r="V32" s="286" t="str">
        <f t="shared" si="1"/>
        <v/>
      </c>
      <c r="X32" s="280" t="str">
        <f t="array" aca="1" ref="X32" ca="1">IFERROR(INDEX(V$10:V$34,SMALL(IF(COUNTIF(OFFSET(V$10,,,ROW($10:$34)),V$10:V$34)=1,ROW($10:$34)-9),ROW(V32)-9)),"n/a")</f>
        <v>n/a</v>
      </c>
      <c r="Y32" s="281" t="str">
        <f t="shared" ca="1" si="3"/>
        <v>n/a</v>
      </c>
      <c r="Z32" s="281" t="str">
        <f t="shared" ca="1" si="4"/>
        <v>n/a</v>
      </c>
    </row>
    <row r="33" spans="2:26" ht="12" customHeight="1">
      <c r="B33" s="256"/>
      <c r="C33" s="260"/>
      <c r="D33" s="256"/>
      <c r="E33" s="273"/>
      <c r="F33" s="274"/>
      <c r="G33" s="261"/>
      <c r="H33" s="261"/>
      <c r="I33" s="261"/>
      <c r="J33" s="256"/>
      <c r="K33" s="276" t="str">
        <f t="shared" si="7"/>
        <v>n/a</v>
      </c>
      <c r="L33" s="276" t="str">
        <f t="shared" si="7"/>
        <v>n/a</v>
      </c>
      <c r="M33" s="256"/>
      <c r="N33" s="256"/>
      <c r="O33" s="256"/>
      <c r="P33" s="256"/>
      <c r="Q33" s="256"/>
      <c r="U33" s="285">
        <f>IF(C33&lt;&gt;"",1,0)</f>
        <v>0</v>
      </c>
      <c r="V33" s="286" t="str">
        <f t="shared" si="1"/>
        <v/>
      </c>
      <c r="X33" s="280" t="str">
        <f t="array" aca="1" ref="X33" ca="1">IFERROR(INDEX(V$10:V$34,SMALL(IF(COUNTIF(OFFSET(V$10,,,ROW($10:$34)),V$10:V$34)=1,ROW($10:$34)-9),ROW(V33)-9)),"n/a")</f>
        <v>n/a</v>
      </c>
      <c r="Y33" s="281" t="str">
        <f t="shared" ca="1" si="3"/>
        <v>n/a</v>
      </c>
      <c r="Z33" s="281" t="str">
        <f t="shared" ca="1" si="4"/>
        <v>n/a</v>
      </c>
    </row>
    <row r="34" spans="2:26" ht="12" customHeight="1">
      <c r="B34" s="256"/>
      <c r="C34" s="260"/>
      <c r="D34" s="256"/>
      <c r="E34" s="273"/>
      <c r="F34" s="274"/>
      <c r="G34" s="261"/>
      <c r="H34" s="265"/>
      <c r="I34" s="261"/>
      <c r="J34" s="256"/>
      <c r="K34" s="276" t="str">
        <f t="shared" si="7"/>
        <v>n/a</v>
      </c>
      <c r="L34" s="276" t="str">
        <f t="shared" si="7"/>
        <v>n/a</v>
      </c>
      <c r="M34" s="256"/>
      <c r="N34" s="256"/>
      <c r="O34" s="256"/>
      <c r="P34" s="256"/>
      <c r="Q34" s="256"/>
      <c r="U34" s="288">
        <f>IF(C34&lt;&gt;"",1,0)</f>
        <v>0</v>
      </c>
      <c r="V34" s="289" t="str">
        <f t="shared" si="1"/>
        <v/>
      </c>
      <c r="X34" s="280" t="str">
        <f t="array" aca="1" ref="X34" ca="1">IFERROR(INDEX(V$10:V$34,SMALL(IF(COUNTIF(OFFSET(V$10,,,ROW($10:$34)),V$10:V$34)=1,ROW($10:$34)-9),ROW(V34)-9)),"n/a")</f>
        <v>n/a</v>
      </c>
      <c r="Y34" s="281" t="str">
        <f t="shared" ca="1" si="3"/>
        <v>n/a</v>
      </c>
      <c r="Z34" s="281" t="str">
        <f t="shared" ca="1" si="4"/>
        <v>n/a</v>
      </c>
    </row>
    <row r="35" spans="2:26" ht="12" customHeight="1">
      <c r="B35" s="256"/>
      <c r="C35" s="256"/>
      <c r="D35" s="256"/>
      <c r="E35" s="256"/>
      <c r="F35" s="256"/>
      <c r="G35" s="256"/>
      <c r="H35" s="256"/>
      <c r="I35" s="256"/>
      <c r="J35" s="256"/>
      <c r="K35" s="256"/>
      <c r="L35" s="256"/>
      <c r="M35" s="256"/>
      <c r="N35" s="256"/>
      <c r="O35" s="256"/>
      <c r="P35" s="256"/>
      <c r="Q35" s="256"/>
      <c r="S35" s="253"/>
    </row>
    <row r="36" spans="2:26" ht="12" customHeight="1">
      <c r="D36" s="251"/>
      <c r="E36" s="251"/>
      <c r="K36" s="251"/>
      <c r="P36" s="251"/>
      <c r="Q36" s="251"/>
      <c r="S36" s="253"/>
    </row>
    <row r="37" spans="2:26" ht="19.5" customHeight="1">
      <c r="B37" s="348" t="s">
        <v>511</v>
      </c>
      <c r="C37" s="349"/>
      <c r="D37" s="349"/>
      <c r="E37" s="349"/>
      <c r="F37" s="349"/>
      <c r="G37" s="349"/>
      <c r="H37" s="349"/>
      <c r="I37" s="349"/>
      <c r="J37" s="349"/>
      <c r="K37" s="349"/>
      <c r="L37" s="348"/>
      <c r="M37" s="349"/>
      <c r="N37" s="349"/>
      <c r="O37" s="349"/>
      <c r="P37" s="349"/>
      <c r="Q37" s="349"/>
    </row>
    <row r="38" spans="2:26" ht="12" customHeight="1">
      <c r="S38" s="253"/>
    </row>
    <row r="39" spans="2:26" ht="12" customHeight="1">
      <c r="G39" s="825" t="str">
        <f>"Comparison "&amp;E5&amp;" vs. "&amp;F5</f>
        <v>Comparison XXX AG vs. Total market</v>
      </c>
      <c r="H39" s="825"/>
      <c r="I39" s="825"/>
      <c r="J39" s="825"/>
      <c r="K39" s="825"/>
      <c r="L39" s="825"/>
      <c r="M39" s="825"/>
      <c r="S39" s="253"/>
    </row>
    <row r="40" spans="2:26" ht="12" customHeight="1">
      <c r="F40" s="296"/>
      <c r="G40" s="296"/>
      <c r="H40" s="296"/>
      <c r="I40" s="296"/>
      <c r="J40" s="296"/>
      <c r="K40" s="297"/>
      <c r="L40" s="296"/>
      <c r="M40" s="296"/>
      <c r="N40" s="296"/>
      <c r="S40" s="253"/>
    </row>
    <row r="41" spans="2:26" ht="19.5" customHeight="1">
      <c r="C41" s="350">
        <f>'99_Others'!E29</f>
        <v>0</v>
      </c>
      <c r="D41" s="351"/>
      <c r="E41" s="351"/>
      <c r="F41" s="296"/>
      <c r="G41" s="296"/>
      <c r="H41" s="296"/>
      <c r="I41" s="296"/>
      <c r="J41" s="296"/>
      <c r="K41" s="296"/>
      <c r="L41" s="296"/>
      <c r="M41" s="296"/>
      <c r="N41" s="296"/>
      <c r="O41" s="350" t="str">
        <f>'99_Others'!E8</f>
        <v>Market share</v>
      </c>
      <c r="P41" s="351"/>
      <c r="Q41" s="351"/>
      <c r="S41" s="253"/>
    </row>
    <row r="42" spans="2:26" ht="6" customHeight="1">
      <c r="F42" s="296"/>
      <c r="G42" s="296"/>
      <c r="H42" s="296"/>
      <c r="I42" s="296"/>
      <c r="J42" s="296"/>
      <c r="K42" s="297"/>
      <c r="L42" s="296"/>
      <c r="M42" s="296"/>
      <c r="N42" s="296"/>
      <c r="S42" s="253"/>
    </row>
    <row r="43" spans="2:26" ht="12" customHeight="1">
      <c r="D43" s="298" t="str">
        <f>'99_Others'!$E$5</f>
        <v>XXX AG</v>
      </c>
      <c r="E43" s="298" t="str">
        <f>'99_Others'!$F$5</f>
        <v>Total market</v>
      </c>
      <c r="F43" s="296"/>
      <c r="G43" s="296"/>
      <c r="H43" s="296"/>
      <c r="I43" s="296"/>
      <c r="J43" s="296"/>
      <c r="K43" s="297"/>
      <c r="L43" s="296"/>
      <c r="M43" s="296"/>
      <c r="N43" s="296"/>
      <c r="P43" s="298" t="str">
        <f>'99_Others'!$E$5</f>
        <v>XXX AG</v>
      </c>
      <c r="Q43" s="298" t="str">
        <f>'99_Others'!$F$5</f>
        <v>Total market</v>
      </c>
      <c r="S43" s="253"/>
    </row>
    <row r="44" spans="2:26" ht="12" customHeight="1">
      <c r="C44" s="254" t="str">
        <f>IF(C31="","",C31)</f>
        <v/>
      </c>
      <c r="D44" s="299" t="str">
        <f>IF(E31="","",E31)</f>
        <v/>
      </c>
      <c r="E44" s="299" t="str">
        <f>IF(F31="","",F31)</f>
        <v/>
      </c>
      <c r="F44" s="296"/>
      <c r="G44" s="296"/>
      <c r="H44" s="296"/>
      <c r="I44" s="296"/>
      <c r="J44" s="296"/>
      <c r="K44" s="297"/>
      <c r="L44" s="296"/>
      <c r="M44" s="296"/>
      <c r="N44" s="296"/>
      <c r="O44" s="254" t="str">
        <f>IF(C10="","",C10)</f>
        <v>Share Germany</v>
      </c>
      <c r="P44" s="299">
        <f t="shared" ref="P44:Q46" si="8">IF(E10="","",E10)</f>
        <v>0.65</v>
      </c>
      <c r="Q44" s="299">
        <f t="shared" si="8"/>
        <v>0.42670000000000002</v>
      </c>
      <c r="S44" s="253"/>
    </row>
    <row r="45" spans="2:26" ht="12" customHeight="1">
      <c r="C45" s="254" t="str">
        <f t="shared" ref="C45:C47" si="9">IF(C32="","",C32)</f>
        <v/>
      </c>
      <c r="D45" s="299" t="str">
        <f t="shared" ref="D45:E47" si="10">IF(E32="","",E32)</f>
        <v/>
      </c>
      <c r="E45" s="299" t="str">
        <f t="shared" si="10"/>
        <v/>
      </c>
      <c r="F45" s="296"/>
      <c r="G45" s="296"/>
      <c r="H45" s="296"/>
      <c r="I45" s="296"/>
      <c r="J45" s="296"/>
      <c r="K45" s="297"/>
      <c r="L45" s="296"/>
      <c r="M45" s="296"/>
      <c r="N45" s="296"/>
      <c r="O45" s="254" t="str">
        <f t="shared" ref="O45:Q47" si="11">IF(C11="","",C11)</f>
        <v>Share France</v>
      </c>
      <c r="P45" s="299">
        <f t="shared" si="8"/>
        <v>0.3</v>
      </c>
      <c r="Q45" s="299">
        <f t="shared" si="8"/>
        <v>0.26669999999999999</v>
      </c>
      <c r="S45" s="253"/>
    </row>
    <row r="46" spans="2:26" ht="12" customHeight="1">
      <c r="C46" s="254" t="str">
        <f t="shared" si="9"/>
        <v/>
      </c>
      <c r="D46" s="299" t="str">
        <f t="shared" si="10"/>
        <v/>
      </c>
      <c r="E46" s="299" t="str">
        <f t="shared" si="10"/>
        <v/>
      </c>
      <c r="F46" s="296"/>
      <c r="G46" s="296"/>
      <c r="H46" s="296"/>
      <c r="I46" s="296"/>
      <c r="J46" s="296"/>
      <c r="K46" s="297"/>
      <c r="L46" s="296"/>
      <c r="M46" s="296"/>
      <c r="N46" s="296"/>
      <c r="O46" s="254" t="str">
        <f t="shared" si="11"/>
        <v/>
      </c>
      <c r="P46" s="299" t="str">
        <f t="shared" si="8"/>
        <v/>
      </c>
      <c r="Q46" s="299" t="str">
        <f t="shared" si="8"/>
        <v/>
      </c>
      <c r="S46" s="253"/>
    </row>
    <row r="47" spans="2:26" ht="12" customHeight="1">
      <c r="C47" s="254" t="str">
        <f t="shared" si="9"/>
        <v/>
      </c>
      <c r="D47" s="299" t="str">
        <f t="shared" si="10"/>
        <v/>
      </c>
      <c r="E47" s="299" t="str">
        <f t="shared" si="10"/>
        <v/>
      </c>
      <c r="F47" s="296"/>
      <c r="G47" s="296"/>
      <c r="H47" s="296"/>
      <c r="I47" s="296"/>
      <c r="J47" s="296"/>
      <c r="K47" s="297"/>
      <c r="L47" s="296"/>
      <c r="M47" s="296"/>
      <c r="N47" s="296"/>
      <c r="O47" s="254" t="str">
        <f t="shared" si="11"/>
        <v/>
      </c>
      <c r="P47" s="254" t="str">
        <f t="shared" si="11"/>
        <v/>
      </c>
      <c r="Q47" s="254" t="str">
        <f t="shared" si="11"/>
        <v/>
      </c>
      <c r="S47" s="253"/>
    </row>
    <row r="48" spans="2:26" ht="12" customHeight="1">
      <c r="C48" s="254"/>
      <c r="F48" s="296"/>
      <c r="G48" s="296"/>
      <c r="H48" s="296"/>
      <c r="I48" s="296"/>
      <c r="J48" s="296"/>
      <c r="K48" s="296"/>
      <c r="L48" s="296"/>
      <c r="M48" s="296"/>
      <c r="N48" s="296"/>
      <c r="O48" s="254"/>
      <c r="S48" s="253"/>
    </row>
    <row r="49" spans="3:19" ht="12" customHeight="1">
      <c r="C49" s="300" t="s">
        <v>432</v>
      </c>
      <c r="D49" s="157">
        <v>32</v>
      </c>
      <c r="E49" s="301">
        <v>1.7999999999999999E-2</v>
      </c>
      <c r="F49" s="296"/>
      <c r="G49" s="296"/>
      <c r="H49" s="296"/>
      <c r="I49" s="296"/>
      <c r="J49" s="296"/>
      <c r="K49" s="297"/>
      <c r="L49" s="296"/>
      <c r="M49" s="296"/>
      <c r="N49" s="296"/>
      <c r="S49" s="253"/>
    </row>
    <row r="50" spans="3:19" ht="12" customHeight="1">
      <c r="C50" s="300" t="s">
        <v>431</v>
      </c>
      <c r="D50" s="157">
        <v>20</v>
      </c>
      <c r="E50" s="301">
        <v>2.3E-2</v>
      </c>
      <c r="F50" s="296"/>
      <c r="G50" s="296"/>
      <c r="H50" s="296"/>
      <c r="I50" s="296"/>
      <c r="J50" s="296"/>
      <c r="K50" s="297"/>
      <c r="L50" s="296"/>
      <c r="M50" s="296"/>
      <c r="N50" s="296"/>
      <c r="S50" s="253"/>
    </row>
    <row r="51" spans="3:19" ht="12" customHeight="1">
      <c r="C51" s="300" t="s">
        <v>487</v>
      </c>
      <c r="D51" s="157">
        <v>15</v>
      </c>
      <c r="E51" s="301">
        <v>3.6999999999999998E-2</v>
      </c>
      <c r="F51" s="296"/>
      <c r="G51" s="296"/>
      <c r="H51" s="296"/>
      <c r="I51" s="296"/>
      <c r="J51" s="296"/>
      <c r="K51" s="297"/>
      <c r="L51" s="296"/>
      <c r="M51" s="296"/>
      <c r="N51" s="296"/>
      <c r="S51" s="253"/>
    </row>
    <row r="52" spans="3:19" ht="12" customHeight="1">
      <c r="C52" s="300" t="s">
        <v>486</v>
      </c>
      <c r="D52" s="157">
        <v>5</v>
      </c>
      <c r="E52" s="301">
        <v>7.0000000000000007E-2</v>
      </c>
      <c r="F52" s="296"/>
      <c r="G52" s="296"/>
      <c r="H52" s="296"/>
      <c r="I52" s="296"/>
      <c r="J52" s="296"/>
      <c r="K52" s="297"/>
      <c r="L52" s="296"/>
      <c r="M52" s="296"/>
      <c r="N52" s="296"/>
      <c r="S52" s="253"/>
    </row>
    <row r="53" spans="3:19" ht="12" customHeight="1">
      <c r="C53" s="300" t="s">
        <v>485</v>
      </c>
      <c r="D53" s="157">
        <v>3</v>
      </c>
      <c r="E53" s="301">
        <v>0.08</v>
      </c>
      <c r="F53" s="296"/>
      <c r="G53" s="296"/>
      <c r="H53" s="296"/>
      <c r="I53" s="296"/>
      <c r="J53" s="296"/>
      <c r="K53" s="297"/>
      <c r="L53" s="296"/>
      <c r="M53" s="296"/>
      <c r="N53" s="296"/>
      <c r="S53" s="253"/>
    </row>
    <row r="54" spans="3:19" ht="12" customHeight="1">
      <c r="F54" s="296"/>
      <c r="G54" s="296"/>
      <c r="H54" s="296"/>
      <c r="I54" s="296"/>
      <c r="J54" s="296"/>
      <c r="K54" s="297"/>
      <c r="L54" s="296"/>
      <c r="M54" s="296"/>
      <c r="N54" s="296"/>
      <c r="S54" s="253"/>
    </row>
    <row r="55" spans="3:19" ht="12" customHeight="1">
      <c r="F55" s="296"/>
      <c r="G55" s="296"/>
      <c r="H55" s="296"/>
      <c r="I55" s="296"/>
      <c r="J55" s="296"/>
      <c r="K55" s="297"/>
      <c r="L55" s="296"/>
      <c r="M55" s="296"/>
      <c r="N55" s="296"/>
      <c r="S55" s="253"/>
    </row>
    <row r="56" spans="3:19" ht="12" customHeight="1">
      <c r="F56" s="296"/>
      <c r="G56" s="296"/>
      <c r="H56" s="296"/>
      <c r="I56" s="296"/>
      <c r="J56" s="296"/>
      <c r="K56" s="297"/>
      <c r="L56" s="296"/>
      <c r="M56" s="296"/>
      <c r="N56" s="296"/>
      <c r="S56" s="253"/>
    </row>
    <row r="57" spans="3:19" ht="12" customHeight="1">
      <c r="F57" s="296"/>
      <c r="G57" s="296"/>
      <c r="H57" s="296"/>
      <c r="I57" s="296"/>
      <c r="J57" s="296"/>
      <c r="K57" s="297"/>
      <c r="L57" s="296"/>
      <c r="M57" s="296"/>
      <c r="N57" s="296"/>
    </row>
    <row r="58" spans="3:19" ht="12" customHeight="1">
      <c r="F58" s="296"/>
      <c r="G58" s="296"/>
      <c r="H58" s="296"/>
      <c r="I58" s="296"/>
      <c r="J58" s="296"/>
      <c r="K58" s="297"/>
      <c r="L58" s="296"/>
      <c r="M58" s="296"/>
      <c r="N58" s="296"/>
    </row>
    <row r="59" spans="3:19" ht="12" customHeight="1">
      <c r="F59" s="296"/>
      <c r="G59" s="296"/>
      <c r="H59" s="296"/>
      <c r="I59" s="296"/>
      <c r="J59" s="296"/>
      <c r="K59" s="297"/>
      <c r="L59" s="296"/>
      <c r="M59" s="296"/>
      <c r="N59" s="296"/>
    </row>
    <row r="60" spans="3:19" ht="12" customHeight="1">
      <c r="F60" s="296"/>
      <c r="G60" s="296"/>
      <c r="H60" s="296"/>
      <c r="I60" s="296"/>
      <c r="J60" s="296"/>
      <c r="K60" s="297"/>
      <c r="L60" s="296"/>
      <c r="M60" s="296"/>
      <c r="N60" s="296"/>
    </row>
    <row r="61" spans="3:19" ht="12" customHeight="1">
      <c r="F61" s="296"/>
      <c r="G61" s="296"/>
      <c r="H61" s="296"/>
      <c r="I61" s="296"/>
      <c r="J61" s="296"/>
      <c r="K61" s="297"/>
      <c r="L61" s="296"/>
      <c r="M61" s="296"/>
      <c r="N61" s="296"/>
    </row>
    <row r="62" spans="3:19" ht="19.5" customHeight="1">
      <c r="C62" s="350" t="str">
        <f>'99_Others'!E22</f>
        <v>Market share</v>
      </c>
      <c r="D62" s="351"/>
      <c r="E62" s="351"/>
      <c r="F62" s="296"/>
      <c r="G62" s="296"/>
      <c r="H62" s="296"/>
      <c r="I62" s="296"/>
      <c r="J62" s="296"/>
      <c r="K62" s="296"/>
      <c r="L62" s="296"/>
      <c r="M62" s="296"/>
      <c r="N62" s="296"/>
      <c r="O62" s="350" t="str">
        <f>'99_Others'!E15</f>
        <v>Market share</v>
      </c>
      <c r="P62" s="351"/>
      <c r="Q62" s="351"/>
    </row>
    <row r="63" spans="3:19" ht="6" customHeight="1">
      <c r="F63" s="296"/>
      <c r="G63" s="296"/>
      <c r="H63" s="296"/>
      <c r="I63" s="296"/>
      <c r="J63" s="296"/>
      <c r="K63" s="297"/>
      <c r="L63" s="296"/>
      <c r="M63" s="296"/>
      <c r="N63" s="296"/>
    </row>
    <row r="64" spans="3:19" ht="12" customHeight="1">
      <c r="D64" s="298" t="str">
        <f>'99_Others'!$E$5</f>
        <v>XXX AG</v>
      </c>
      <c r="E64" s="298" t="str">
        <f>'99_Others'!$F$5</f>
        <v>Total market</v>
      </c>
      <c r="F64" s="296"/>
      <c r="G64" s="296"/>
      <c r="H64" s="296"/>
      <c r="I64" s="296"/>
      <c r="J64" s="296"/>
      <c r="K64" s="297"/>
      <c r="L64" s="296"/>
      <c r="M64" s="296"/>
      <c r="N64" s="296"/>
      <c r="P64" s="298" t="str">
        <f>'99_Others'!$E$5</f>
        <v>XXX AG</v>
      </c>
      <c r="Q64" s="298" t="str">
        <f>'99_Others'!$F$5</f>
        <v>Total market</v>
      </c>
    </row>
    <row r="65" spans="3:17" ht="12" customHeight="1">
      <c r="C65" s="254" t="str">
        <f>IF(C24="","",C24)</f>
        <v>Share Serbia</v>
      </c>
      <c r="D65" s="302">
        <f>IF(E24="","",E24)</f>
        <v>0.01</v>
      </c>
      <c r="E65" s="302">
        <f>IF(F24="","",F24)</f>
        <v>0.08</v>
      </c>
      <c r="F65" s="296"/>
      <c r="G65" s="296"/>
      <c r="H65" s="296"/>
      <c r="I65" s="296"/>
      <c r="J65" s="296"/>
      <c r="K65" s="297"/>
      <c r="L65" s="296"/>
      <c r="M65" s="296"/>
      <c r="N65" s="296"/>
      <c r="O65" s="254" t="str">
        <f>IF(C17="","",C17)</f>
        <v>Share Netherlands</v>
      </c>
      <c r="P65" s="299">
        <f>IF(E17="","",E17)</f>
        <v>0.2</v>
      </c>
      <c r="Q65" s="299">
        <f>IF(F17="","",F17)</f>
        <v>0.25</v>
      </c>
    </row>
    <row r="66" spans="3:17" ht="12" customHeight="1">
      <c r="C66" s="303">
        <v>0.18</v>
      </c>
      <c r="D66" s="302" t="str">
        <f t="shared" ref="D66:E68" si="12">IF(E25="","",E25)</f>
        <v/>
      </c>
      <c r="E66" s="302" t="str">
        <f t="shared" si="12"/>
        <v/>
      </c>
      <c r="F66" s="296"/>
      <c r="G66" s="296"/>
      <c r="H66" s="296"/>
      <c r="I66" s="296"/>
      <c r="J66" s="296"/>
      <c r="K66" s="297"/>
      <c r="L66" s="296"/>
      <c r="M66" s="296"/>
      <c r="N66" s="296"/>
      <c r="O66" s="254" t="str">
        <f t="shared" ref="O66:O68" si="13">IF(C18="","",C18)</f>
        <v>Share Poland</v>
      </c>
      <c r="P66" s="299">
        <f t="shared" ref="P66:Q68" si="14">IF(E18="","",E18)</f>
        <v>0.02</v>
      </c>
      <c r="Q66" s="299">
        <f t="shared" si="14"/>
        <v>7.0000000000000007E-2</v>
      </c>
    </row>
    <row r="67" spans="3:17" ht="12" customHeight="1">
      <c r="C67" s="254" t="str">
        <f t="shared" ref="C67:C68" si="15">IF(C26="","",C26)</f>
        <v/>
      </c>
      <c r="D67" s="302" t="str">
        <f t="shared" si="12"/>
        <v/>
      </c>
      <c r="E67" s="302" t="str">
        <f t="shared" si="12"/>
        <v/>
      </c>
      <c r="F67" s="296"/>
      <c r="G67" s="296"/>
      <c r="H67" s="296"/>
      <c r="I67" s="296"/>
      <c r="J67" s="296"/>
      <c r="K67" s="297"/>
      <c r="L67" s="296"/>
      <c r="M67" s="296"/>
      <c r="N67" s="296"/>
      <c r="O67" s="254" t="str">
        <f t="shared" si="13"/>
        <v/>
      </c>
      <c r="P67" s="299" t="str">
        <f t="shared" si="14"/>
        <v/>
      </c>
      <c r="Q67" s="299" t="str">
        <f t="shared" si="14"/>
        <v/>
      </c>
    </row>
    <row r="68" spans="3:17" ht="12" customHeight="1">
      <c r="C68" s="254" t="str">
        <f t="shared" si="15"/>
        <v/>
      </c>
      <c r="D68" s="302" t="str">
        <f t="shared" si="12"/>
        <v/>
      </c>
      <c r="E68" s="302" t="str">
        <f t="shared" si="12"/>
        <v/>
      </c>
      <c r="F68" s="296"/>
      <c r="G68" s="296"/>
      <c r="H68" s="296"/>
      <c r="I68" s="296"/>
      <c r="J68" s="296"/>
      <c r="K68" s="297"/>
      <c r="L68" s="296"/>
      <c r="M68" s="296"/>
      <c r="N68" s="296"/>
      <c r="O68" s="254" t="str">
        <f t="shared" si="13"/>
        <v/>
      </c>
      <c r="P68" s="254" t="str">
        <f t="shared" si="14"/>
        <v/>
      </c>
      <c r="Q68" s="254" t="str">
        <f t="shared" si="14"/>
        <v/>
      </c>
    </row>
    <row r="69" spans="3:17" ht="12" customHeight="1">
      <c r="F69" s="296"/>
      <c r="G69" s="296"/>
      <c r="H69" s="296"/>
      <c r="I69" s="296"/>
      <c r="J69" s="296"/>
      <c r="K69" s="297"/>
      <c r="L69" s="296"/>
      <c r="M69" s="296"/>
      <c r="N69" s="296"/>
    </row>
    <row r="70" spans="3:17" ht="12" customHeight="1">
      <c r="C70" s="304"/>
      <c r="F70" s="296"/>
      <c r="G70" s="296"/>
      <c r="H70" s="296"/>
      <c r="I70" s="296"/>
      <c r="J70" s="296"/>
      <c r="K70" s="297"/>
      <c r="L70" s="296"/>
      <c r="M70" s="296"/>
      <c r="N70" s="296"/>
      <c r="O70" s="304"/>
    </row>
    <row r="71" spans="3:17" ht="12" customHeight="1">
      <c r="C71" s="304"/>
      <c r="F71" s="296"/>
      <c r="G71" s="296"/>
      <c r="H71" s="296"/>
      <c r="I71" s="296"/>
      <c r="J71" s="296"/>
      <c r="K71" s="297"/>
      <c r="L71" s="296"/>
      <c r="M71" s="296"/>
      <c r="N71" s="296"/>
      <c r="O71" s="304"/>
    </row>
    <row r="72" spans="3:17" ht="12" customHeight="1">
      <c r="F72" s="296"/>
      <c r="G72" s="296"/>
      <c r="H72" s="296"/>
      <c r="I72" s="296"/>
      <c r="J72" s="296"/>
      <c r="K72" s="297"/>
      <c r="L72" s="296"/>
      <c r="M72" s="296"/>
      <c r="N72" s="296"/>
    </row>
    <row r="73" spans="3:17" ht="12" customHeight="1"/>
    <row r="74" spans="3:17" ht="12" customHeight="1"/>
    <row r="75" spans="3:17" ht="12" customHeight="1"/>
    <row r="76" spans="3:17" ht="12" customHeight="1"/>
    <row r="77" spans="3:17" ht="12" customHeight="1"/>
    <row r="78" spans="3:17" ht="12" customHeight="1"/>
    <row r="79" spans="3:17" ht="12" customHeight="1"/>
    <row r="80" spans="3:17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</sheetData>
  <mergeCells count="1">
    <mergeCell ref="G39:M39"/>
  </mergeCells>
  <dataValidations count="1">
    <dataValidation type="list" allowBlank="1" showInputMessage="1" showErrorMessage="1" sqref="I15 I8 I29 I22">
      <formula1>"0,01;0,1;1;10;100"</formula1>
    </dataValidation>
  </dataValidations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Scroll Bar 1">
              <controlPr defaultSize="0" autoPict="0">
                <anchor moveWithCells="1">
                  <from>
                    <xdr:col>8</xdr:col>
                    <xdr:colOff>0</xdr:colOff>
                    <xdr:row>29</xdr:row>
                    <xdr:rowOff>9525</xdr:rowOff>
                  </from>
                  <to>
                    <xdr:col>9</xdr:col>
                    <xdr:colOff>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5" name="Scroll Bar 2">
              <controlPr defaultSize="0" autoPict="0">
                <anchor moveWithCells="1">
                  <from>
                    <xdr:col>8</xdr:col>
                    <xdr:colOff>0</xdr:colOff>
                    <xdr:row>22</xdr:row>
                    <xdr:rowOff>9525</xdr:rowOff>
                  </from>
                  <to>
                    <xdr:col>9</xdr:col>
                    <xdr:colOff>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6" name="Scroll Bar 3">
              <controlPr defaultSize="0" autoPict="0">
                <anchor moveWithCells="1">
                  <from>
                    <xdr:col>8</xdr:col>
                    <xdr:colOff>0</xdr:colOff>
                    <xdr:row>15</xdr:row>
                    <xdr:rowOff>9525</xdr:rowOff>
                  </from>
                  <to>
                    <xdr:col>9</xdr:col>
                    <xdr:colOff>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7" name="Scroll Bar 4">
              <controlPr defaultSize="0" autoPict="0">
                <anchor moveWithCells="1">
                  <from>
                    <xdr:col>8</xdr:col>
                    <xdr:colOff>0</xdr:colOff>
                    <xdr:row>8</xdr:row>
                    <xdr:rowOff>9525</xdr:rowOff>
                  </from>
                  <to>
                    <xdr:col>9</xdr:col>
                    <xdr:colOff>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E2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5</v>
      </c>
      <c r="C2">
        <v>7</v>
      </c>
      <c r="D2">
        <v>15</v>
      </c>
      <c r="E2" t="s">
        <v>39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A1:E2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20</v>
      </c>
      <c r="C2">
        <v>7</v>
      </c>
      <c r="D2">
        <v>25</v>
      </c>
      <c r="E2" t="s">
        <v>30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A1:E2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4</v>
      </c>
      <c r="C2">
        <v>7</v>
      </c>
      <c r="D2">
        <v>11</v>
      </c>
      <c r="E2" t="s">
        <v>40</v>
      </c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/>
  <dimension ref="A1:E3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4</v>
      </c>
      <c r="C2">
        <v>7</v>
      </c>
      <c r="D2">
        <v>14</v>
      </c>
      <c r="E2" t="s">
        <v>41</v>
      </c>
    </row>
    <row r="3" spans="1:5">
      <c r="A3">
        <v>1</v>
      </c>
      <c r="B3">
        <v>20</v>
      </c>
      <c r="C3">
        <v>7</v>
      </c>
      <c r="D3">
        <v>30</v>
      </c>
      <c r="E3" t="s">
        <v>42</v>
      </c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/>
  <dimension ref="A1:E2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20</v>
      </c>
      <c r="C2">
        <v>7</v>
      </c>
      <c r="D2">
        <v>25</v>
      </c>
      <c r="E2" t="s">
        <v>30</v>
      </c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9"/>
  <dimension ref="A1:E3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4</v>
      </c>
      <c r="C2">
        <v>4</v>
      </c>
      <c r="D2">
        <v>13</v>
      </c>
      <c r="E2" t="s">
        <v>43</v>
      </c>
    </row>
    <row r="3" spans="1:5">
      <c r="A3">
        <v>1</v>
      </c>
      <c r="B3">
        <v>18</v>
      </c>
      <c r="C3">
        <v>4</v>
      </c>
      <c r="D3">
        <v>27</v>
      </c>
      <c r="E3" t="s">
        <v>44</v>
      </c>
    </row>
  </sheetData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1"/>
  <dimension ref="A1:E2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9</v>
      </c>
      <c r="B2">
        <v>17</v>
      </c>
      <c r="C2">
        <v>15</v>
      </c>
      <c r="D2">
        <v>24</v>
      </c>
      <c r="E2" t="s">
        <v>31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KPMGTRContentDashboard" ma:contentTypeID="0x010100185127AA4F913A40B1E8CCAB1E0ED58A004370B719DCC6064499B5AB442FB6D0E1" ma:contentTypeVersion="20" ma:contentTypeDescription="" ma:contentTypeScope="" ma:versionID="17020e114be68db4fa4a7b761125d88f">
  <xsd:schema xmlns:xsd="http://www.w3.org/2001/XMLSchema" xmlns:xs="http://www.w3.org/2001/XMLSchema" xmlns:p="http://schemas.microsoft.com/office/2006/metadata/properties" xmlns:ns2="9b80046e-e354-4b0a-98ae-528263b4c960" xmlns:ns3="a998b651-1142-4366-a4c4-000ee70b99a8" xmlns:ns4="http://schemas.microsoft.com/sharepoint/v4" targetNamespace="http://schemas.microsoft.com/office/2006/metadata/properties" ma:root="true" ma:fieldsID="7c435964e5e2d15cecd6a2a4301fa3e5" ns2:_="" ns3:_="" ns4:_="">
    <xsd:import namespace="9b80046e-e354-4b0a-98ae-528263b4c960"/>
    <xsd:import namespace="a998b651-1142-4366-a4c4-000ee70b99a8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n7fcfc7ff88c47269e09795cd7cf84b6" minOccurs="0"/>
                <xsd:element ref="ns2:g1453b5b049a4803993d8f9bcab5e463" minOccurs="0"/>
                <xsd:element ref="ns2:m78c120f90744e07a4b605e785dfd0d0" minOccurs="0"/>
                <xsd:element ref="ns2:a5fed2dedcd64cc29b078e5baee5a2ab" minOccurs="0"/>
                <xsd:element ref="ns2:pd15040261914bbebb9af7013e73a19b" minOccurs="0"/>
                <xsd:element ref="ns3:TaxCatchAll" minOccurs="0"/>
                <xsd:element ref="ns2:m40374d894c64e28aa91d8cff7f6bd3e" minOccurs="0"/>
                <xsd:element ref="ns3:TaxCatchAllLabel" minOccurs="0"/>
                <xsd:element ref="ns2:h02503a76cd648a7a251ba5146ce5bb6" minOccurs="0"/>
                <xsd:element ref="ns4:IconOverlay" minOccurs="0"/>
                <xsd:element ref="ns2:KPMGTROrder" minOccurs="0"/>
                <xsd:element ref="ns2:KPMGTRSprache" minOccurs="0"/>
                <xsd:element ref="ns2:KPMGTRKeywords" minOccurs="0"/>
                <xsd:element ref="ns2:KPMGTRAbstrac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80046e-e354-4b0a-98ae-528263b4c960" elementFormDefault="qualified">
    <xsd:import namespace="http://schemas.microsoft.com/office/2006/documentManagement/types"/>
    <xsd:import namespace="http://schemas.microsoft.com/office/infopath/2007/PartnerControls"/>
    <xsd:element name="n7fcfc7ff88c47269e09795cd7cf84b6" ma:index="11" nillable="true" ma:taxonomy="true" ma:internalName="n7fcfc7ff88c47269e09795cd7cf84b6" ma:taxonomyFieldName="KPMGTRPhase" ma:displayName="Phase" ma:default="" ma:fieldId="{77fcfc7f-f88c-4726-9e09-795cd7cf84b6}" ma:taxonomyMulti="true" ma:sspId="133bfdf5-63a6-4473-8459-1eb2ef741a98" ma:termSetId="eed1ba8d-c33d-41f5-b459-5d9a3367451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1453b5b049a4803993d8f9bcab5e463" ma:index="14" nillable="true" ma:taxonomy="true" ma:internalName="g1453b5b049a4803993d8f9bcab5e463" ma:taxonomyFieldName="KPMGTRSektor" ma:displayName="Sektor" ma:default="" ma:fieldId="{01453b5b-049a-4803-993d-8f9bcab5e463}" ma:taxonomyMulti="true" ma:sspId="133bfdf5-63a6-4473-8459-1eb2ef741a98" ma:termSetId="2f02763c-4e4b-47a4-8530-786781cbc62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78c120f90744e07a4b605e785dfd0d0" ma:index="15" nillable="true" ma:taxonomy="true" ma:internalName="m78c120f90744e07a4b605e785dfd0d0" ma:taxonomyFieldName="KPMGTRContentType" ma:displayName="Content Type" ma:default="" ma:fieldId="{678c120f-9074-4e07-a4b6-05e785dfd0d0}" ma:sspId="133bfdf5-63a6-4473-8459-1eb2ef741a98" ma:termSetId="f4e2f098-2ac5-424f-9f51-a4114d930cb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5fed2dedcd64cc29b078e5baee5a2ab" ma:index="16" nillable="true" ma:taxonomy="true" ma:internalName="a5fed2dedcd64cc29b078e5baee5a2ab" ma:taxonomyFieldName="KPMGTRTopic" ma:displayName="Topic" ma:default="" ma:fieldId="{a5fed2de-dcd6-4cc2-9b07-8e5baee5a2ab}" ma:taxonomyMulti="true" ma:sspId="133bfdf5-63a6-4473-8459-1eb2ef741a98" ma:termSetId="3bc0116d-9b22-404d-9e03-6d450023375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d15040261914bbebb9af7013e73a19b" ma:index="18" nillable="true" ma:taxonomy="true" ma:internalName="pd15040261914bbebb9af7013e73a19b" ma:taxonomyFieldName="KPMGTRProgramm" ma:displayName="Programm" ma:default="" ma:fieldId="{9d150402-6191-4bbe-bb9a-f7013e73a19b}" ma:taxonomyMulti="true" ma:sspId="133bfdf5-63a6-4473-8459-1eb2ef741a98" ma:termSetId="2f8ee683-40f2-4e73-8314-ccaddedd141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40374d894c64e28aa91d8cff7f6bd3e" ma:index="20" nillable="true" ma:taxonomy="true" ma:internalName="m40374d894c64e28aa91d8cff7f6bd3e" ma:taxonomyFieldName="KPMGTRService" ma:displayName="Service" ma:default="" ma:fieldId="{640374d8-94c6-4e28-aa91-d8cff7f6bd3e}" ma:taxonomyMulti="true" ma:sspId="133bfdf5-63a6-4473-8459-1eb2ef741a98" ma:termSetId="f79f73da-350d-4959-a3d9-e1cee48dbc4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02503a76cd648a7a251ba5146ce5bb6" ma:index="22" nillable="true" ma:taxonomy="true" ma:internalName="h02503a76cd648a7a251ba5146ce5bb6" ma:taxonomyFieldName="KPMGTRServiceLine" ma:displayName="Service Line" ma:default="" ma:fieldId="{102503a7-6cd6-48a7-a251-ba5146ce5bb6}" ma:taxonomyMulti="true" ma:sspId="133bfdf5-63a6-4473-8459-1eb2ef741a98" ma:termSetId="8cf41176-aa90-49f5-a17d-ebb8eaf2e46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PMGTROrder" ma:index="25" nillable="true" ma:displayName="Sortierung" ma:internalName="KPMGTROrder">
      <xsd:simpleType>
        <xsd:restriction base="dms:Text">
          <xsd:maxLength value="255"/>
        </xsd:restriction>
      </xsd:simpleType>
    </xsd:element>
    <xsd:element name="KPMGTRSprache" ma:index="26" nillable="true" ma:displayName="Sprache" ma:default="Deutsch" ma:format="Dropdown" ma:internalName="KPMGTRSprache" ma:readOnly="false">
      <xsd:simpleType>
        <xsd:restriction base="dms:Choice">
          <xsd:enumeration value="Deutsch"/>
          <xsd:enumeration value="Englisch"/>
        </xsd:restriction>
      </xsd:simpleType>
    </xsd:element>
    <xsd:element name="KPMGTRKeywords" ma:index="27" nillable="true" ma:displayName="Keywords" ma:internalName="KPMGTRKeywords" ma:readOnly="false">
      <xsd:simpleType>
        <xsd:restriction base="dms:Note">
          <xsd:maxLength value="255"/>
        </xsd:restriction>
      </xsd:simpleType>
    </xsd:element>
    <xsd:element name="KPMGTRAbstract" ma:index="28" nillable="true" ma:displayName="Abstract" ma:internalName="KPMGTRAbstract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98b651-1142-4366-a4c4-000ee70b99a8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91aaa35c-e9e8-427e-8ae7-d0bc592a8628}" ma:internalName="TaxCatchAll" ma:showField="CatchAllData" ma:web="9b80046e-e354-4b0a-98ae-528263b4c9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1" nillable="true" ma:displayName="Taxonomy Catch All Column1" ma:hidden="true" ma:list="{91aaa35c-e9e8-427e-8ae7-d0bc592a8628}" ma:internalName="TaxCatchAllLabel" ma:readOnly="true" ma:showField="CatchAllDataLabel" ma:web="9b80046e-e354-4b0a-98ae-528263b4c9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4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3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7fcfc7ff88c47269e09795cd7cf84b6 xmlns="9b80046e-e354-4b0a-98ae-528263b4c960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Strategy ＆ Capital Structure</TermName>
          <TermId xmlns="http://schemas.microsoft.com/office/infopath/2007/PartnerControls">85915dce-c22d-42e2-8c1b-0267b812ab5b</TermId>
        </TermInfo>
        <TermInfo xmlns="http://schemas.microsoft.com/office/infopath/2007/PartnerControls">
          <TermName xmlns="http://schemas.microsoft.com/office/infopath/2007/PartnerControls">Option Identification</TermName>
          <TermId xmlns="http://schemas.microsoft.com/office/infopath/2007/PartnerControls">649b4568-374c-48c1-9ea5-7304f4a41fb1</TermId>
        </TermInfo>
        <TermInfo xmlns="http://schemas.microsoft.com/office/infopath/2007/PartnerControls">
          <TermName xmlns="http://schemas.microsoft.com/office/infopath/2007/PartnerControls">Deal Execution</TermName>
          <TermId xmlns="http://schemas.microsoft.com/office/infopath/2007/PartnerControls">a283d2fa-e652-4724-ab70-ffd5ddbb75c0</TermId>
        </TermInfo>
        <TermInfo xmlns="http://schemas.microsoft.com/office/infopath/2007/PartnerControls">
          <TermName xmlns="http://schemas.microsoft.com/office/infopath/2007/PartnerControls">Option Identification</TermName>
          <TermId xmlns="http://schemas.microsoft.com/office/infopath/2007/PartnerControls">b7a1b52b-af1e-44fc-9e30-e5cfd77e850f</TermId>
        </TermInfo>
        <TermInfo xmlns="http://schemas.microsoft.com/office/infopath/2007/PartnerControls">
          <TermName xmlns="http://schemas.microsoft.com/office/infopath/2007/PartnerControls">Sabilization</TermName>
          <TermId xmlns="http://schemas.microsoft.com/office/infopath/2007/PartnerControls">fd486b2a-011b-4a44-a2e7-151f83525041</TermId>
        </TermInfo>
        <TermInfo xmlns="http://schemas.microsoft.com/office/infopath/2007/PartnerControls">
          <TermName xmlns="http://schemas.microsoft.com/office/infopath/2007/PartnerControls">Transformation Strategy</TermName>
          <TermId xmlns="http://schemas.microsoft.com/office/infopath/2007/PartnerControls">3db67ae9-b776-4523-90df-6f514153a31b</TermId>
        </TermInfo>
        <TermInfo xmlns="http://schemas.microsoft.com/office/infopath/2007/PartnerControls">
          <TermName xmlns="http://schemas.microsoft.com/office/infopath/2007/PartnerControls">Execution</TermName>
          <TermId xmlns="http://schemas.microsoft.com/office/infopath/2007/PartnerControls">0098eff9-c8f5-4cb8-8cfd-cd3c5006c785</TermId>
        </TermInfo>
        <TermInfo xmlns="http://schemas.microsoft.com/office/infopath/2007/PartnerControls">
          <TermName xmlns="http://schemas.microsoft.com/office/infopath/2007/PartnerControls">Value Realization</TermName>
          <TermId xmlns="http://schemas.microsoft.com/office/infopath/2007/PartnerControls">429e7201-db52-4ce6-a952-cef00c3ee3c6</TermId>
        </TermInfo>
        <TermInfo xmlns="http://schemas.microsoft.com/office/infopath/2007/PartnerControls">
          <TermName xmlns="http://schemas.microsoft.com/office/infopath/2007/PartnerControls">Initial Appraisal ＆ Stabilization</TermName>
          <TermId xmlns="http://schemas.microsoft.com/office/infopath/2007/PartnerControls">68d0a3e0-54f7-4e85-96f8-dc812af7e516</TermId>
        </TermInfo>
        <TermInfo xmlns="http://schemas.microsoft.com/office/infopath/2007/PartnerControls">
          <TermName xmlns="http://schemas.microsoft.com/office/infopath/2007/PartnerControls">Stress Diagnostic ＆ Options Assessment</TermName>
          <TermId xmlns="http://schemas.microsoft.com/office/infopath/2007/PartnerControls">22479dbd-92dc-4de8-b4b6-16a83a7c21d8</TermId>
        </TermInfo>
        <TermInfo xmlns="http://schemas.microsoft.com/office/infopath/2007/PartnerControls">
          <TermName xmlns="http://schemas.microsoft.com/office/infopath/2007/PartnerControls">Financial Restructuring</TermName>
          <TermId xmlns="http://schemas.microsoft.com/office/infopath/2007/PartnerControls">e25c2339-e2b1-42d4-a631-8b4cd02f6fee</TermId>
        </TermInfo>
        <TermInfo xmlns="http://schemas.microsoft.com/office/infopath/2007/PartnerControls">
          <TermName xmlns="http://schemas.microsoft.com/office/infopath/2007/PartnerControls">Strategic Considerations</TermName>
          <TermId xmlns="http://schemas.microsoft.com/office/infopath/2007/PartnerControls">48a34336-038d-41e2-82b1-fd113f356fa1</TermId>
        </TermInfo>
        <TermInfo xmlns="http://schemas.microsoft.com/office/infopath/2007/PartnerControls">
          <TermName xmlns="http://schemas.microsoft.com/office/infopath/2007/PartnerControls">Assessment of Capital Market Capability</TermName>
          <TermId xmlns="http://schemas.microsoft.com/office/infopath/2007/PartnerControls">c75cdf8c-dccc-4872-8846-36aa8c9a5b0c</TermId>
        </TermInfo>
        <TermInfo xmlns="http://schemas.microsoft.com/office/infopath/2007/PartnerControls">
          <TermName xmlns="http://schemas.microsoft.com/office/infopath/2007/PartnerControls">IPO Preparation</TermName>
          <TermId xmlns="http://schemas.microsoft.com/office/infopath/2007/PartnerControls">340e53a2-5847-4135-bcaa-1a31f0f9415f</TermId>
        </TermInfo>
        <TermInfo xmlns="http://schemas.microsoft.com/office/infopath/2007/PartnerControls">
          <TermName xmlns="http://schemas.microsoft.com/office/infopath/2007/PartnerControls">Strategic Positioning</TermName>
          <TermId xmlns="http://schemas.microsoft.com/office/infopath/2007/PartnerControls">b40c0259-a2be-47cc-8e8f-dc9e1d7fe208</TermId>
        </TermInfo>
        <TermInfo xmlns="http://schemas.microsoft.com/office/infopath/2007/PartnerControls">
          <TermName xmlns="http://schemas.microsoft.com/office/infopath/2007/PartnerControls">Investment Tactics ＆ Coordination</TermName>
          <TermId xmlns="http://schemas.microsoft.com/office/infopath/2007/PartnerControls">b382650d-bbed-4515-9ad5-f657ab729e68</TermId>
        </TermInfo>
        <TermInfo xmlns="http://schemas.microsoft.com/office/infopath/2007/PartnerControls">
          <TermName xmlns="http://schemas.microsoft.com/office/infopath/2007/PartnerControls">Investment/Portfolio Controlling</TermName>
          <TermId xmlns="http://schemas.microsoft.com/office/infopath/2007/PartnerControls">3ec130ae-a9d9-444d-a849-430f04245321</TermId>
        </TermInfo>
        <TermInfo xmlns="http://schemas.microsoft.com/office/infopath/2007/PartnerControls">
          <TermName xmlns="http://schemas.microsoft.com/office/infopath/2007/PartnerControls">Portfolio Optimization</TermName>
          <TermId xmlns="http://schemas.microsoft.com/office/infopath/2007/PartnerControls">427798bd-5990-4184-8efd-6c72c84848dc</TermId>
        </TermInfo>
        <TermInfo xmlns="http://schemas.microsoft.com/office/infopath/2007/PartnerControls">
          <TermName xmlns="http://schemas.microsoft.com/office/infopath/2007/PartnerControls">Pre-Close</TermName>
          <TermId xmlns="http://schemas.microsoft.com/office/infopath/2007/PartnerControls">4a03d149-1c0e-44b2-9630-32e5b4d88af8</TermId>
        </TermInfo>
        <TermInfo xmlns="http://schemas.microsoft.com/office/infopath/2007/PartnerControls">
          <TermName xmlns="http://schemas.microsoft.com/office/infopath/2007/PartnerControls">100 Days</TermName>
          <TermId xmlns="http://schemas.microsoft.com/office/infopath/2007/PartnerControls">9c5dcf53-1f55-4b8e-a4d0-fdf0726ac672</TermId>
        </TermInfo>
        <TermInfo xmlns="http://schemas.microsoft.com/office/infopath/2007/PartnerControls">
          <TermName xmlns="http://schemas.microsoft.com/office/infopath/2007/PartnerControls">Value Realization</TermName>
          <TermId xmlns="http://schemas.microsoft.com/office/infopath/2007/PartnerControls">490764ae-c754-463d-b18d-fb57fb369da3</TermId>
        </TermInfo>
        <TermInfo xmlns="http://schemas.microsoft.com/office/infopath/2007/PartnerControls">
          <TermName xmlns="http://schemas.microsoft.com/office/infopath/2007/PartnerControls">Deal Strategy</TermName>
          <TermId xmlns="http://schemas.microsoft.com/office/infopath/2007/PartnerControls">8cd620d7-6d95-450c-80f3-e6b255d43a36</TermId>
        </TermInfo>
        <TermInfo xmlns="http://schemas.microsoft.com/office/infopath/2007/PartnerControls">
          <TermName xmlns="http://schemas.microsoft.com/office/infopath/2007/PartnerControls">Evaluation</TermName>
          <TermId xmlns="http://schemas.microsoft.com/office/infopath/2007/PartnerControls">bd5926d3-5fdd-43f6-af78-e514358e8150</TermId>
        </TermInfo>
        <TermInfo xmlns="http://schemas.microsoft.com/office/infopath/2007/PartnerControls">
          <TermName xmlns="http://schemas.microsoft.com/office/infopath/2007/PartnerControls">Identifying the Deal</TermName>
          <TermId xmlns="http://schemas.microsoft.com/office/infopath/2007/PartnerControls">921e4b0b-82fa-47da-aabd-d2a68508048d</TermId>
        </TermInfo>
        <TermInfo xmlns="http://schemas.microsoft.com/office/infopath/2007/PartnerControls">
          <TermName xmlns="http://schemas.microsoft.com/office/infopath/2007/PartnerControls">Evaluating the Deal</TermName>
          <TermId xmlns="http://schemas.microsoft.com/office/infopath/2007/PartnerControls">811e74df-e0cc-4675-bde6-a143a333985a</TermId>
        </TermInfo>
        <TermInfo xmlns="http://schemas.microsoft.com/office/infopath/2007/PartnerControls">
          <TermName xmlns="http://schemas.microsoft.com/office/infopath/2007/PartnerControls">Creating Value</TermName>
          <TermId xmlns="http://schemas.microsoft.com/office/infopath/2007/PartnerControls">0f433fea-f35e-48b3-9aff-f0a55695af07</TermId>
        </TermInfo>
        <TermInfo xmlns="http://schemas.microsoft.com/office/infopath/2007/PartnerControls">
          <TermName xmlns="http://schemas.microsoft.com/office/infopath/2007/PartnerControls">Evaluate Opportunity</TermName>
          <TermId xmlns="http://schemas.microsoft.com/office/infopath/2007/PartnerControls">81ab8066-4cd7-41be-ae79-bae13653fa9b</TermId>
        </TermInfo>
        <TermInfo xmlns="http://schemas.microsoft.com/office/infopath/2007/PartnerControls">
          <TermName xmlns="http://schemas.microsoft.com/office/infopath/2007/PartnerControls">Design Partnership</TermName>
          <TermId xmlns="http://schemas.microsoft.com/office/infopath/2007/PartnerControls">cf6aa4a3-2d54-40aa-8f99-cce00973c9e1</TermId>
        </TermInfo>
        <TermInfo xmlns="http://schemas.microsoft.com/office/infopath/2007/PartnerControls">
          <TermName xmlns="http://schemas.microsoft.com/office/infopath/2007/PartnerControls">Power Up</TermName>
          <TermId xmlns="http://schemas.microsoft.com/office/infopath/2007/PartnerControls">21bfb450-cfd0-4eab-bc74-7cbf7fe1ade5</TermId>
        </TermInfo>
        <TermInfo xmlns="http://schemas.microsoft.com/office/infopath/2007/PartnerControls">
          <TermName xmlns="http://schemas.microsoft.com/office/infopath/2007/PartnerControls">Portfolio Strategy</TermName>
          <TermId xmlns="http://schemas.microsoft.com/office/infopath/2007/PartnerControls">ce3db8cb-d0f9-4a52-845a-cdb9c80138fa</TermId>
        </TermInfo>
        <TermInfo xmlns="http://schemas.microsoft.com/office/infopath/2007/PartnerControls">
          <TermName xmlns="http://schemas.microsoft.com/office/infopath/2007/PartnerControls">Exit Options</TermName>
          <TermId xmlns="http://schemas.microsoft.com/office/infopath/2007/PartnerControls">6e06db53-b290-432f-92f7-32ffb7d0704c</TermId>
        </TermInfo>
        <TermInfo xmlns="http://schemas.microsoft.com/office/infopath/2007/PartnerControls">
          <TermName xmlns="http://schemas.microsoft.com/office/infopath/2007/PartnerControls">Prepare for Exit</TermName>
          <TermId xmlns="http://schemas.microsoft.com/office/infopath/2007/PartnerControls">e5c760a3-67d5-4160-b8b3-daff04f15c9e</TermId>
        </TermInfo>
        <TermInfo xmlns="http://schemas.microsoft.com/office/infopath/2007/PartnerControls">
          <TermName xmlns="http://schemas.microsoft.com/office/infopath/2007/PartnerControls">Deal Execution</TermName>
          <TermId xmlns="http://schemas.microsoft.com/office/infopath/2007/PartnerControls">b8a5989a-999a-490f-9f65-5d298ae296f9</TermId>
        </TermInfo>
        <TermInfo xmlns="http://schemas.microsoft.com/office/infopath/2007/PartnerControls">
          <TermName xmlns="http://schemas.microsoft.com/office/infopath/2007/PartnerControls">Exit Options</TermName>
          <TermId xmlns="http://schemas.microsoft.com/office/infopath/2007/PartnerControls">9984c1c7-7d8d-44a9-a16f-af2599df60fa</TermId>
        </TermInfo>
        <TermInfo xmlns="http://schemas.microsoft.com/office/infopath/2007/PartnerControls">
          <TermName xmlns="http://schemas.microsoft.com/office/infopath/2007/PartnerControls">Sales Process/Execution</TermName>
          <TermId xmlns="http://schemas.microsoft.com/office/infopath/2007/PartnerControls">ef6bca58-08f4-416d-baca-84bbcdcf7a2e</TermId>
        </TermInfo>
        <TermInfo xmlns="http://schemas.microsoft.com/office/infopath/2007/PartnerControls">
          <TermName xmlns="http://schemas.microsoft.com/office/infopath/2007/PartnerControls">Deal Execution</TermName>
          <TermId xmlns="http://schemas.microsoft.com/office/infopath/2007/PartnerControls">5dd92649-1c64-4c97-970a-df0a5a6fabc6</TermId>
        </TermInfo>
        <TermInfo xmlns="http://schemas.microsoft.com/office/infopath/2007/PartnerControls">
          <TermName xmlns="http://schemas.microsoft.com/office/infopath/2007/PartnerControls">Review JV status (Health check)</TermName>
          <TermId xmlns="http://schemas.microsoft.com/office/infopath/2007/PartnerControls">88dd50dd-aa67-4638-9cf1-82c9298fd2f4</TermId>
        </TermInfo>
        <TermInfo xmlns="http://schemas.microsoft.com/office/infopath/2007/PartnerControls">
          <TermName xmlns="http://schemas.microsoft.com/office/infopath/2007/PartnerControls">Define solution</TermName>
          <TermId xmlns="http://schemas.microsoft.com/office/infopath/2007/PartnerControls">b6352f40-b7ef-4880-aeb2-264e46b98348</TermId>
        </TermInfo>
        <TermInfo xmlns="http://schemas.microsoft.com/office/infopath/2007/PartnerControls">
          <TermName xmlns="http://schemas.microsoft.com/office/infopath/2007/PartnerControls">Assess governance ＆ reporting</TermName>
          <TermId xmlns="http://schemas.microsoft.com/office/infopath/2007/PartnerControls">006231e7-202c-4ad0-8e5f-631a6de884b7</TermId>
        </TermInfo>
      </Terms>
    </n7fcfc7ff88c47269e09795cd7cf84b6>
    <h02503a76cd648a7a251ba5146ce5bb6 xmlns="9b80046e-e354-4b0a-98ae-528263b4c960">
      <Terms xmlns="http://schemas.microsoft.com/office/infopath/2007/PartnerControls"/>
    </h02503a76cd648a7a251ba5146ce5bb6>
    <IconOverlay xmlns="http://schemas.microsoft.com/sharepoint/v4" xsi:nil="true"/>
    <pd15040261914bbebb9af7013e73a19b xmlns="9b80046e-e354-4b0a-98ae-528263b4c960">
      <Terms xmlns="http://schemas.microsoft.com/office/infopath/2007/PartnerControls">
        <TermInfo xmlns="http://schemas.microsoft.com/office/infopath/2007/PartnerControls">
          <TermName xmlns="http://schemas.microsoft.com/office/infopath/2007/PartnerControls">Fund</TermName>
          <TermId xmlns="http://schemas.microsoft.com/office/infopath/2007/PartnerControls">bac708d5-4ec1-43b5-b9c2-a0b9f5f9b8fd</TermId>
        </TermInfo>
        <TermInfo xmlns="http://schemas.microsoft.com/office/infopath/2007/PartnerControls">
          <TermName xmlns="http://schemas.microsoft.com/office/infopath/2007/PartnerControls">Turnaround</TermName>
          <TermId xmlns="http://schemas.microsoft.com/office/infopath/2007/PartnerControls">eb8951d3-59ad-4256-b9c5-7b6533d4a409</TermId>
        </TermInfo>
        <TermInfo xmlns="http://schemas.microsoft.com/office/infopath/2007/PartnerControls">
          <TermName xmlns="http://schemas.microsoft.com/office/infopath/2007/PartnerControls">Restructuring</TermName>
          <TermId xmlns="http://schemas.microsoft.com/office/infopath/2007/PartnerControls">271c1297-36e5-423c-90cf-4c763ce6d4c2</TermId>
        </TermInfo>
        <TermInfo xmlns="http://schemas.microsoft.com/office/infopath/2007/PartnerControls">
          <TermName xmlns="http://schemas.microsoft.com/office/infopath/2007/PartnerControls">IPO</TermName>
          <TermId xmlns="http://schemas.microsoft.com/office/infopath/2007/PartnerControls">426e4547-2796-4b5a-955d-84714dab2d01</TermId>
        </TermInfo>
        <TermInfo xmlns="http://schemas.microsoft.com/office/infopath/2007/PartnerControls">
          <TermName xmlns="http://schemas.microsoft.com/office/infopath/2007/PartnerControls">Portfolio Management</TermName>
          <TermId xmlns="http://schemas.microsoft.com/office/infopath/2007/PartnerControls">1ccbf67b-6fd0-4644-bf00-0a774fe77cf2</TermId>
        </TermInfo>
        <TermInfo xmlns="http://schemas.microsoft.com/office/infopath/2007/PartnerControls">
          <TermName xmlns="http://schemas.microsoft.com/office/infopath/2007/PartnerControls">Buy side</TermName>
          <TermId xmlns="http://schemas.microsoft.com/office/infopath/2007/PartnerControls">9c9ec32b-7458-4035-acb9-ce648df8b7d8</TermId>
        </TermInfo>
        <TermInfo xmlns="http://schemas.microsoft.com/office/infopath/2007/PartnerControls">
          <TermName xmlns="http://schemas.microsoft.com/office/infopath/2007/PartnerControls">Buy side PE</TermName>
          <TermId xmlns="http://schemas.microsoft.com/office/infopath/2007/PartnerControls">6f960682-91e8-4ade-b386-453dfcf75547</TermId>
        </TermInfo>
        <TermInfo xmlns="http://schemas.microsoft.com/office/infopath/2007/PartnerControls">
          <TermName xmlns="http://schemas.microsoft.com/office/infopath/2007/PartnerControls">Partner</TermName>
          <TermId xmlns="http://schemas.microsoft.com/office/infopath/2007/PartnerControls">110c52c4-9652-4634-861e-f530f8630eaf</TermId>
        </TermInfo>
        <TermInfo xmlns="http://schemas.microsoft.com/office/infopath/2007/PartnerControls">
          <TermName xmlns="http://schemas.microsoft.com/office/infopath/2007/PartnerControls">Sell side</TermName>
          <TermId xmlns="http://schemas.microsoft.com/office/infopath/2007/PartnerControls">b9d31663-2e59-410d-81ed-bdab4d80be7f</TermId>
        </TermInfo>
        <TermInfo xmlns="http://schemas.microsoft.com/office/infopath/2007/PartnerControls">
          <TermName xmlns="http://schemas.microsoft.com/office/infopath/2007/PartnerControls">Sell side - Banking</TermName>
          <TermId xmlns="http://schemas.microsoft.com/office/infopath/2007/PartnerControls">0f247aae-594d-47f4-8dfc-c7a00fe3c681</TermId>
        </TermInfo>
        <TermInfo xmlns="http://schemas.microsoft.com/office/infopath/2007/PartnerControls">
          <TermName xmlns="http://schemas.microsoft.com/office/infopath/2007/PartnerControls">Partner (Deliver, Optimize or Exit)</TermName>
          <TermId xmlns="http://schemas.microsoft.com/office/infopath/2007/PartnerControls">b8cdad40-1b52-4c94-8930-e06b1f044c5d</TermId>
        </TermInfo>
      </Terms>
    </pd15040261914bbebb9af7013e73a19b>
    <g1453b5b049a4803993d8f9bcab5e463 xmlns="9b80046e-e354-4b0a-98ae-528263b4c960">
      <Terms xmlns="http://schemas.microsoft.com/office/infopath/2007/PartnerControls"/>
    </g1453b5b049a4803993d8f9bcab5e463>
    <m78c120f90744e07a4b605e785dfd0d0 xmlns="9b80046e-e354-4b0a-98ae-528263b4c960">
      <Terms xmlns="http://schemas.microsoft.com/office/infopath/2007/PartnerControls">
        <TermInfo xmlns="http://schemas.microsoft.com/office/infopath/2007/PartnerControls">
          <TermName xmlns="http://schemas.microsoft.com/office/infopath/2007/PartnerControls">Work Book</TermName>
          <TermId xmlns="http://schemas.microsoft.com/office/infopath/2007/PartnerControls">b1e08055-7a19-46a7-8036-4b473afe6c49</TermId>
        </TermInfo>
      </Terms>
    </m78c120f90744e07a4b605e785dfd0d0>
    <a5fed2dedcd64cc29b078e5baee5a2ab xmlns="9b80046e-e354-4b0a-98ae-528263b4c960">
      <Terms xmlns="http://schemas.microsoft.com/office/infopath/2007/PartnerControls">
        <TermInfo xmlns="http://schemas.microsoft.com/office/infopath/2007/PartnerControls">
          <TermName xmlns="http://schemas.microsoft.com/office/infopath/2007/PartnerControls">Capital Structure ＆ Funding Options</TermName>
          <TermId xmlns="http://schemas.microsoft.com/office/infopath/2007/PartnerControls">5e250e51-0dc3-4d63-80d4-8acf961ecd36</TermId>
        </TermInfo>
        <TermInfo xmlns="http://schemas.microsoft.com/office/infopath/2007/PartnerControls">
          <TermName xmlns="http://schemas.microsoft.com/office/infopath/2007/PartnerControls">Determination of Financing Strategy</TermName>
          <TermId xmlns="http://schemas.microsoft.com/office/infopath/2007/PartnerControls">13eff764-4438-4d3d-9374-caff4d29d5d8</TermId>
        </TermInfo>
        <TermInfo xmlns="http://schemas.microsoft.com/office/infopath/2007/PartnerControls">
          <TermName xmlns="http://schemas.microsoft.com/office/infopath/2007/PartnerControls">Investment Cases</TermName>
          <TermId xmlns="http://schemas.microsoft.com/office/infopath/2007/PartnerControls">d4138a0c-5292-43b6-a80b-4d1720ca5915</TermId>
        </TermInfo>
        <TermInfo xmlns="http://schemas.microsoft.com/office/infopath/2007/PartnerControls">
          <TermName xmlns="http://schemas.microsoft.com/office/infopath/2007/PartnerControls">Window Dressing</TermName>
          <TermId xmlns="http://schemas.microsoft.com/office/infopath/2007/PartnerControls">0471d6d5-3a2b-452f-bc06-c87f291447de</TermId>
        </TermInfo>
        <TermInfo xmlns="http://schemas.microsoft.com/office/infopath/2007/PartnerControls">
          <TermName xmlns="http://schemas.microsoft.com/office/infopath/2007/PartnerControls">Prospectus Requirements</TermName>
          <TermId xmlns="http://schemas.microsoft.com/office/infopath/2007/PartnerControls">b286da2a-2913-4db1-a972-82c1625661e0</TermId>
        </TermInfo>
        <TermInfo xmlns="http://schemas.microsoft.com/office/infopath/2007/PartnerControls">
          <TermName xmlns="http://schemas.microsoft.com/office/infopath/2007/PartnerControls">Pricing</TermName>
          <TermId xmlns="http://schemas.microsoft.com/office/infopath/2007/PartnerControls">05e84e2c-ea2d-4de7-819f-cae6b7ea39ef</TermId>
        </TermInfo>
        <TermInfo xmlns="http://schemas.microsoft.com/office/infopath/2007/PartnerControls">
          <TermName xmlns="http://schemas.microsoft.com/office/infopath/2007/PartnerControls">Quick Profitability (Performance) Assessment</TermName>
          <TermId xmlns="http://schemas.microsoft.com/office/infopath/2007/PartnerControls">08c18af1-8703-4653-ab41-c8d309c1cef3</TermId>
        </TermInfo>
        <TermInfo xmlns="http://schemas.microsoft.com/office/infopath/2007/PartnerControls">
          <TermName xmlns="http://schemas.microsoft.com/office/infopath/2007/PartnerControls">Assess Financial Business Case, Payback, DCF</TermName>
          <TermId xmlns="http://schemas.microsoft.com/office/infopath/2007/PartnerControls">40afdfa1-66b3-4ca2-87f4-c1326e40e4b6</TermId>
        </TermInfo>
        <TermInfo xmlns="http://schemas.microsoft.com/office/infopath/2007/PartnerControls">
          <TermName xmlns="http://schemas.microsoft.com/office/infopath/2007/PartnerControls">Internal ＆ External Reporting</TermName>
          <TermId xmlns="http://schemas.microsoft.com/office/infopath/2007/PartnerControls">bfbeea8d-de36-40c7-a559-5226c3f0fa27</TermId>
        </TermInfo>
        <TermInfo xmlns="http://schemas.microsoft.com/office/infopath/2007/PartnerControls">
          <TermName xmlns="http://schemas.microsoft.com/office/infopath/2007/PartnerControls">Refine Strategy ＆ Value Drivers</TermName>
          <TermId xmlns="http://schemas.microsoft.com/office/infopath/2007/PartnerControls">91b9c225-7167-4206-aad0-4a23f1048c47</TermId>
        </TermInfo>
        <TermInfo xmlns="http://schemas.microsoft.com/office/infopath/2007/PartnerControls">
          <TermName xmlns="http://schemas.microsoft.com/office/infopath/2007/PartnerControls">Deep Management Engagement</TermName>
          <TermId xmlns="http://schemas.microsoft.com/office/infopath/2007/PartnerControls">437f996a-7a65-4133-b2df-117210bf86e4</TermId>
        </TermInfo>
        <TermInfo xmlns="http://schemas.microsoft.com/office/infopath/2007/PartnerControls">
          <TermName xmlns="http://schemas.microsoft.com/office/infopath/2007/PartnerControls">Fast-Track Quick Wins</TermName>
          <TermId xmlns="http://schemas.microsoft.com/office/infopath/2007/PartnerControls">ecab8606-0e76-4a92-ad0a-aa0e776460fa</TermId>
        </TermInfo>
        <TermInfo xmlns="http://schemas.microsoft.com/office/infopath/2007/PartnerControls">
          <TermName xmlns="http://schemas.microsoft.com/office/infopath/2007/PartnerControls">Embed in Budgets ＆ Plans</TermName>
          <TermId xmlns="http://schemas.microsoft.com/office/infopath/2007/PartnerControls">84dd7bd5-cc6c-40d4-8938-19451a6f40dc</TermId>
        </TermInfo>
        <TermInfo xmlns="http://schemas.microsoft.com/office/infopath/2007/PartnerControls">
          <TermName xmlns="http://schemas.microsoft.com/office/infopath/2007/PartnerControls">Restructure/Recapitalize</TermName>
          <TermId xmlns="http://schemas.microsoft.com/office/infopath/2007/PartnerControls">cb0567ce-add9-4277-94ad-a6642b5a1c21</TermId>
        </TermInfo>
        <TermInfo xmlns="http://schemas.microsoft.com/office/infopath/2007/PartnerControls">
          <TermName xmlns="http://schemas.microsoft.com/office/infopath/2007/PartnerControls">Invest/Refinance</TermName>
          <TermId xmlns="http://schemas.microsoft.com/office/infopath/2007/PartnerControls">b27dc6e6-486b-469a-9054-69b11178bde8</TermId>
        </TermInfo>
        <TermInfo xmlns="http://schemas.microsoft.com/office/infopath/2007/PartnerControls">
          <TermName xmlns="http://schemas.microsoft.com/office/infopath/2007/PartnerControls">IPO</TermName>
          <TermId xmlns="http://schemas.microsoft.com/office/infopath/2007/PartnerControls">38707678-53ca-431e-ad7c-e9d11a0a9f94</TermId>
        </TermInfo>
        <TermInfo xmlns="http://schemas.microsoft.com/office/infopath/2007/PartnerControls">
          <TermName xmlns="http://schemas.microsoft.com/office/infopath/2007/PartnerControls">Cash Management</TermName>
          <TermId xmlns="http://schemas.microsoft.com/office/infopath/2007/PartnerControls">41f5c539-ec27-4760-ad15-3abc10821de1</TermId>
        </TermInfo>
        <TermInfo xmlns="http://schemas.microsoft.com/office/infopath/2007/PartnerControls">
          <TermName xmlns="http://schemas.microsoft.com/office/infopath/2007/PartnerControls">Covenant/Stand-Still Compliance</TermName>
          <TermId xmlns="http://schemas.microsoft.com/office/infopath/2007/PartnerControls">59a184df-414d-4720-9fa7-ad732e953196</TermId>
        </TermInfo>
        <TermInfo xmlns="http://schemas.microsoft.com/office/infopath/2007/PartnerControls">
          <TermName xmlns="http://schemas.microsoft.com/office/infopath/2007/PartnerControls">Competitive Environment</TermName>
          <TermId xmlns="http://schemas.microsoft.com/office/infopath/2007/PartnerControls">29d89fcf-2834-45d9-9289-efd7bd142759</TermId>
        </TermInfo>
        <TermInfo xmlns="http://schemas.microsoft.com/office/infopath/2007/PartnerControls">
          <TermName xmlns="http://schemas.microsoft.com/office/infopath/2007/PartnerControls">Business Strategy Review</TermName>
          <TermId xmlns="http://schemas.microsoft.com/office/infopath/2007/PartnerControls">6766c94f-025a-435b-aeca-f61d36d50ab3</TermId>
        </TermInfo>
        <TermInfo xmlns="http://schemas.microsoft.com/office/infopath/2007/PartnerControls">
          <TermName xmlns="http://schemas.microsoft.com/office/infopath/2007/PartnerControls">Financial Modeling</TermName>
          <TermId xmlns="http://schemas.microsoft.com/office/infopath/2007/PartnerControls">d98c7d3c-095a-4387-bb76-65d0dac4090f</TermId>
        </TermInfo>
        <TermInfo xmlns="http://schemas.microsoft.com/office/infopath/2007/PartnerControls">
          <TermName xmlns="http://schemas.microsoft.com/office/infopath/2007/PartnerControls">Profitability</TermName>
          <TermId xmlns="http://schemas.microsoft.com/office/infopath/2007/PartnerControls">284b1685-ccfa-4827-b64e-1e7971df0c2f</TermId>
        </TermInfo>
        <TermInfo xmlns="http://schemas.microsoft.com/office/infopath/2007/PartnerControls">
          <TermName xmlns="http://schemas.microsoft.com/office/infopath/2007/PartnerControls">Capital Demand</TermName>
          <TermId xmlns="http://schemas.microsoft.com/office/infopath/2007/PartnerControls">36ea9ebc-376d-4392-bd5a-f91d197cd0a1</TermId>
        </TermInfo>
        <TermInfo xmlns="http://schemas.microsoft.com/office/infopath/2007/PartnerControls">
          <TermName xmlns="http://schemas.microsoft.com/office/infopath/2007/PartnerControls">Investment Cases</TermName>
          <TermId xmlns="http://schemas.microsoft.com/office/infopath/2007/PartnerControls">75681731-264d-4cd0-8856-6d3e58acf81c</TermId>
        </TermInfo>
        <TermInfo xmlns="http://schemas.microsoft.com/office/infopath/2007/PartnerControls">
          <TermName xmlns="http://schemas.microsoft.com/office/infopath/2007/PartnerControls">Prospectus Requirements</TermName>
          <TermId xmlns="http://schemas.microsoft.com/office/infopath/2007/PartnerControls">b4ad0e28-0e2c-45b9-9b39-b26878ee3508</TermId>
        </TermInfo>
        <TermInfo xmlns="http://schemas.microsoft.com/office/infopath/2007/PartnerControls">
          <TermName xmlns="http://schemas.microsoft.com/office/infopath/2007/PartnerControls">Pricing</TermName>
          <TermId xmlns="http://schemas.microsoft.com/office/infopath/2007/PartnerControls">72b17428-a893-4e31-a6ad-abe577cc51e2</TermId>
        </TermInfo>
        <TermInfo xmlns="http://schemas.microsoft.com/office/infopath/2007/PartnerControls">
          <TermName xmlns="http://schemas.microsoft.com/office/infopath/2007/PartnerControls">Portfolio View</TermName>
          <TermId xmlns="http://schemas.microsoft.com/office/infopath/2007/PartnerControls">c80f54ce-186e-4976-8270-4ec47a1d2f67</TermId>
        </TermInfo>
        <TermInfo xmlns="http://schemas.microsoft.com/office/infopath/2007/PartnerControls">
          <TermName xmlns="http://schemas.microsoft.com/office/infopath/2007/PartnerControls">Value Driver Analysis</TermName>
          <TermId xmlns="http://schemas.microsoft.com/office/infopath/2007/PartnerControls">95e7b8be-fa9c-4ad4-be4d-e856c401a456</TermId>
        </TermInfo>
        <TermInfo xmlns="http://schemas.microsoft.com/office/infopath/2007/PartnerControls">
          <TermName xmlns="http://schemas.microsoft.com/office/infopath/2007/PartnerControls">Business Driver Assessment</TermName>
          <TermId xmlns="http://schemas.microsoft.com/office/infopath/2007/PartnerControls">d764b16b-3629-4a1e-9168-563f02ad8f3e</TermId>
        </TermInfo>
        <TermInfo xmlns="http://schemas.microsoft.com/office/infopath/2007/PartnerControls">
          <TermName xmlns="http://schemas.microsoft.com/office/infopath/2007/PartnerControls">Peer Group Benchmarking</TermName>
          <TermId xmlns="http://schemas.microsoft.com/office/infopath/2007/PartnerControls">3d5fb9d7-73fd-4c5f-88cf-01fc25f502bb</TermId>
        </TermInfo>
        <TermInfo xmlns="http://schemas.microsoft.com/office/infopath/2007/PartnerControls">
          <TermName xmlns="http://schemas.microsoft.com/office/infopath/2007/PartnerControls">Flexible Financial Modeling</TermName>
          <TermId xmlns="http://schemas.microsoft.com/office/infopath/2007/PartnerControls">412c415b-0e13-41ac-867c-1bfc7e00f5ab</TermId>
        </TermInfo>
        <TermInfo xmlns="http://schemas.microsoft.com/office/infopath/2007/PartnerControls">
          <TermName xmlns="http://schemas.microsoft.com/office/infopath/2007/PartnerControls">Simulation Model Building</TermName>
          <TermId xmlns="http://schemas.microsoft.com/office/infopath/2007/PartnerControls">e19a7203-33e5-4e2c-a5c2-b7c40c752348</TermId>
        </TermInfo>
        <TermInfo xmlns="http://schemas.microsoft.com/office/infopath/2007/PartnerControls">
          <TermName xmlns="http://schemas.microsoft.com/office/infopath/2007/PartnerControls">Start-up Modeling</TermName>
          <TermId xmlns="http://schemas.microsoft.com/office/infopath/2007/PartnerControls">7d67afe7-c984-4785-a5ed-e3413faed318</TermId>
        </TermInfo>
        <TermInfo xmlns="http://schemas.microsoft.com/office/infopath/2007/PartnerControls">
          <TermName xmlns="http://schemas.microsoft.com/office/infopath/2007/PartnerControls">Business Driver Analyses</TermName>
          <TermId xmlns="http://schemas.microsoft.com/office/infopath/2007/PartnerControls">06790eab-04fa-424b-afb8-1d6952779e54</TermId>
        </TermInfo>
        <TermInfo xmlns="http://schemas.microsoft.com/office/infopath/2007/PartnerControls">
          <TermName xmlns="http://schemas.microsoft.com/office/infopath/2007/PartnerControls">Risk Analyses</TermName>
          <TermId xmlns="http://schemas.microsoft.com/office/infopath/2007/PartnerControls">f861429e-877f-4274-8f67-17fcd70c2c6f</TermId>
        </TermInfo>
        <TermInfo xmlns="http://schemas.microsoft.com/office/infopath/2007/PartnerControls">
          <TermName xmlns="http://schemas.microsoft.com/office/infopath/2007/PartnerControls">Portfolio Risk Steering</TermName>
          <TermId xmlns="http://schemas.microsoft.com/office/infopath/2007/PartnerControls">adede6c8-98b2-4c57-a935-75cc115d5275</TermId>
        </TermInfo>
        <TermInfo xmlns="http://schemas.microsoft.com/office/infopath/2007/PartnerControls">
          <TermName xmlns="http://schemas.microsoft.com/office/infopath/2007/PartnerControls">Value Bridge ＆ Increae in Value</TermName>
          <TermId xmlns="http://schemas.microsoft.com/office/infopath/2007/PartnerControls">04f23fc3-9f83-47f6-bff9-929899899744</TermId>
        </TermInfo>
        <TermInfo xmlns="http://schemas.microsoft.com/office/infopath/2007/PartnerControls">
          <TermName xmlns="http://schemas.microsoft.com/office/infopath/2007/PartnerControls">Planning Validity Assessment</TermName>
          <TermId xmlns="http://schemas.microsoft.com/office/infopath/2007/PartnerControls">4f0e5b80-f1ed-4bb2-86cf-6c45b81f6f2f</TermId>
        </TermInfo>
        <TermInfo xmlns="http://schemas.microsoft.com/office/infopath/2007/PartnerControls">
          <TermName xmlns="http://schemas.microsoft.com/office/infopath/2007/PartnerControls">Steering ＆ Incentive Issues</TermName>
          <TermId xmlns="http://schemas.microsoft.com/office/infopath/2007/PartnerControls">c7f1e72b-4cab-474a-beee-bd778ce5343a</TermId>
        </TermInfo>
        <TermInfo xmlns="http://schemas.microsoft.com/office/infopath/2007/PartnerControls">
          <TermName xmlns="http://schemas.microsoft.com/office/infopath/2007/PartnerControls">Capital Market Communication</TermName>
          <TermId xmlns="http://schemas.microsoft.com/office/infopath/2007/PartnerControls">70cfd3e5-8b36-489d-bb93-59c0e74d63f3</TermId>
        </TermInfo>
        <TermInfo xmlns="http://schemas.microsoft.com/office/infopath/2007/PartnerControls">
          <TermName xmlns="http://schemas.microsoft.com/office/infopath/2007/PartnerControls">Decision Cockpit</TermName>
          <TermId xmlns="http://schemas.microsoft.com/office/infopath/2007/PartnerControls">5494850a-7e77-4d22-8db2-2c2ff1ed1368</TermId>
        </TermInfo>
        <TermInfo xmlns="http://schemas.microsoft.com/office/infopath/2007/PartnerControls">
          <TermName xmlns="http://schemas.microsoft.com/office/infopath/2007/PartnerControls">Decision Process Monitoring</TermName>
          <TermId xmlns="http://schemas.microsoft.com/office/infopath/2007/PartnerControls">c2c7671f-dd42-4b82-91ec-eebe8ae5a586</TermId>
        </TermInfo>
        <TermInfo xmlns="http://schemas.microsoft.com/office/infopath/2007/PartnerControls">
          <TermName xmlns="http://schemas.microsoft.com/office/infopath/2007/PartnerControls">Confirmatory Diligence</TermName>
          <TermId xmlns="http://schemas.microsoft.com/office/infopath/2007/PartnerControls">e249d7cb-8f51-46d3-9422-ca60c54ddf30</TermId>
        </TermInfo>
        <TermInfo xmlns="http://schemas.microsoft.com/office/infopath/2007/PartnerControls">
          <TermName xmlns="http://schemas.microsoft.com/office/infopath/2007/PartnerControls">Integration/Standalone Planning</TermName>
          <TermId xmlns="http://schemas.microsoft.com/office/infopath/2007/PartnerControls">ebcd3029-11b3-4c39-94a7-a0d734c401e7</TermId>
        </TermInfo>
        <TermInfo xmlns="http://schemas.microsoft.com/office/infopath/2007/PartnerControls">
          <TermName xmlns="http://schemas.microsoft.com/office/infopath/2007/PartnerControls">Value Protection-Post Deal</TermName>
          <TermId xmlns="http://schemas.microsoft.com/office/infopath/2007/PartnerControls">bfb6b2db-eade-42f0-b7e4-55314a33b792</TermId>
        </TermInfo>
        <TermInfo xmlns="http://schemas.microsoft.com/office/infopath/2007/PartnerControls">
          <TermName xmlns="http://schemas.microsoft.com/office/infopath/2007/PartnerControls">Non-Core Disposals</TermName>
          <TermId xmlns="http://schemas.microsoft.com/office/infopath/2007/PartnerControls">f0b16800-ff38-4227-af60-8777413df0c3</TermId>
        </TermInfo>
        <TermInfo xmlns="http://schemas.microsoft.com/office/infopath/2007/PartnerControls">
          <TermName xmlns="http://schemas.microsoft.com/office/infopath/2007/PartnerControls">Financial ＆ Strategic Amibition</TermName>
          <TermId xmlns="http://schemas.microsoft.com/office/infopath/2007/PartnerControls">5e8eaaca-c9dd-4713-a921-1c6c57d74c14</TermId>
        </TermInfo>
        <TermInfo xmlns="http://schemas.microsoft.com/office/infopath/2007/PartnerControls">
          <TermName xmlns="http://schemas.microsoft.com/office/infopath/2007/PartnerControls">Capital Allocation</TermName>
          <TermId xmlns="http://schemas.microsoft.com/office/infopath/2007/PartnerControls">f4f3328e-9934-4326-be06-6f3c25e617bd</TermId>
        </TermInfo>
        <TermInfo xmlns="http://schemas.microsoft.com/office/infopath/2007/PartnerControls">
          <TermName xmlns="http://schemas.microsoft.com/office/infopath/2007/PartnerControls">Evaluate Value Drivers</TermName>
          <TermId xmlns="http://schemas.microsoft.com/office/infopath/2007/PartnerControls">6e6c7d61-4ec4-4d02-8bc0-693f2d17a818</TermId>
        </TermInfo>
        <TermInfo xmlns="http://schemas.microsoft.com/office/infopath/2007/PartnerControls">
          <TermName xmlns="http://schemas.microsoft.com/office/infopath/2007/PartnerControls">Value vs. Price</TermName>
          <TermId xmlns="http://schemas.microsoft.com/office/infopath/2007/PartnerControls">19c2dcdb-8f5e-4920-abb6-2e4be92038c7</TermId>
        </TermInfo>
        <TermInfo xmlns="http://schemas.microsoft.com/office/infopath/2007/PartnerControls">
          <TermName xmlns="http://schemas.microsoft.com/office/infopath/2007/PartnerControls">Indicative Valuation</TermName>
          <TermId xmlns="http://schemas.microsoft.com/office/infopath/2007/PartnerControls">813cbfcd-0cab-4710-8027-c38d1b2009bd</TermId>
        </TermInfo>
        <TermInfo xmlns="http://schemas.microsoft.com/office/infopath/2007/PartnerControls">
          <TermName xmlns="http://schemas.microsoft.com/office/infopath/2007/PartnerControls">Availability of Debt Markets ＆ Debt Structure</TermName>
          <TermId xmlns="http://schemas.microsoft.com/office/infopath/2007/PartnerControls">65de6142-1048-4d90-9ab7-704c96582b85</TermId>
        </TermInfo>
        <TermInfo xmlns="http://schemas.microsoft.com/office/infopath/2007/PartnerControls">
          <TermName xmlns="http://schemas.microsoft.com/office/infopath/2007/PartnerControls">Commercial Due Diligence</TermName>
          <TermId xmlns="http://schemas.microsoft.com/office/infopath/2007/PartnerControls">f0195bb2-0bfc-4412-89f9-7acdb5196491</TermId>
        </TermInfo>
        <TermInfo xmlns="http://schemas.microsoft.com/office/infopath/2007/PartnerControls">
          <TermName xmlns="http://schemas.microsoft.com/office/infopath/2007/PartnerControls">Business Modeling</TermName>
          <TermId xmlns="http://schemas.microsoft.com/office/infopath/2007/PartnerControls">b6ad6abd-ff12-4d4c-a7c6-f477151f4e60</TermId>
        </TermInfo>
        <TermInfo xmlns="http://schemas.microsoft.com/office/infopath/2007/PartnerControls">
          <TermName xmlns="http://schemas.microsoft.com/office/infopath/2007/PartnerControls">Purchase Price Allocation</TermName>
          <TermId xmlns="http://schemas.microsoft.com/office/infopath/2007/PartnerControls">e1d275f1-b596-47c9-bbc3-cb119a38aef6</TermId>
        </TermInfo>
        <TermInfo xmlns="http://schemas.microsoft.com/office/infopath/2007/PartnerControls">
          <TermName xmlns="http://schemas.microsoft.com/office/infopath/2007/PartnerControls">Financial Reporting ＆ Treasury</TermName>
          <TermId xmlns="http://schemas.microsoft.com/office/infopath/2007/PartnerControls">b594bd59-6c1a-4bd7-a637-d9942bcd6e0d</TermId>
        </TermInfo>
        <TermInfo xmlns="http://schemas.microsoft.com/office/infopath/2007/PartnerControls">
          <TermName xmlns="http://schemas.microsoft.com/office/infopath/2007/PartnerControls">Value-Based Steering</TermName>
          <TermId xmlns="http://schemas.microsoft.com/office/infopath/2007/PartnerControls">7a6cddc0-3803-4735-b408-fadccb6cfa6b</TermId>
        </TermInfo>
        <TermInfo xmlns="http://schemas.microsoft.com/office/infopath/2007/PartnerControls">
          <TermName xmlns="http://schemas.microsoft.com/office/infopath/2007/PartnerControls">Partnership's Value Creation</TermName>
          <TermId xmlns="http://schemas.microsoft.com/office/infopath/2007/PartnerControls">98582f1f-1ac9-4069-b7b2-7f83e9e5e82f</TermId>
        </TermInfo>
        <TermInfo xmlns="http://schemas.microsoft.com/office/infopath/2007/PartnerControls">
          <TermName xmlns="http://schemas.microsoft.com/office/infopath/2007/PartnerControls">Delivery on Plans</TermName>
          <TermId xmlns="http://schemas.microsoft.com/office/infopath/2007/PartnerControls">9286d69b-6086-4680-a799-c80421f0846b</TermId>
        </TermInfo>
        <TermInfo xmlns="http://schemas.microsoft.com/office/infopath/2007/PartnerControls">
          <TermName xmlns="http://schemas.microsoft.com/office/infopath/2007/PartnerControls">Portfolio Value Assessment</TermName>
          <TermId xmlns="http://schemas.microsoft.com/office/infopath/2007/PartnerControls">9d791f79-beb1-4602-9d00-8659ea21b9fa</TermId>
        </TermInfo>
        <TermInfo xmlns="http://schemas.microsoft.com/office/infopath/2007/PartnerControls">
          <TermName xmlns="http://schemas.microsoft.com/office/infopath/2007/PartnerControls">Value Story</TermName>
          <TermId xmlns="http://schemas.microsoft.com/office/infopath/2007/PartnerControls">82d7c79c-618d-4c8b-b1e9-c2d047b80ba3</TermId>
        </TermInfo>
        <TermInfo xmlns="http://schemas.microsoft.com/office/infopath/2007/PartnerControls">
          <TermName xmlns="http://schemas.microsoft.com/office/infopath/2007/PartnerControls">Valuation</TermName>
          <TermId xmlns="http://schemas.microsoft.com/office/infopath/2007/PartnerControls">eec14924-75e5-432c-9cfd-ebe1c5d8928c</TermId>
        </TermInfo>
        <TermInfo xmlns="http://schemas.microsoft.com/office/infopath/2007/PartnerControls">
          <TermName xmlns="http://schemas.microsoft.com/office/infopath/2007/PartnerControls">Information Preparation</TermName>
          <TermId xmlns="http://schemas.microsoft.com/office/infopath/2007/PartnerControls">4b165d55-cc44-464e-85a8-28e75b1870fc</TermId>
        </TermInfo>
        <TermInfo xmlns="http://schemas.microsoft.com/office/infopath/2007/PartnerControls">
          <TermName xmlns="http://schemas.microsoft.com/office/infopath/2007/PartnerControls">Upside ＆ Sell Side Synergies</TermName>
          <TermId xmlns="http://schemas.microsoft.com/office/infopath/2007/PartnerControls">7e563d0e-9a50-419e-8e91-c08dbd6f5328</TermId>
        </TermInfo>
        <TermInfo xmlns="http://schemas.microsoft.com/office/infopath/2007/PartnerControls">
          <TermName xmlns="http://schemas.microsoft.com/office/infopath/2007/PartnerControls">Detailed Separation</TermName>
          <TermId xmlns="http://schemas.microsoft.com/office/infopath/2007/PartnerControls">e4bdd915-69e2-40c8-89d5-25ce7e24a873</TermId>
        </TermInfo>
        <TermInfo xmlns="http://schemas.microsoft.com/office/infopath/2007/PartnerControls">
          <TermName xmlns="http://schemas.microsoft.com/office/infopath/2007/PartnerControls">Option Value Assessment</TermName>
          <TermId xmlns="http://schemas.microsoft.com/office/infopath/2007/PartnerControls">b2268fc9-8433-4a50-a81d-d366a0402ee4</TermId>
        </TermInfo>
        <TermInfo xmlns="http://schemas.microsoft.com/office/infopath/2007/PartnerControls">
          <TermName xmlns="http://schemas.microsoft.com/office/infopath/2007/PartnerControls">Financial Modeling</TermName>
          <TermId xmlns="http://schemas.microsoft.com/office/infopath/2007/PartnerControls">bae4bc8c-3392-4b38-b1b2-17c96ef5b104</TermId>
        </TermInfo>
        <TermInfo xmlns="http://schemas.microsoft.com/office/infopath/2007/PartnerControls">
          <TermName xmlns="http://schemas.microsoft.com/office/infopath/2007/PartnerControls">Goals ＆ Priorities</TermName>
          <TermId xmlns="http://schemas.microsoft.com/office/infopath/2007/PartnerControls">0e0ee321-d8c4-4e39-b566-5b92871df176</TermId>
        </TermInfo>
        <TermInfo xmlns="http://schemas.microsoft.com/office/infopath/2007/PartnerControls">
          <TermName xmlns="http://schemas.microsoft.com/office/infopath/2007/PartnerControls">Operating Model</TermName>
          <TermId xmlns="http://schemas.microsoft.com/office/infopath/2007/PartnerControls">ee2ea95e-3bc1-4c93-8c59-4733f9412284</TermId>
        </TermInfo>
        <TermInfo xmlns="http://schemas.microsoft.com/office/infopath/2007/PartnerControls">
          <TermName xmlns="http://schemas.microsoft.com/office/infopath/2007/PartnerControls">Strategy ＆ Operations Impact</TermName>
          <TermId xmlns="http://schemas.microsoft.com/office/infopath/2007/PartnerControls">1417dee8-11d7-42b5-9a3a-38259083dd8b</TermId>
        </TermInfo>
        <TermInfo xmlns="http://schemas.microsoft.com/office/infopath/2007/PartnerControls">
          <TermName xmlns="http://schemas.microsoft.com/office/infopath/2007/PartnerControls">Management Information Systems</TermName>
          <TermId xmlns="http://schemas.microsoft.com/office/infopath/2007/PartnerControls">e8aad2c1-55d3-47ea-9ecc-b6e13c8f1315</TermId>
        </TermInfo>
        <TermInfo xmlns="http://schemas.microsoft.com/office/infopath/2007/PartnerControls">
          <TermName xmlns="http://schemas.microsoft.com/office/infopath/2007/PartnerControls">Cost of Capital Concepts</TermName>
          <TermId xmlns="http://schemas.microsoft.com/office/infopath/2007/PartnerControls">e36db816-d35d-47a0-9948-615fadbb5f94</TermId>
        </TermInfo>
      </Terms>
    </a5fed2dedcd64cc29b078e5baee5a2ab>
    <TaxCatchAll xmlns="a998b651-1142-4366-a4c4-000ee70b99a8">
      <Value>350</Value>
      <Value>152</Value>
      <Value>151</Value>
      <Value>150</Value>
      <Value>149</Value>
      <Value>148</Value>
      <Value>147</Value>
      <Value>146</Value>
      <Value>145</Value>
      <Value>144</Value>
      <Value>109</Value>
      <Value>142</Value>
      <Value>141</Value>
      <Value>140</Value>
      <Value>139</Value>
      <Value>138</Value>
      <Value>137</Value>
      <Value>136</Value>
      <Value>135</Value>
      <Value>134</Value>
      <Value>133</Value>
      <Value>132</Value>
      <Value>131</Value>
      <Value>130</Value>
      <Value>129</Value>
      <Value>128</Value>
      <Value>127</Value>
      <Value>126</Value>
      <Value>125</Value>
      <Value>124</Value>
      <Value>123</Value>
      <Value>122</Value>
      <Value>121</Value>
      <Value>120</Value>
      <Value>119</Value>
      <Value>118</Value>
      <Value>117</Value>
      <Value>116</Value>
      <Value>115</Value>
      <Value>114</Value>
      <Value>113</Value>
      <Value>112</Value>
      <Value>111</Value>
      <Value>110</Value>
      <Value>76</Value>
      <Value>108</Value>
      <Value>107</Value>
      <Value>106</Value>
      <Value>105</Value>
      <Value>104</Value>
      <Value>103</Value>
      <Value>102</Value>
      <Value>101</Value>
      <Value>100</Value>
      <Value>99</Value>
      <Value>98</Value>
      <Value>97</Value>
      <Value>96</Value>
      <Value>95</Value>
      <Value>94</Value>
      <Value>93</Value>
      <Value>92</Value>
      <Value>91</Value>
      <Value>90</Value>
      <Value>89</Value>
      <Value>88</Value>
      <Value>87</Value>
      <Value>86</Value>
      <Value>85</Value>
      <Value>278</Value>
      <Value>277</Value>
      <Value>276</Value>
      <Value>275</Value>
      <Value>274</Value>
      <Value>273</Value>
      <Value>272</Value>
      <Value>74</Value>
      <Value>73</Value>
      <Value>72</Value>
      <Value>71</Value>
      <Value>70</Value>
      <Value>69</Value>
      <Value>68</Value>
      <Value>67</Value>
      <Value>66</Value>
      <Value>65</Value>
      <Value>64</Value>
      <Value>63</Value>
      <Value>61</Value>
      <Value>60</Value>
      <Value>59</Value>
      <Value>58</Value>
      <Value>57</Value>
      <Value>56</Value>
      <Value>55</Value>
      <Value>54</Value>
      <Value>53</Value>
      <Value>52</Value>
      <Value>51</Value>
      <Value>50</Value>
      <Value>49</Value>
      <Value>48</Value>
      <Value>47</Value>
      <Value>46</Value>
      <Value>45</Value>
      <Value>44</Value>
      <Value>43</Value>
      <Value>42</Value>
      <Value>41</Value>
      <Value>40</Value>
      <Value>39</Value>
      <Value>38</Value>
      <Value>37</Value>
      <Value>33</Value>
      <Value>32</Value>
      <Value>25</Value>
      <Value>24</Value>
      <Value>23</Value>
      <Value>22</Value>
      <Value>8</Value>
      <Value>7</Value>
      <Value>75</Value>
      <Value>271</Value>
    </TaxCatchAll>
    <m40374d894c64e28aa91d8cff7f6bd3e xmlns="9b80046e-e354-4b0a-98ae-528263b4c960">
      <Terms xmlns="http://schemas.microsoft.com/office/infopath/2007/PartnerControls"/>
    </m40374d894c64e28aa91d8cff7f6bd3e>
    <KPMGTROrder xmlns="9b80046e-e354-4b0a-98ae-528263b4c960" xsi:nil="true"/>
    <KPMGTRKeywords xmlns="9b80046e-e354-4b0a-98ae-528263b4c960" xsi:nil="true"/>
    <KPMGTRSprache xmlns="9b80046e-e354-4b0a-98ae-528263b4c960">Englisch</KPMGTRSprache>
    <KPMGTRAbstract xmlns="9b80046e-e354-4b0a-98ae-528263b4c960" xsi:nil="true"/>
  </documentManagement>
</p:properties>
</file>

<file path=customXml/itemProps1.xml><?xml version="1.0" encoding="utf-8"?>
<ds:datastoreItem xmlns:ds="http://schemas.openxmlformats.org/officeDocument/2006/customXml" ds:itemID="{D38F34C9-8642-471A-B114-719EDF90CD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80046e-e354-4b0a-98ae-528263b4c960"/>
    <ds:schemaRef ds:uri="a998b651-1142-4366-a4c4-000ee70b99a8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3D602A-E8EB-4519-9B08-09011C3D0C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03E63F-2591-4E83-8986-E37C677D0690}">
  <ds:schemaRefs>
    <ds:schemaRef ds:uri="http://purl.org/dc/terms/"/>
    <ds:schemaRef ds:uri="http://schemas.microsoft.com/office/2006/metadata/properties"/>
    <ds:schemaRef ds:uri="a998b651-1142-4366-a4c4-000ee70b99a8"/>
    <ds:schemaRef ds:uri="http://schemas.microsoft.com/office/2006/documentManagement/types"/>
    <ds:schemaRef ds:uri="9b80046e-e354-4b0a-98ae-528263b4c960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sharepoint/v4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Input</vt:lpstr>
      <vt:lpstr>Contents</vt:lpstr>
      <vt:lpstr>11_Currency</vt:lpstr>
      <vt:lpstr>10_Sales &amp; GP</vt:lpstr>
      <vt:lpstr>10_Sales &amp; GP tables</vt:lpstr>
      <vt:lpstr>01_P&amp;L_small</vt:lpstr>
      <vt:lpstr>01_P&amp;L_big</vt:lpstr>
      <vt:lpstr>02_Comparison</vt:lpstr>
      <vt:lpstr>03_FC vs. Budget</vt:lpstr>
      <vt:lpstr>04_Cost split up_small</vt:lpstr>
      <vt:lpstr>04_Cost split up_big</vt:lpstr>
      <vt:lpstr>05_Cashflow_small</vt:lpstr>
      <vt:lpstr>05_Cashflow_small (2)</vt:lpstr>
      <vt:lpstr>05_Cashflow_big</vt:lpstr>
      <vt:lpstr>06_Financing</vt:lpstr>
      <vt:lpstr>07_Investments</vt:lpstr>
      <vt:lpstr>08_Adherence</vt:lpstr>
      <vt:lpstr>09_Sustainable year</vt:lpstr>
      <vt:lpstr>99_Others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 book Planning Plausibility</dc:title>
  <dc:creator>nturceva</dc:creator>
  <cp:lastModifiedBy>Karien Jansen</cp:lastModifiedBy>
  <dcterms:created xsi:type="dcterms:W3CDTF">2013-08-20T08:16:48Z</dcterms:created>
  <dcterms:modified xsi:type="dcterms:W3CDTF">2017-06-21T12:49:20Z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0x010100185127AA4F913A40B1E8CCAB1E0ED58A004370B719DCC6064499B5AB442FB6D0E1</vt:lpwstr>
  </property>
  <property fmtid="{D5CDD505-2E9C-101B-9397-08002B2CF9AE}" pid="3" name="KPMGTRTopic">
    <vt:lpwstr>144;#Capital Structure ＆ Funding Options|5e250e51-0dc3-4d63-80d4-8acf961ecd36;#145;#Determination of Financing Strategy|13eff764-4438-4d3d-9374-caff4d29d5d8;#85;#Investment Cases|d4138a0c-5292-43b6-a80b-4d1720ca5915;#86;#Window Dressing|0471d6d5-3a2b-452f</vt:lpwstr>
  </property>
  <property fmtid="{D5CDD505-2E9C-101B-9397-08002B2CF9AE}" pid="4" name="KPMGTRServiceLine">
    <vt:lpwstr/>
  </property>
  <property fmtid="{D5CDD505-2E9C-101B-9397-08002B2CF9AE}" pid="5" name="KPMGTRContentType">
    <vt:lpwstr>350;#Work Book|b1e08055-7a19-46a7-8036-4b473afe6c49</vt:lpwstr>
  </property>
  <property fmtid="{D5CDD505-2E9C-101B-9397-08002B2CF9AE}" pid="6" name="KPMGTRProgramm">
    <vt:lpwstr>42;#Fund|bac708d5-4ec1-43b5-b9c2-a0b9f5f9b8fd;#25;#Turnaround|eb8951d3-59ad-4256-b9c5-7b6533d4a409;#43;#Restructuring|271c1297-36e5-423c-90cf-4c763ce6d4c2;#41;#IPO|426e4547-2796-4b5a-955d-84714dab2d01;#38;#Portfolio Management|1ccbf67b-6fd0-4644-bf00-0a77</vt:lpwstr>
  </property>
  <property fmtid="{D5CDD505-2E9C-101B-9397-08002B2CF9AE}" pid="7" name="KPMGTRPhase">
    <vt:lpwstr>75;#Strategy ＆ Capital Structure|85915dce-c22d-42e2-8c1b-0267b812ab5b;#66;#Option Identification|649b4568-374c-48c1-9ea5-7304f4a41fb1;#44;#Deal Execution|a283d2fa-e652-4724-ab70-ffd5ddbb75c0;#68;#Option Identification|b7a1b52b-af1e-44fc-9e30-e5cfd77e850f;</vt:lpwstr>
  </property>
  <property fmtid="{D5CDD505-2E9C-101B-9397-08002B2CF9AE}" pid="8" name="KPMGTRSektor">
    <vt:lpwstr/>
  </property>
  <property fmtid="{D5CDD505-2E9C-101B-9397-08002B2CF9AE}" pid="9" name="KPMGTRService">
    <vt:lpwstr/>
  </property>
</Properties>
</file>