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A8E0FC77-3BF0-4017-B4DA-839CA8064176}" xr6:coauthVersionLast="44" xr6:coauthVersionMax="45" xr10:uidLastSave="{00000000-0000-0000-0000-000000000000}"/>
  <bookViews>
    <workbookView xWindow="-120" yWindow="-120" windowWidth="28110" windowHeight="16440" tabRatio="876" firstSheet="4" activeTab="13" xr2:uid="{00000000-000D-0000-FFFF-FFFF00000000}"/>
  </bookViews>
  <sheets>
    <sheet name="Note" sheetId="20" r:id="rId1"/>
    <sheet name="SCOPE" sheetId="2" r:id="rId2"/>
    <sheet name="자본변동" sheetId="17" r:id="rId3"/>
    <sheet name="T_BS" sheetId="1" r:id="rId4"/>
    <sheet name="T_IS" sheetId="3" r:id="rId5"/>
    <sheet name="T_CE" sheetId="38" r:id="rId6"/>
    <sheet name="BS" sheetId="40" state="hidden" r:id="rId7"/>
    <sheet name="IS" sheetId="41" state="hidden" r:id="rId8"/>
    <sheet name="T198_TB" sheetId="22" r:id="rId9"/>
    <sheet name="CFS" sheetId="31" r:id="rId10"/>
    <sheet name="CF.1" sheetId="23" r:id="rId11"/>
    <sheet name="CF.2" sheetId="24" r:id="rId12"/>
    <sheet name="BS(공)" sheetId="26" r:id="rId13"/>
    <sheet name="CE(공)" sheetId="39" r:id="rId14"/>
    <sheet name="IS(공)" sheetId="33" r:id="rId15"/>
    <sheet name="CF(공)_1.0" sheetId="25" r:id="rId16"/>
    <sheet name="CF(공)_2.0" sheetId="30" r:id="rId17"/>
    <sheet name="1.0" sheetId="4" r:id="rId18"/>
    <sheet name="2.0" sheetId="5" r:id="rId19"/>
    <sheet name="2.1" sheetId="42" r:id="rId20"/>
    <sheet name="3.0" sheetId="6" r:id="rId21"/>
    <sheet name="3.1" sheetId="7" state="hidden" r:id="rId22"/>
    <sheet name="4.0" sheetId="8" r:id="rId23"/>
    <sheet name="5.0" sheetId="9" r:id="rId24"/>
    <sheet name="5.1" sheetId="10" r:id="rId25"/>
    <sheet name="5.1_V2" sheetId="34" state="hidden" r:id="rId26"/>
    <sheet name="5.2" sheetId="11" r:id="rId27"/>
    <sheet name="5.2_V2" sheetId="35" state="hidden" r:id="rId28"/>
    <sheet name="5.3" sheetId="43" r:id="rId29"/>
    <sheet name="6.0" sheetId="12" r:id="rId30"/>
    <sheet name="7.0" sheetId="13" r:id="rId31"/>
    <sheet name="7.1" sheetId="18" r:id="rId32"/>
    <sheet name="8.0" sheetId="14" r:id="rId33"/>
    <sheet name="8.1" sheetId="21" r:id="rId34"/>
    <sheet name="OCI" sheetId="16" r:id="rId35"/>
    <sheet name="NCE" sheetId="15" r:id="rId36"/>
    <sheet name="NCI" sheetId="19" r:id="rId37"/>
    <sheet name="FNS" sheetId="32" state="hidden" r:id="rId38"/>
  </sheets>
  <definedNames>
    <definedName name="_xlnm._FilterDatabase" localSheetId="20" hidden="1">'3.0'!$D$4:$H$203</definedName>
    <definedName name="_xlnm._FilterDatabase" localSheetId="15">'CF(공)_1.0'!$D$5:$H$93</definedName>
    <definedName name="_xlnm._FilterDatabase" localSheetId="10" hidden="1">'CF.1'!$D$6:$X$358</definedName>
    <definedName name="_xlnm._FilterDatabase" localSheetId="9" hidden="1">CFS!$D$4:$M$313</definedName>
    <definedName name="_xlnm._FilterDatabase" localSheetId="3" hidden="1">T_BS!$D$6:$AA$227</definedName>
    <definedName name="_xlnm._FilterDatabase" localSheetId="4" hidden="1">T_IS!$D$5:$AA$121</definedName>
    <definedName name="_xlnm._FilterDatabase" localSheetId="8" hidden="1">T198_TB!$D$4:$M$155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33" l="1"/>
  <c r="G30" i="33"/>
  <c r="H39" i="33"/>
  <c r="G39" i="33"/>
  <c r="H377" i="23" l="1"/>
  <c r="K14" i="39" l="1"/>
  <c r="I13" i="39"/>
  <c r="I14" i="39"/>
  <c r="J28" i="39"/>
  <c r="K28" i="39"/>
  <c r="F28" i="39"/>
  <c r="G28" i="39"/>
  <c r="H28" i="39"/>
  <c r="I28" i="39"/>
  <c r="E28" i="39"/>
  <c r="K26" i="39"/>
  <c r="I26" i="39"/>
  <c r="H26" i="39"/>
  <c r="G26" i="39"/>
  <c r="F26" i="39"/>
  <c r="E26" i="39"/>
  <c r="J7" i="39"/>
  <c r="H7" i="39"/>
  <c r="G7" i="39"/>
  <c r="F7" i="39"/>
  <c r="J11" i="39"/>
  <c r="H11" i="39"/>
  <c r="H15" i="39" s="1"/>
  <c r="G11" i="39"/>
  <c r="G15" i="39" s="1"/>
  <c r="F11" i="39"/>
  <c r="F15" i="39" s="1"/>
  <c r="E11" i="39"/>
  <c r="E15" i="39" s="1"/>
  <c r="K13" i="39"/>
  <c r="E7" i="39"/>
  <c r="H50" i="26"/>
  <c r="H49" i="26"/>
  <c r="AA132" i="1" l="1"/>
  <c r="O132" i="1"/>
  <c r="H109" i="3"/>
  <c r="H94" i="3"/>
  <c r="H117" i="3"/>
  <c r="H205" i="1"/>
  <c r="H199" i="1"/>
  <c r="H193" i="1"/>
  <c r="H185" i="1"/>
  <c r="H130" i="1"/>
  <c r="H83" i="1"/>
  <c r="H47" i="1"/>
  <c r="H187" i="1"/>
  <c r="H195" i="1"/>
  <c r="H197" i="1"/>
  <c r="N130" i="1"/>
  <c r="M130" i="1"/>
  <c r="L130" i="1"/>
  <c r="K130" i="1"/>
  <c r="J130" i="1"/>
  <c r="I130" i="1"/>
  <c r="H14" i="1" l="1"/>
  <c r="H37" i="1"/>
  <c r="H52" i="1"/>
  <c r="H69" i="1"/>
  <c r="H78" i="1"/>
  <c r="H207" i="1"/>
  <c r="H155" i="1"/>
  <c r="H82" i="3"/>
  <c r="H86" i="1"/>
  <c r="H109" i="1"/>
  <c r="H135" i="1"/>
  <c r="H162" i="1"/>
  <c r="H190" i="1"/>
  <c r="H211" i="1"/>
  <c r="H25" i="3"/>
  <c r="H36" i="3"/>
  <c r="H72" i="3"/>
  <c r="H99" i="3"/>
  <c r="H134" i="1"/>
  <c r="H68" i="1"/>
  <c r="H189" i="1"/>
  <c r="K16" i="33"/>
  <c r="H133" i="1" l="1"/>
  <c r="H16" i="33"/>
  <c r="M56" i="22"/>
  <c r="M67" i="22"/>
  <c r="M143" i="22"/>
  <c r="M154" i="22"/>
  <c r="H20" i="14" l="1"/>
  <c r="H18" i="14"/>
  <c r="H16" i="14"/>
  <c r="H15" i="14"/>
  <c r="H14" i="14"/>
  <c r="H9" i="14"/>
  <c r="H5" i="14"/>
  <c r="L15" i="12" l="1"/>
  <c r="G306" i="6" l="1"/>
  <c r="F306" i="6"/>
  <c r="G303" i="6"/>
  <c r="F303" i="6"/>
  <c r="G301" i="6"/>
  <c r="F301" i="6"/>
  <c r="H301" i="6" s="1"/>
  <c r="G300" i="6"/>
  <c r="F300" i="6"/>
  <c r="H300" i="6" s="1"/>
  <c r="G299" i="6"/>
  <c r="H299" i="6" s="1"/>
  <c r="F299" i="6"/>
  <c r="G297" i="6"/>
  <c r="F297" i="6"/>
  <c r="G296" i="6"/>
  <c r="F296" i="6"/>
  <c r="H296" i="6" s="1"/>
  <c r="G295" i="6"/>
  <c r="F295" i="6"/>
  <c r="G294" i="6"/>
  <c r="F294" i="6"/>
  <c r="G292" i="6"/>
  <c r="F292" i="6"/>
  <c r="G291" i="6"/>
  <c r="F291" i="6"/>
  <c r="H291" i="6" s="1"/>
  <c r="G290" i="6"/>
  <c r="F290" i="6"/>
  <c r="H290" i="6" s="1"/>
  <c r="G288" i="6"/>
  <c r="F288" i="6"/>
  <c r="H288" i="6" s="1"/>
  <c r="G287" i="6"/>
  <c r="F287" i="6"/>
  <c r="G286" i="6"/>
  <c r="F286" i="6"/>
  <c r="G285" i="6"/>
  <c r="F285" i="6"/>
  <c r="H285" i="6" s="1"/>
  <c r="G284" i="6"/>
  <c r="F284" i="6"/>
  <c r="H284" i="6" s="1"/>
  <c r="G283" i="6"/>
  <c r="F283" i="6"/>
  <c r="G282" i="6"/>
  <c r="F282" i="6"/>
  <c r="H282" i="6" s="1"/>
  <c r="G281" i="6"/>
  <c r="F281" i="6"/>
  <c r="H281" i="6" s="1"/>
  <c r="G280" i="6"/>
  <c r="F280" i="6"/>
  <c r="H280" i="6" s="1"/>
  <c r="F279" i="6"/>
  <c r="G278" i="6"/>
  <c r="F278" i="6"/>
  <c r="H278" i="6" s="1"/>
  <c r="G276" i="6"/>
  <c r="F276" i="6"/>
  <c r="H276" i="6" s="1"/>
  <c r="H275" i="6"/>
  <c r="G275" i="6"/>
  <c r="F275" i="6"/>
  <c r="G274" i="6"/>
  <c r="F274" i="6"/>
  <c r="G273" i="6"/>
  <c r="F273" i="6"/>
  <c r="H273" i="6" s="1"/>
  <c r="G272" i="6"/>
  <c r="H272" i="6" s="1"/>
  <c r="F272" i="6"/>
  <c r="G271" i="6"/>
  <c r="F271" i="6"/>
  <c r="H271" i="6" s="1"/>
  <c r="G270" i="6"/>
  <c r="F270" i="6"/>
  <c r="G269" i="6"/>
  <c r="G268" i="6"/>
  <c r="F268" i="6"/>
  <c r="H266" i="6"/>
  <c r="G265" i="6"/>
  <c r="F265" i="6"/>
  <c r="H265" i="6" s="1"/>
  <c r="G264" i="6"/>
  <c r="F264" i="6"/>
  <c r="G263" i="6"/>
  <c r="F263" i="6"/>
  <c r="H263" i="6" s="1"/>
  <c r="G262" i="6"/>
  <c r="F262" i="6"/>
  <c r="G261" i="6"/>
  <c r="F261" i="6"/>
  <c r="H261" i="6" s="1"/>
  <c r="G260" i="6"/>
  <c r="F260" i="6"/>
  <c r="H260" i="6" s="1"/>
  <c r="G259" i="6"/>
  <c r="F259" i="6"/>
  <c r="G258" i="6"/>
  <c r="F258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H250" i="6" s="1"/>
  <c r="G249" i="6"/>
  <c r="F249" i="6"/>
  <c r="H249" i="6" s="1"/>
  <c r="G248" i="6"/>
  <c r="F248" i="6"/>
  <c r="G247" i="6"/>
  <c r="F247" i="6"/>
  <c r="G246" i="6"/>
  <c r="F246" i="6"/>
  <c r="G245" i="6"/>
  <c r="F245" i="6"/>
  <c r="H244" i="6"/>
  <c r="G244" i="6"/>
  <c r="F244" i="6"/>
  <c r="G243" i="6"/>
  <c r="F243" i="6"/>
  <c r="H243" i="6" s="1"/>
  <c r="G242" i="6"/>
  <c r="F242" i="6"/>
  <c r="G241" i="6"/>
  <c r="F241" i="6"/>
  <c r="G240" i="6"/>
  <c r="F240" i="6"/>
  <c r="G239" i="6"/>
  <c r="F239" i="6"/>
  <c r="G238" i="6"/>
  <c r="F238" i="6"/>
  <c r="G237" i="6"/>
  <c r="F237" i="6"/>
  <c r="G234" i="6"/>
  <c r="F234" i="6"/>
  <c r="H234" i="6" s="1"/>
  <c r="G233" i="6"/>
  <c r="F233" i="6"/>
  <c r="G232" i="6"/>
  <c r="F232" i="6"/>
  <c r="F231" i="6"/>
  <c r="G230" i="6"/>
  <c r="F230" i="6"/>
  <c r="G229" i="6"/>
  <c r="F229" i="6"/>
  <c r="G228" i="6"/>
  <c r="F228" i="6"/>
  <c r="H228" i="6" s="1"/>
  <c r="F227" i="6"/>
  <c r="F226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G217" i="6"/>
  <c r="G216" i="6"/>
  <c r="G215" i="6"/>
  <c r="F215" i="6"/>
  <c r="G214" i="6"/>
  <c r="F214" i="6"/>
  <c r="H214" i="6" s="1"/>
  <c r="G213" i="6"/>
  <c r="F213" i="6"/>
  <c r="G212" i="6"/>
  <c r="G211" i="6"/>
  <c r="G210" i="6"/>
  <c r="F210" i="6"/>
  <c r="G209" i="6"/>
  <c r="F209" i="6"/>
  <c r="H209" i="6" s="1"/>
  <c r="G202" i="6"/>
  <c r="F202" i="6"/>
  <c r="G200" i="6"/>
  <c r="F200" i="6"/>
  <c r="G199" i="6"/>
  <c r="F199" i="6"/>
  <c r="H199" i="6" s="1"/>
  <c r="G198" i="6"/>
  <c r="F198" i="6"/>
  <c r="G196" i="6"/>
  <c r="F196" i="6"/>
  <c r="H196" i="6" s="1"/>
  <c r="G195" i="6"/>
  <c r="F195" i="6"/>
  <c r="H195" i="6" s="1"/>
  <c r="G194" i="6"/>
  <c r="F194" i="6"/>
  <c r="G193" i="6"/>
  <c r="F193" i="6"/>
  <c r="G192" i="6"/>
  <c r="F192" i="6"/>
  <c r="G191" i="6"/>
  <c r="F191" i="6"/>
  <c r="G190" i="6"/>
  <c r="F190" i="6"/>
  <c r="G189" i="6"/>
  <c r="F189" i="6"/>
  <c r="G187" i="6"/>
  <c r="F187" i="6"/>
  <c r="H187" i="6" s="1"/>
  <c r="G186" i="6"/>
  <c r="F186" i="6"/>
  <c r="H186" i="6" s="1"/>
  <c r="G185" i="6"/>
  <c r="F185" i="6"/>
  <c r="G183" i="6"/>
  <c r="F183" i="6"/>
  <c r="G179" i="6"/>
  <c r="F179" i="6"/>
  <c r="G177" i="6"/>
  <c r="F177" i="6"/>
  <c r="H177" i="6" s="1"/>
  <c r="H175" i="6"/>
  <c r="G175" i="6"/>
  <c r="F175" i="6"/>
  <c r="G174" i="6"/>
  <c r="F174" i="6"/>
  <c r="G171" i="6"/>
  <c r="F171" i="6"/>
  <c r="G169" i="6"/>
  <c r="F169" i="6"/>
  <c r="H169" i="6" s="1"/>
  <c r="G167" i="6"/>
  <c r="F167" i="6"/>
  <c r="G166" i="6"/>
  <c r="F166" i="6"/>
  <c r="G165" i="6"/>
  <c r="F165" i="6"/>
  <c r="G164" i="6"/>
  <c r="F164" i="6"/>
  <c r="G163" i="6"/>
  <c r="F163" i="6"/>
  <c r="H163" i="6" s="1"/>
  <c r="G162" i="6"/>
  <c r="F162" i="6"/>
  <c r="G161" i="6"/>
  <c r="F161" i="6"/>
  <c r="G160" i="6"/>
  <c r="F160" i="6"/>
  <c r="H160" i="6" s="1"/>
  <c r="G159" i="6"/>
  <c r="F159" i="6"/>
  <c r="G158" i="6"/>
  <c r="F158" i="6"/>
  <c r="H158" i="6" s="1"/>
  <c r="G157" i="6"/>
  <c r="F157" i="6"/>
  <c r="G156" i="6"/>
  <c r="F156" i="6"/>
  <c r="G155" i="6"/>
  <c r="F155" i="6"/>
  <c r="H155" i="6" s="1"/>
  <c r="G154" i="6"/>
  <c r="F154" i="6"/>
  <c r="G153" i="6"/>
  <c r="F153" i="6"/>
  <c r="H153" i="6" s="1"/>
  <c r="G152" i="6"/>
  <c r="F152" i="6"/>
  <c r="G151" i="6"/>
  <c r="F151" i="6"/>
  <c r="G150" i="6"/>
  <c r="F150" i="6"/>
  <c r="G149" i="6"/>
  <c r="F149" i="6"/>
  <c r="G148" i="6"/>
  <c r="F148" i="6"/>
  <c r="G146" i="6"/>
  <c r="F146" i="6"/>
  <c r="G145" i="6"/>
  <c r="F145" i="6"/>
  <c r="G144" i="6"/>
  <c r="F144" i="6"/>
  <c r="H144" i="6" s="1"/>
  <c r="G143" i="6"/>
  <c r="F143" i="6"/>
  <c r="G142" i="6"/>
  <c r="G141" i="6"/>
  <c r="F141" i="6"/>
  <c r="G139" i="6"/>
  <c r="F139" i="6"/>
  <c r="G138" i="6"/>
  <c r="F138" i="6"/>
  <c r="G137" i="6"/>
  <c r="F137" i="6"/>
  <c r="H137" i="6" s="1"/>
  <c r="G136" i="6"/>
  <c r="F136" i="6"/>
  <c r="G135" i="6"/>
  <c r="G134" i="6"/>
  <c r="F134" i="6"/>
  <c r="G133" i="6"/>
  <c r="F133" i="6"/>
  <c r="G132" i="6"/>
  <c r="F132" i="6"/>
  <c r="G131" i="6"/>
  <c r="F131" i="6"/>
  <c r="H131" i="6" s="1"/>
  <c r="G130" i="6"/>
  <c r="F130" i="6"/>
  <c r="G129" i="6"/>
  <c r="G128" i="6"/>
  <c r="F128" i="6"/>
  <c r="G127" i="6"/>
  <c r="F127" i="6"/>
  <c r="G126" i="6"/>
  <c r="F126" i="6"/>
  <c r="G125" i="6"/>
  <c r="F125" i="6"/>
  <c r="H125" i="6" s="1"/>
  <c r="G124" i="6"/>
  <c r="F124" i="6"/>
  <c r="H124" i="6" s="1"/>
  <c r="G123" i="6"/>
  <c r="G122" i="6"/>
  <c r="F122" i="6"/>
  <c r="G118" i="6"/>
  <c r="F118" i="6"/>
  <c r="H118" i="6" s="1"/>
  <c r="G116" i="6"/>
  <c r="F116" i="6"/>
  <c r="G115" i="6"/>
  <c r="F115" i="6"/>
  <c r="G114" i="6"/>
  <c r="F114" i="6"/>
  <c r="G113" i="6"/>
  <c r="F113" i="6"/>
  <c r="H113" i="6" s="1"/>
  <c r="G112" i="6"/>
  <c r="F112" i="6"/>
  <c r="G111" i="6"/>
  <c r="F111" i="6"/>
  <c r="G110" i="6"/>
  <c r="F110" i="6"/>
  <c r="H110" i="6" s="1"/>
  <c r="G109" i="6"/>
  <c r="F109" i="6"/>
  <c r="H109" i="6" s="1"/>
  <c r="G108" i="6"/>
  <c r="F108" i="6"/>
  <c r="G107" i="6"/>
  <c r="F107" i="6"/>
  <c r="G106" i="6"/>
  <c r="F106" i="6"/>
  <c r="G105" i="6"/>
  <c r="F105" i="6"/>
  <c r="H105" i="6" s="1"/>
  <c r="G104" i="6"/>
  <c r="F104" i="6"/>
  <c r="G103" i="6"/>
  <c r="F103" i="6"/>
  <c r="H103" i="6" s="1"/>
  <c r="G102" i="6"/>
  <c r="F102" i="6"/>
  <c r="G101" i="6"/>
  <c r="F101" i="6"/>
  <c r="H101" i="6" s="1"/>
  <c r="G100" i="6"/>
  <c r="F100" i="6"/>
  <c r="G99" i="6"/>
  <c r="F99" i="6"/>
  <c r="H99" i="6" s="1"/>
  <c r="G98" i="6"/>
  <c r="F98" i="6"/>
  <c r="G96" i="6"/>
  <c r="F96" i="6"/>
  <c r="G95" i="6"/>
  <c r="F95" i="6"/>
  <c r="H95" i="6" s="1"/>
  <c r="G94" i="6"/>
  <c r="F94" i="6"/>
  <c r="G93" i="6"/>
  <c r="F93" i="6"/>
  <c r="G92" i="6"/>
  <c r="H92" i="6" s="1"/>
  <c r="F92" i="6"/>
  <c r="G91" i="6"/>
  <c r="F91" i="6"/>
  <c r="G90" i="6"/>
  <c r="F90" i="6"/>
  <c r="H90" i="6" s="1"/>
  <c r="G89" i="6"/>
  <c r="F89" i="6"/>
  <c r="H89" i="6" s="1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H82" i="6" s="1"/>
  <c r="G81" i="6"/>
  <c r="F81" i="6"/>
  <c r="G80" i="6"/>
  <c r="F80" i="6"/>
  <c r="G79" i="6"/>
  <c r="F79" i="6"/>
  <c r="G78" i="6"/>
  <c r="F78" i="6"/>
  <c r="G77" i="6"/>
  <c r="F77" i="6"/>
  <c r="H77" i="6" s="1"/>
  <c r="H76" i="6"/>
  <c r="G76" i="6"/>
  <c r="F76" i="6"/>
  <c r="G74" i="6"/>
  <c r="F74" i="6"/>
  <c r="G73" i="6"/>
  <c r="F73" i="6"/>
  <c r="G71" i="6"/>
  <c r="F71" i="6"/>
  <c r="H71" i="6" s="1"/>
  <c r="G70" i="6"/>
  <c r="F70" i="6"/>
  <c r="H70" i="6" s="1"/>
  <c r="G69" i="6"/>
  <c r="F69" i="6"/>
  <c r="G68" i="6"/>
  <c r="F68" i="6"/>
  <c r="G66" i="6"/>
  <c r="F66" i="6"/>
  <c r="G65" i="6"/>
  <c r="F65" i="6"/>
  <c r="H65" i="6" s="1"/>
  <c r="G64" i="6"/>
  <c r="F64" i="6"/>
  <c r="G63" i="6"/>
  <c r="F63" i="6"/>
  <c r="G62" i="6"/>
  <c r="F62" i="6"/>
  <c r="H62" i="6" s="1"/>
  <c r="G59" i="6"/>
  <c r="F59" i="6"/>
  <c r="G58" i="6"/>
  <c r="F58" i="6"/>
  <c r="H58" i="6" s="1"/>
  <c r="G57" i="6"/>
  <c r="F57" i="6"/>
  <c r="G56" i="6"/>
  <c r="F56" i="6"/>
  <c r="G55" i="6"/>
  <c r="F55" i="6"/>
  <c r="H55" i="6" s="1"/>
  <c r="L54" i="6"/>
  <c r="M53" i="6" s="1"/>
  <c r="H54" i="6"/>
  <c r="G54" i="6"/>
  <c r="F54" i="6"/>
  <c r="G53" i="6"/>
  <c r="F53" i="6"/>
  <c r="L52" i="6"/>
  <c r="G52" i="6"/>
  <c r="F52" i="6"/>
  <c r="H52" i="6" s="1"/>
  <c r="G51" i="6"/>
  <c r="F51" i="6"/>
  <c r="L50" i="6"/>
  <c r="G50" i="6"/>
  <c r="H50" i="6" s="1"/>
  <c r="F50" i="6"/>
  <c r="G49" i="6"/>
  <c r="F49" i="6"/>
  <c r="G48" i="6"/>
  <c r="F48" i="6"/>
  <c r="M47" i="6"/>
  <c r="G257" i="6" s="1"/>
  <c r="G47" i="6"/>
  <c r="F47" i="6"/>
  <c r="G45" i="6"/>
  <c r="F45" i="6"/>
  <c r="L44" i="6"/>
  <c r="F218" i="6" s="1"/>
  <c r="G44" i="6"/>
  <c r="F44" i="6"/>
  <c r="H44" i="6" s="1"/>
  <c r="G43" i="6"/>
  <c r="F43" i="6"/>
  <c r="H43" i="6" s="1"/>
  <c r="Y42" i="6"/>
  <c r="L42" i="6"/>
  <c r="M43" i="6" s="1"/>
  <c r="G226" i="6" s="1"/>
  <c r="H226" i="6" s="1"/>
  <c r="G42" i="6"/>
  <c r="F42" i="6"/>
  <c r="Y41" i="6"/>
  <c r="M41" i="6"/>
  <c r="Y40" i="6"/>
  <c r="L40" i="6"/>
  <c r="G40" i="6"/>
  <c r="F40" i="6"/>
  <c r="Y39" i="6"/>
  <c r="G39" i="6"/>
  <c r="F39" i="6"/>
  <c r="Y38" i="6"/>
  <c r="L38" i="6"/>
  <c r="M39" i="6" s="1"/>
  <c r="G38" i="6"/>
  <c r="F38" i="6"/>
  <c r="H38" i="6" s="1"/>
  <c r="Y37" i="6"/>
  <c r="M37" i="6"/>
  <c r="G37" i="6"/>
  <c r="F37" i="6"/>
  <c r="Y36" i="6"/>
  <c r="L36" i="6"/>
  <c r="F217" i="6" s="1"/>
  <c r="G36" i="6"/>
  <c r="F36" i="6"/>
  <c r="X35" i="6"/>
  <c r="Y35" i="6" s="1"/>
  <c r="G35" i="6"/>
  <c r="F35" i="6"/>
  <c r="Y34" i="6"/>
  <c r="L34" i="6"/>
  <c r="M35" i="6" s="1"/>
  <c r="G34" i="6"/>
  <c r="F34" i="6"/>
  <c r="Y33" i="6"/>
  <c r="G33" i="6"/>
  <c r="F33" i="6"/>
  <c r="Y32" i="6"/>
  <c r="L32" i="6"/>
  <c r="F212" i="6" s="1"/>
  <c r="H212" i="6" s="1"/>
  <c r="G32" i="6"/>
  <c r="F32" i="6"/>
  <c r="Y31" i="6"/>
  <c r="Y30" i="6"/>
  <c r="L30" i="6"/>
  <c r="F211" i="6" s="1"/>
  <c r="H211" i="6" s="1"/>
  <c r="G30" i="6"/>
  <c r="F30" i="6"/>
  <c r="H30" i="6" s="1"/>
  <c r="Y29" i="6"/>
  <c r="G29" i="6"/>
  <c r="F29" i="6"/>
  <c r="Y28" i="6"/>
  <c r="L28" i="6"/>
  <c r="G28" i="6"/>
  <c r="F28" i="6"/>
  <c r="Y27" i="6"/>
  <c r="G27" i="6"/>
  <c r="H27" i="6" s="1"/>
  <c r="F27" i="6"/>
  <c r="Y26" i="6"/>
  <c r="L26" i="6"/>
  <c r="Y25" i="6"/>
  <c r="G25" i="6"/>
  <c r="F25" i="6"/>
  <c r="Y24" i="6"/>
  <c r="F24" i="6"/>
  <c r="Y23" i="6"/>
  <c r="G23" i="6"/>
  <c r="F23" i="6"/>
  <c r="Y22" i="6"/>
  <c r="G22" i="6"/>
  <c r="F22" i="6"/>
  <c r="H22" i="6" s="1"/>
  <c r="Y21" i="6"/>
  <c r="M21" i="6"/>
  <c r="G21" i="6" s="1"/>
  <c r="F21" i="6"/>
  <c r="Y20" i="6"/>
  <c r="G20" i="6"/>
  <c r="F20" i="6"/>
  <c r="Y19" i="6"/>
  <c r="M19" i="6"/>
  <c r="G19" i="6" s="1"/>
  <c r="F19" i="6"/>
  <c r="Y18" i="6"/>
  <c r="G18" i="6"/>
  <c r="F18" i="6"/>
  <c r="H18" i="6" s="1"/>
  <c r="Y17" i="6"/>
  <c r="M17" i="6"/>
  <c r="L18" i="6" s="1"/>
  <c r="G17" i="6"/>
  <c r="F17" i="6"/>
  <c r="Y16" i="6"/>
  <c r="G16" i="6"/>
  <c r="F16" i="6"/>
  <c r="Y15" i="6"/>
  <c r="M15" i="6"/>
  <c r="L16" i="6" s="1"/>
  <c r="G15" i="6"/>
  <c r="F15" i="6"/>
  <c r="Y14" i="6"/>
  <c r="L14" i="6"/>
  <c r="G14" i="6"/>
  <c r="F14" i="6"/>
  <c r="Y13" i="6"/>
  <c r="F13" i="6"/>
  <c r="Y12" i="6"/>
  <c r="G12" i="6"/>
  <c r="F12" i="6"/>
  <c r="Y11" i="6"/>
  <c r="G11" i="6"/>
  <c r="F11" i="6"/>
  <c r="Y10" i="6"/>
  <c r="Y9" i="6"/>
  <c r="G9" i="6"/>
  <c r="F9" i="6"/>
  <c r="H9" i="6" s="1"/>
  <c r="Y8" i="6"/>
  <c r="L8" i="6"/>
  <c r="M7" i="6" s="1"/>
  <c r="G8" i="6"/>
  <c r="F8" i="6"/>
  <c r="Y7" i="6"/>
  <c r="Y6" i="6"/>
  <c r="Y5" i="6"/>
  <c r="M5" i="6"/>
  <c r="L6" i="6" s="1"/>
  <c r="X2" i="6"/>
  <c r="H64" i="6" l="1"/>
  <c r="H115" i="6"/>
  <c r="H132" i="6"/>
  <c r="H146" i="6"/>
  <c r="H151" i="6"/>
  <c r="H219" i="6"/>
  <c r="H223" i="6"/>
  <c r="H259" i="6"/>
  <c r="H12" i="6"/>
  <c r="H35" i="6"/>
  <c r="H20" i="6"/>
  <c r="M33" i="6"/>
  <c r="H53" i="6"/>
  <c r="H59" i="6"/>
  <c r="H80" i="6"/>
  <c r="H84" i="6"/>
  <c r="H88" i="6"/>
  <c r="H100" i="6"/>
  <c r="H128" i="6"/>
  <c r="H133" i="6"/>
  <c r="H143" i="6"/>
  <c r="H152" i="6"/>
  <c r="H159" i="6"/>
  <c r="H167" i="6"/>
  <c r="H185" i="6"/>
  <c r="H190" i="6"/>
  <c r="H194" i="6"/>
  <c r="H224" i="6"/>
  <c r="H230" i="6"/>
  <c r="H252" i="6"/>
  <c r="H256" i="6"/>
  <c r="H292" i="6"/>
  <c r="H289" i="6" s="1"/>
  <c r="H297" i="6"/>
  <c r="H303" i="6"/>
  <c r="H23" i="6"/>
  <c r="F269" i="6"/>
  <c r="H269" i="6" s="1"/>
  <c r="H96" i="6"/>
  <c r="H210" i="6"/>
  <c r="H215" i="6"/>
  <c r="H237" i="6"/>
  <c r="H11" i="6"/>
  <c r="H16" i="6"/>
  <c r="H21" i="6"/>
  <c r="H217" i="6"/>
  <c r="H63" i="6"/>
  <c r="H68" i="6"/>
  <c r="H98" i="6"/>
  <c r="H106" i="6"/>
  <c r="H161" i="6"/>
  <c r="H165" i="6"/>
  <c r="H171" i="6"/>
  <c r="H232" i="6"/>
  <c r="H238" i="6"/>
  <c r="H242" i="6"/>
  <c r="H258" i="6"/>
  <c r="H262" i="6"/>
  <c r="H8" i="6"/>
  <c r="H32" i="6"/>
  <c r="H34" i="6"/>
  <c r="H36" i="6"/>
  <c r="H40" i="6"/>
  <c r="H45" i="6"/>
  <c r="H49" i="6"/>
  <c r="H57" i="6"/>
  <c r="H66" i="6"/>
  <c r="H83" i="6"/>
  <c r="H87" i="6"/>
  <c r="H94" i="6"/>
  <c r="H102" i="6"/>
  <c r="H116" i="6"/>
  <c r="H136" i="6"/>
  <c r="H141" i="6"/>
  <c r="H145" i="6"/>
  <c r="H150" i="6"/>
  <c r="H157" i="6"/>
  <c r="H164" i="6"/>
  <c r="H189" i="6"/>
  <c r="H193" i="6"/>
  <c r="H202" i="6"/>
  <c r="H213" i="6"/>
  <c r="H222" i="6"/>
  <c r="H241" i="6"/>
  <c r="H248" i="6"/>
  <c r="H251" i="6"/>
  <c r="H255" i="6"/>
  <c r="H268" i="6"/>
  <c r="H283" i="6"/>
  <c r="H287" i="6"/>
  <c r="H14" i="6"/>
  <c r="M45" i="6"/>
  <c r="G231" i="6" s="1"/>
  <c r="M49" i="6"/>
  <c r="G279" i="6" s="1"/>
  <c r="H279" i="6" s="1"/>
  <c r="H91" i="6"/>
  <c r="H154" i="6"/>
  <c r="H198" i="6"/>
  <c r="G13" i="6"/>
  <c r="H13" i="6" s="1"/>
  <c r="L20" i="6"/>
  <c r="F142" i="6" s="1"/>
  <c r="H142" i="6" s="1"/>
  <c r="H25" i="6"/>
  <c r="H28" i="6"/>
  <c r="H47" i="6"/>
  <c r="H73" i="6"/>
  <c r="H81" i="6"/>
  <c r="H107" i="6"/>
  <c r="H114" i="6"/>
  <c r="H130" i="6"/>
  <c r="H229" i="6"/>
  <c r="H233" i="6"/>
  <c r="H245" i="6"/>
  <c r="H264" i="6"/>
  <c r="H270" i="6"/>
  <c r="H294" i="6"/>
  <c r="H17" i="6"/>
  <c r="H33" i="6"/>
  <c r="H37" i="6"/>
  <c r="H69" i="6"/>
  <c r="H78" i="6"/>
  <c r="H85" i="6"/>
  <c r="H104" i="6"/>
  <c r="H111" i="6"/>
  <c r="H122" i="6"/>
  <c r="H126" i="6"/>
  <c r="H134" i="6"/>
  <c r="H138" i="6"/>
  <c r="H148" i="6"/>
  <c r="H162" i="6"/>
  <c r="H166" i="6"/>
  <c r="H179" i="6"/>
  <c r="H191" i="6"/>
  <c r="H220" i="6"/>
  <c r="H239" i="6"/>
  <c r="H246" i="6"/>
  <c r="H253" i="6"/>
  <c r="F123" i="6"/>
  <c r="H123" i="6" s="1"/>
  <c r="H19" i="6"/>
  <c r="H295" i="6"/>
  <c r="H306" i="6"/>
  <c r="H15" i="6"/>
  <c r="M23" i="6"/>
  <c r="M31" i="6"/>
  <c r="H39" i="6"/>
  <c r="H42" i="6"/>
  <c r="H48" i="6"/>
  <c r="H51" i="6"/>
  <c r="H56" i="6"/>
  <c r="H74" i="6"/>
  <c r="H79" i="6"/>
  <c r="H86" i="6"/>
  <c r="H93" i="6"/>
  <c r="H108" i="6"/>
  <c r="H112" i="6"/>
  <c r="H127" i="6"/>
  <c r="H139" i="6"/>
  <c r="H149" i="6"/>
  <c r="H156" i="6"/>
  <c r="H174" i="6"/>
  <c r="H183" i="6"/>
  <c r="H192" i="6"/>
  <c r="H200" i="6"/>
  <c r="H221" i="6"/>
  <c r="H240" i="6"/>
  <c r="H247" i="6"/>
  <c r="H254" i="6"/>
  <c r="H274" i="6"/>
  <c r="H286" i="6"/>
  <c r="H29" i="6"/>
  <c r="H218" i="6"/>
  <c r="H231" i="6"/>
  <c r="H257" i="6"/>
  <c r="F216" i="6"/>
  <c r="H216" i="6" s="1"/>
  <c r="L22" i="6"/>
  <c r="F129" i="6" s="1"/>
  <c r="H129" i="6" s="1"/>
  <c r="G227" i="6" l="1"/>
  <c r="H227" i="6" s="1"/>
  <c r="H206" i="6" s="1"/>
  <c r="M3" i="6"/>
  <c r="L24" i="6"/>
  <c r="G24" i="6"/>
  <c r="H24" i="6" s="1"/>
  <c r="F135" i="6" l="1"/>
  <c r="H135" i="6" s="1"/>
  <c r="H3" i="6" s="1"/>
  <c r="L3" i="6"/>
  <c r="X39" i="3"/>
  <c r="S102" i="22" l="1"/>
  <c r="S101" i="22"/>
  <c r="S100" i="22"/>
  <c r="X29" i="1" l="1"/>
  <c r="W29" i="1"/>
  <c r="V29" i="1"/>
  <c r="U29" i="1"/>
  <c r="T29" i="1"/>
  <c r="S29" i="1"/>
  <c r="R29" i="1"/>
  <c r="Q29" i="1"/>
  <c r="X28" i="1"/>
  <c r="W28" i="1"/>
  <c r="V28" i="1"/>
  <c r="U28" i="1"/>
  <c r="T28" i="1"/>
  <c r="S28" i="1"/>
  <c r="R28" i="1"/>
  <c r="Q28" i="1"/>
  <c r="X27" i="1"/>
  <c r="W27" i="1"/>
  <c r="V27" i="1"/>
  <c r="U27" i="1"/>
  <c r="T27" i="1"/>
  <c r="S27" i="1"/>
  <c r="R27" i="1"/>
  <c r="Q27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Y28" i="1" l="1"/>
  <c r="AA28" i="1" s="1"/>
  <c r="Y27" i="1"/>
  <c r="AA27" i="1" s="1"/>
  <c r="Y29" i="1"/>
  <c r="AA29" i="1" s="1"/>
  <c r="M17" i="22" l="1"/>
  <c r="K17" i="22" s="1"/>
  <c r="V224" i="1"/>
  <c r="V223" i="1"/>
  <c r="V222" i="1"/>
  <c r="V220" i="1"/>
  <c r="V219" i="1"/>
  <c r="V218" i="1"/>
  <c r="V217" i="1"/>
  <c r="V216" i="1"/>
  <c r="V215" i="1"/>
  <c r="V214" i="1"/>
  <c r="V213" i="1"/>
  <c r="V212" i="1"/>
  <c r="V210" i="1"/>
  <c r="V209" i="1"/>
  <c r="V208" i="1"/>
  <c r="V206" i="1"/>
  <c r="V202" i="1"/>
  <c r="V201" i="1"/>
  <c r="V200" i="1"/>
  <c r="V198" i="1"/>
  <c r="V196" i="1"/>
  <c r="V194" i="1"/>
  <c r="V192" i="1"/>
  <c r="V191" i="1"/>
  <c r="V188" i="1"/>
  <c r="V186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1" i="1"/>
  <c r="V160" i="1"/>
  <c r="V159" i="1"/>
  <c r="V158" i="1"/>
  <c r="V156" i="1"/>
  <c r="V154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1" i="1"/>
  <c r="V130" i="1" s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5" i="1"/>
  <c r="V84" i="1"/>
  <c r="V82" i="1"/>
  <c r="V81" i="1"/>
  <c r="V80" i="1"/>
  <c r="V79" i="1"/>
  <c r="V77" i="1"/>
  <c r="V76" i="1"/>
  <c r="V75" i="1"/>
  <c r="V73" i="1"/>
  <c r="V72" i="1"/>
  <c r="V71" i="1"/>
  <c r="V70" i="1"/>
  <c r="V67" i="1"/>
  <c r="V66" i="1"/>
  <c r="V64" i="1"/>
  <c r="V63" i="1"/>
  <c r="V61" i="1"/>
  <c r="V60" i="1"/>
  <c r="V59" i="1"/>
  <c r="V58" i="1"/>
  <c r="V57" i="1"/>
  <c r="V56" i="1"/>
  <c r="V55" i="1"/>
  <c r="V54" i="1"/>
  <c r="V53" i="1"/>
  <c r="V51" i="1"/>
  <c r="V50" i="1"/>
  <c r="V49" i="1"/>
  <c r="V48" i="1"/>
  <c r="V46" i="1"/>
  <c r="V45" i="1"/>
  <c r="V44" i="1"/>
  <c r="V43" i="1"/>
  <c r="V42" i="1"/>
  <c r="V41" i="1"/>
  <c r="V40" i="1"/>
  <c r="V39" i="1"/>
  <c r="V38" i="1"/>
  <c r="V36" i="1"/>
  <c r="V35" i="1"/>
  <c r="V34" i="1"/>
  <c r="V33" i="1"/>
  <c r="V31" i="1"/>
  <c r="V30" i="1"/>
  <c r="V26" i="1"/>
  <c r="V24" i="1"/>
  <c r="V23" i="1"/>
  <c r="V22" i="1"/>
  <c r="V21" i="1"/>
  <c r="V20" i="1"/>
  <c r="V19" i="1"/>
  <c r="V18" i="1"/>
  <c r="V17" i="1"/>
  <c r="V16" i="1"/>
  <c r="V15" i="1"/>
  <c r="V13" i="1"/>
  <c r="V12" i="1"/>
  <c r="V10" i="1"/>
  <c r="J18" i="12"/>
  <c r="V74" i="1" s="1"/>
  <c r="X76" i="1"/>
  <c r="X75" i="1"/>
  <c r="X74" i="1"/>
  <c r="X73" i="1"/>
  <c r="X72" i="1"/>
  <c r="W76" i="1"/>
  <c r="W75" i="1"/>
  <c r="W74" i="1"/>
  <c r="W73" i="1"/>
  <c r="W72" i="1"/>
  <c r="U77" i="1"/>
  <c r="U76" i="1"/>
  <c r="U75" i="1"/>
  <c r="U74" i="1"/>
  <c r="U73" i="1"/>
  <c r="T76" i="1"/>
  <c r="T75" i="1"/>
  <c r="T74" i="1"/>
  <c r="T73" i="1"/>
  <c r="T72" i="1"/>
  <c r="S76" i="1"/>
  <c r="S75" i="1"/>
  <c r="S74" i="1"/>
  <c r="S73" i="1"/>
  <c r="S72" i="1"/>
  <c r="S71" i="1"/>
  <c r="R76" i="1"/>
  <c r="R75" i="1"/>
  <c r="R74" i="1"/>
  <c r="R73" i="1"/>
  <c r="R72" i="1"/>
  <c r="Q76" i="1"/>
  <c r="Q75" i="1"/>
  <c r="Q74" i="1"/>
  <c r="Q73" i="1"/>
  <c r="Q72" i="1"/>
  <c r="O74" i="1"/>
  <c r="J16" i="12"/>
  <c r="E116" i="24" s="1"/>
  <c r="V25" i="1" l="1"/>
  <c r="E117" i="24"/>
  <c r="Y73" i="1"/>
  <c r="Y75" i="1"/>
  <c r="Y76" i="1"/>
  <c r="Y74" i="1"/>
  <c r="AA74" i="1" s="1"/>
  <c r="M18" i="22" s="1"/>
  <c r="K18" i="22" l="1"/>
  <c r="S18" i="22"/>
  <c r="J94" i="24" l="1"/>
  <c r="J95" i="24"/>
  <c r="H81" i="25" l="1"/>
  <c r="G81" i="25"/>
  <c r="J21" i="24"/>
  <c r="R345" i="23"/>
  <c r="Q345" i="23"/>
  <c r="F93" i="24" l="1"/>
  <c r="G93" i="24" s="1"/>
  <c r="L52" i="1" l="1"/>
  <c r="H53" i="30" l="1"/>
  <c r="M96" i="24"/>
  <c r="H19" i="39" l="1"/>
  <c r="I19" i="39" s="1"/>
  <c r="K19" i="39" s="1"/>
  <c r="G23" i="33" s="1"/>
  <c r="H51" i="26" s="1"/>
  <c r="H52" i="26" s="1"/>
  <c r="U73" i="23"/>
  <c r="U71" i="23"/>
  <c r="U70" i="23"/>
  <c r="U69" i="23"/>
  <c r="U68" i="23"/>
  <c r="U67" i="23"/>
  <c r="U66" i="23"/>
  <c r="U65" i="23"/>
  <c r="U64" i="23"/>
  <c r="U63" i="23"/>
  <c r="U62" i="23"/>
  <c r="U61" i="23"/>
  <c r="T73" i="23"/>
  <c r="T72" i="23"/>
  <c r="T71" i="23"/>
  <c r="T70" i="23"/>
  <c r="T69" i="23"/>
  <c r="T68" i="23"/>
  <c r="T67" i="23"/>
  <c r="T66" i="23"/>
  <c r="T65" i="23"/>
  <c r="T64" i="23"/>
  <c r="T63" i="23"/>
  <c r="T62" i="23"/>
  <c r="T61" i="23"/>
  <c r="S72" i="23"/>
  <c r="S71" i="23"/>
  <c r="S70" i="23"/>
  <c r="S69" i="23"/>
  <c r="S68" i="23"/>
  <c r="S67" i="23"/>
  <c r="S66" i="23"/>
  <c r="S65" i="23"/>
  <c r="S64" i="23"/>
  <c r="S63" i="23"/>
  <c r="S62" i="23"/>
  <c r="R73" i="23"/>
  <c r="R72" i="23"/>
  <c r="R71" i="23"/>
  <c r="R70" i="23"/>
  <c r="R69" i="23"/>
  <c r="R68" i="23"/>
  <c r="R67" i="23"/>
  <c r="R66" i="23"/>
  <c r="R65" i="23"/>
  <c r="R64" i="23"/>
  <c r="R63" i="23"/>
  <c r="Q72" i="23"/>
  <c r="Q71" i="23"/>
  <c r="Q70" i="23"/>
  <c r="Q69" i="23"/>
  <c r="Q68" i="23"/>
  <c r="Q67" i="23"/>
  <c r="Q66" i="23"/>
  <c r="Q65" i="23"/>
  <c r="O348" i="23"/>
  <c r="O345" i="23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30" i="23"/>
  <c r="O329" i="23"/>
  <c r="O328" i="23"/>
  <c r="O327" i="23"/>
  <c r="O326" i="23"/>
  <c r="O325" i="23"/>
  <c r="O324" i="23"/>
  <c r="O322" i="23"/>
  <c r="O321" i="23"/>
  <c r="O320" i="23"/>
  <c r="O319" i="23"/>
  <c r="O318" i="23"/>
  <c r="O317" i="23"/>
  <c r="O316" i="23"/>
  <c r="O315" i="23"/>
  <c r="O314" i="23"/>
  <c r="O313" i="23"/>
  <c r="O312" i="23"/>
  <c r="O311" i="23"/>
  <c r="O310" i="23"/>
  <c r="O309" i="23"/>
  <c r="O308" i="23"/>
  <c r="O307" i="23"/>
  <c r="O306" i="23"/>
  <c r="O305" i="23"/>
  <c r="O304" i="23"/>
  <c r="O303" i="23"/>
  <c r="O302" i="23"/>
  <c r="O299" i="23"/>
  <c r="O298" i="23"/>
  <c r="O297" i="23"/>
  <c r="O296" i="23"/>
  <c r="O295" i="23"/>
  <c r="O294" i="23"/>
  <c r="O293" i="23"/>
  <c r="O292" i="23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79" i="23"/>
  <c r="O278" i="23"/>
  <c r="O277" i="23"/>
  <c r="O276" i="23"/>
  <c r="O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62" i="23"/>
  <c r="O261" i="23"/>
  <c r="O260" i="23"/>
  <c r="O259" i="23"/>
  <c r="O258" i="23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45" i="23"/>
  <c r="O244" i="23"/>
  <c r="O243" i="23"/>
  <c r="O242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28" i="23"/>
  <c r="O227" i="23"/>
  <c r="O226" i="23"/>
  <c r="O225" i="23"/>
  <c r="O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08" i="23"/>
  <c r="O207" i="23"/>
  <c r="O206" i="23"/>
  <c r="O205" i="23"/>
  <c r="O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191" i="23"/>
  <c r="O190" i="23"/>
  <c r="O189" i="23"/>
  <c r="O188" i="23"/>
  <c r="O187" i="23"/>
  <c r="O186" i="23"/>
  <c r="O185" i="23"/>
  <c r="O184" i="23"/>
  <c r="O183" i="23"/>
  <c r="O180" i="23"/>
  <c r="O179" i="23"/>
  <c r="O178" i="23"/>
  <c r="O177" i="23"/>
  <c r="O176" i="23"/>
  <c r="O174" i="23"/>
  <c r="O173" i="23"/>
  <c r="O172" i="23"/>
  <c r="O171" i="23"/>
  <c r="O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57" i="23"/>
  <c r="O156" i="23"/>
  <c r="O155" i="23"/>
  <c r="O154" i="23"/>
  <c r="O153" i="23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38" i="23"/>
  <c r="O137" i="23"/>
  <c r="O136" i="23"/>
  <c r="O135" i="23"/>
  <c r="O134" i="23"/>
  <c r="O133" i="23"/>
  <c r="O132" i="23"/>
  <c r="O131" i="23"/>
  <c r="O130" i="23"/>
  <c r="O129" i="23"/>
  <c r="O128" i="23"/>
  <c r="O127" i="23"/>
  <c r="O126" i="23"/>
  <c r="O124" i="23"/>
  <c r="O123" i="23"/>
  <c r="O122" i="23"/>
  <c r="O121" i="23"/>
  <c r="O120" i="23"/>
  <c r="O119" i="23"/>
  <c r="O118" i="23"/>
  <c r="O117" i="23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04" i="23"/>
  <c r="O103" i="23"/>
  <c r="O102" i="23"/>
  <c r="O101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87" i="23"/>
  <c r="O86" i="23"/>
  <c r="O85" i="23"/>
  <c r="O84" i="23"/>
  <c r="O83" i="23"/>
  <c r="O82" i="23"/>
  <c r="O81" i="23"/>
  <c r="O80" i="23"/>
  <c r="O79" i="23"/>
  <c r="O78" i="23"/>
  <c r="O77" i="23"/>
  <c r="O76" i="23"/>
  <c r="O75" i="23"/>
  <c r="O73" i="23"/>
  <c r="O72" i="23"/>
  <c r="O71" i="23"/>
  <c r="O70" i="23"/>
  <c r="O69" i="23"/>
  <c r="O68" i="23"/>
  <c r="O67" i="23"/>
  <c r="O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53" i="23"/>
  <c r="O52" i="23"/>
  <c r="O51" i="23"/>
  <c r="O50" i="23"/>
  <c r="O49" i="23"/>
  <c r="O48" i="23"/>
  <c r="O47" i="23"/>
  <c r="O46" i="23"/>
  <c r="O45" i="23"/>
  <c r="O44" i="23"/>
  <c r="O43" i="23"/>
  <c r="O42" i="23"/>
  <c r="O41" i="23"/>
  <c r="O40" i="23"/>
  <c r="O39" i="23"/>
  <c r="O38" i="23"/>
  <c r="O37" i="23"/>
  <c r="O36" i="23"/>
  <c r="O35" i="23"/>
  <c r="O34" i="23"/>
  <c r="O33" i="23"/>
  <c r="O32" i="23"/>
  <c r="O31" i="23"/>
  <c r="O30" i="23"/>
  <c r="O29" i="23"/>
  <c r="O28" i="23"/>
  <c r="O27" i="23"/>
  <c r="O26" i="23"/>
  <c r="O25" i="23"/>
  <c r="O24" i="23"/>
  <c r="O23" i="23"/>
  <c r="O22" i="23"/>
  <c r="O21" i="23"/>
  <c r="O20" i="23"/>
  <c r="O19" i="23"/>
  <c r="O18" i="23"/>
  <c r="O17" i="23"/>
  <c r="O16" i="23"/>
  <c r="O15" i="23"/>
  <c r="O14" i="23"/>
  <c r="O13" i="23"/>
  <c r="O12" i="23"/>
  <c r="V118" i="3"/>
  <c r="V115" i="3"/>
  <c r="V114" i="3"/>
  <c r="V112" i="3"/>
  <c r="V111" i="3"/>
  <c r="V110" i="3"/>
  <c r="V108" i="3"/>
  <c r="V107" i="3"/>
  <c r="V106" i="3"/>
  <c r="V105" i="3"/>
  <c r="V104" i="3"/>
  <c r="V103" i="3"/>
  <c r="V102" i="3"/>
  <c r="V101" i="3"/>
  <c r="V100" i="3"/>
  <c r="V98" i="3"/>
  <c r="V97" i="3"/>
  <c r="V96" i="3"/>
  <c r="V95" i="3"/>
  <c r="V93" i="3"/>
  <c r="V92" i="3"/>
  <c r="V91" i="3"/>
  <c r="V90" i="3"/>
  <c r="V89" i="3"/>
  <c r="V88" i="3"/>
  <c r="V87" i="3"/>
  <c r="V86" i="3"/>
  <c r="V85" i="3"/>
  <c r="V84" i="3"/>
  <c r="V83" i="3"/>
  <c r="V81" i="3"/>
  <c r="V80" i="3"/>
  <c r="V79" i="3"/>
  <c r="V78" i="3"/>
  <c r="V77" i="3"/>
  <c r="V76" i="3"/>
  <c r="V75" i="3"/>
  <c r="V74" i="3"/>
  <c r="V73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8" i="3"/>
  <c r="V37" i="3"/>
  <c r="V34" i="3"/>
  <c r="V33" i="3"/>
  <c r="V32" i="3"/>
  <c r="V31" i="3"/>
  <c r="V30" i="3"/>
  <c r="V29" i="3"/>
  <c r="V28" i="3"/>
  <c r="V24" i="3"/>
  <c r="V23" i="3"/>
  <c r="V22" i="3"/>
  <c r="V21" i="3"/>
  <c r="V20" i="3"/>
  <c r="V19" i="3"/>
  <c r="V18" i="3"/>
  <c r="V17" i="3"/>
  <c r="V16" i="3"/>
  <c r="V15" i="3"/>
  <c r="V13" i="3"/>
  <c r="V10" i="3"/>
  <c r="V9" i="3"/>
  <c r="V8" i="3"/>
  <c r="V65" i="23" l="1"/>
  <c r="X65" i="23" s="1"/>
  <c r="V71" i="23"/>
  <c r="X71" i="23" s="1"/>
  <c r="V67" i="23"/>
  <c r="X67" i="23" s="1"/>
  <c r="V69" i="23"/>
  <c r="X69" i="23" s="1"/>
  <c r="V66" i="23"/>
  <c r="X66" i="23" s="1"/>
  <c r="V68" i="23"/>
  <c r="X68" i="23" s="1"/>
  <c r="V70" i="23"/>
  <c r="X70" i="23" s="1"/>
  <c r="E113" i="24" l="1"/>
  <c r="E42" i="24"/>
  <c r="G53" i="42" l="1"/>
  <c r="O118" i="3" l="1"/>
  <c r="O114" i="3"/>
  <c r="E114" i="24" s="1"/>
  <c r="G114" i="24" s="1"/>
  <c r="O112" i="3"/>
  <c r="O111" i="3"/>
  <c r="O110" i="3"/>
  <c r="O108" i="3"/>
  <c r="O107" i="3"/>
  <c r="O106" i="3"/>
  <c r="O105" i="3"/>
  <c r="O104" i="3"/>
  <c r="O103" i="3"/>
  <c r="O102" i="3"/>
  <c r="O101" i="3"/>
  <c r="O100" i="3"/>
  <c r="O98" i="3"/>
  <c r="O97" i="3"/>
  <c r="O96" i="3"/>
  <c r="O95" i="3"/>
  <c r="O93" i="3"/>
  <c r="O92" i="3"/>
  <c r="O91" i="3"/>
  <c r="O90" i="3"/>
  <c r="O89" i="3"/>
  <c r="O88" i="3"/>
  <c r="O87" i="3"/>
  <c r="O86" i="3"/>
  <c r="O85" i="3"/>
  <c r="O84" i="3"/>
  <c r="O83" i="3"/>
  <c r="O81" i="3"/>
  <c r="O80" i="3"/>
  <c r="O79" i="3"/>
  <c r="O78" i="3"/>
  <c r="O77" i="3"/>
  <c r="O76" i="3"/>
  <c r="O75" i="3"/>
  <c r="O74" i="3"/>
  <c r="O73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AA11" i="3" s="1"/>
  <c r="O10" i="3"/>
  <c r="O9" i="3"/>
  <c r="O8" i="3"/>
  <c r="X108" i="3" l="1"/>
  <c r="X107" i="3"/>
  <c r="X106" i="3"/>
  <c r="X105" i="3"/>
  <c r="X104" i="3"/>
  <c r="X103" i="3"/>
  <c r="X102" i="3"/>
  <c r="X101" i="3"/>
  <c r="W108" i="3"/>
  <c r="W107" i="3"/>
  <c r="W106" i="3"/>
  <c r="W105" i="3"/>
  <c r="W104" i="3"/>
  <c r="W103" i="3"/>
  <c r="W102" i="3"/>
  <c r="W101" i="3"/>
  <c r="Q108" i="3"/>
  <c r="Q107" i="3"/>
  <c r="Q106" i="3"/>
  <c r="Q105" i="3"/>
  <c r="Q104" i="3"/>
  <c r="Q103" i="3"/>
  <c r="Q102" i="3"/>
  <c r="Q101" i="3"/>
  <c r="R108" i="3"/>
  <c r="R107" i="3"/>
  <c r="R106" i="3"/>
  <c r="R105" i="3"/>
  <c r="R104" i="3"/>
  <c r="R103" i="3"/>
  <c r="R102" i="3"/>
  <c r="R101" i="3"/>
  <c r="S108" i="3"/>
  <c r="S107" i="3"/>
  <c r="S106" i="3"/>
  <c r="S103" i="3"/>
  <c r="S102" i="3"/>
  <c r="T108" i="3"/>
  <c r="T107" i="3"/>
  <c r="T106" i="3"/>
  <c r="T105" i="3"/>
  <c r="T104" i="3"/>
  <c r="T103" i="3"/>
  <c r="T102" i="3"/>
  <c r="T101" i="3"/>
  <c r="U108" i="3"/>
  <c r="U107" i="3"/>
  <c r="U106" i="3"/>
  <c r="U105" i="3"/>
  <c r="U104" i="3"/>
  <c r="U103" i="3"/>
  <c r="U102" i="3"/>
  <c r="U101" i="3"/>
  <c r="Y103" i="3" l="1"/>
  <c r="AA103" i="3" s="1"/>
  <c r="M145" i="22" s="1"/>
  <c r="Y106" i="3"/>
  <c r="AA106" i="3" s="1"/>
  <c r="M152" i="22" s="1"/>
  <c r="Y107" i="3"/>
  <c r="AA107" i="3" s="1"/>
  <c r="M148" i="22" s="1"/>
  <c r="Y102" i="3"/>
  <c r="AA102" i="3" s="1"/>
  <c r="M147" i="22" s="1"/>
  <c r="Y108" i="3"/>
  <c r="AA108" i="3" s="1"/>
  <c r="M149" i="22" s="1"/>
  <c r="S148" i="22" l="1"/>
  <c r="E25" i="42"/>
  <c r="G25" i="42" s="1"/>
  <c r="J17" i="5" s="1"/>
  <c r="E57" i="42"/>
  <c r="O226" i="1"/>
  <c r="O223" i="1"/>
  <c r="O222" i="1"/>
  <c r="O219" i="1"/>
  <c r="O215" i="1"/>
  <c r="O213" i="1"/>
  <c r="O212" i="1"/>
  <c r="O210" i="1"/>
  <c r="O209" i="1"/>
  <c r="O208" i="1"/>
  <c r="O206" i="1"/>
  <c r="O202" i="1"/>
  <c r="O201" i="1"/>
  <c r="O200" i="1"/>
  <c r="O198" i="1"/>
  <c r="O196" i="1"/>
  <c r="O194" i="1"/>
  <c r="O192" i="1"/>
  <c r="O191" i="1"/>
  <c r="O188" i="1"/>
  <c r="O186" i="1"/>
  <c r="O175" i="1"/>
  <c r="O174" i="1"/>
  <c r="O168" i="1"/>
  <c r="O167" i="1"/>
  <c r="O166" i="1"/>
  <c r="O165" i="1"/>
  <c r="O164" i="1"/>
  <c r="O163" i="1"/>
  <c r="O161" i="1"/>
  <c r="O160" i="1"/>
  <c r="O147" i="1"/>
  <c r="O139" i="1"/>
  <c r="O138" i="1"/>
  <c r="O137" i="1"/>
  <c r="O131" i="1"/>
  <c r="O130" i="1" s="1"/>
  <c r="O122" i="1"/>
  <c r="O120" i="1"/>
  <c r="O119" i="1"/>
  <c r="O115" i="1"/>
  <c r="O114" i="1"/>
  <c r="O113" i="1"/>
  <c r="O112" i="1"/>
  <c r="O111" i="1"/>
  <c r="O110" i="1"/>
  <c r="O101" i="1"/>
  <c r="O93" i="1"/>
  <c r="O92" i="1"/>
  <c r="O88" i="1"/>
  <c r="O85" i="1"/>
  <c r="O84" i="1"/>
  <c r="O82" i="1"/>
  <c r="O81" i="1"/>
  <c r="O80" i="1"/>
  <c r="O76" i="1"/>
  <c r="O73" i="1"/>
  <c r="AA73" i="1" s="1"/>
  <c r="M11" i="22" s="1"/>
  <c r="O71" i="1"/>
  <c r="O60" i="1"/>
  <c r="O58" i="1"/>
  <c r="O57" i="1"/>
  <c r="O51" i="1"/>
  <c r="O50" i="1"/>
  <c r="O49" i="1"/>
  <c r="O48" i="1"/>
  <c r="O39" i="1"/>
  <c r="O38" i="1"/>
  <c r="O36" i="1"/>
  <c r="O35" i="1"/>
  <c r="O34" i="1"/>
  <c r="O33" i="1"/>
  <c r="O13" i="1"/>
  <c r="O12" i="1"/>
  <c r="O11" i="1"/>
  <c r="O220" i="1"/>
  <c r="O218" i="1"/>
  <c r="O217" i="1"/>
  <c r="O216" i="1"/>
  <c r="O214" i="1"/>
  <c r="O184" i="1"/>
  <c r="O183" i="1"/>
  <c r="O182" i="1"/>
  <c r="O181" i="1"/>
  <c r="O180" i="1"/>
  <c r="O179" i="1"/>
  <c r="O178" i="1"/>
  <c r="O177" i="1"/>
  <c r="O176" i="1"/>
  <c r="O173" i="1"/>
  <c r="O172" i="1"/>
  <c r="O171" i="1"/>
  <c r="O170" i="1"/>
  <c r="O169" i="1"/>
  <c r="O159" i="1"/>
  <c r="O158" i="1"/>
  <c r="O157" i="1"/>
  <c r="O156" i="1"/>
  <c r="O154" i="1"/>
  <c r="O153" i="1"/>
  <c r="O152" i="1"/>
  <c r="O151" i="1"/>
  <c r="O150" i="1"/>
  <c r="O149" i="1"/>
  <c r="O148" i="1"/>
  <c r="O146" i="1"/>
  <c r="O145" i="1"/>
  <c r="O144" i="1"/>
  <c r="O143" i="1"/>
  <c r="O142" i="1"/>
  <c r="O141" i="1"/>
  <c r="O140" i="1"/>
  <c r="O129" i="1"/>
  <c r="O128" i="1"/>
  <c r="O127" i="1"/>
  <c r="O126" i="1"/>
  <c r="O125" i="1"/>
  <c r="O124" i="1"/>
  <c r="O123" i="1"/>
  <c r="O121" i="1"/>
  <c r="O118" i="1"/>
  <c r="O117" i="1"/>
  <c r="O116" i="1"/>
  <c r="O108" i="1"/>
  <c r="O107" i="1"/>
  <c r="O106" i="1"/>
  <c r="O105" i="1"/>
  <c r="O104" i="1"/>
  <c r="O103" i="1"/>
  <c r="O102" i="1"/>
  <c r="O100" i="1"/>
  <c r="O99" i="1"/>
  <c r="O98" i="1"/>
  <c r="O97" i="1"/>
  <c r="O96" i="1"/>
  <c r="O95" i="1"/>
  <c r="O94" i="1"/>
  <c r="O91" i="1"/>
  <c r="O90" i="1"/>
  <c r="O89" i="1"/>
  <c r="O87" i="1"/>
  <c r="O77" i="1"/>
  <c r="O75" i="1"/>
  <c r="AA75" i="1" s="1"/>
  <c r="M14" i="22" s="1"/>
  <c r="O72" i="1"/>
  <c r="O67" i="1"/>
  <c r="O66" i="1"/>
  <c r="O65" i="1"/>
  <c r="O64" i="1"/>
  <c r="O63" i="1"/>
  <c r="O62" i="1"/>
  <c r="O61" i="1"/>
  <c r="O59" i="1"/>
  <c r="O56" i="1"/>
  <c r="O55" i="1"/>
  <c r="O54" i="1"/>
  <c r="O53" i="1"/>
  <c r="O46" i="1"/>
  <c r="O45" i="1"/>
  <c r="O44" i="1"/>
  <c r="O43" i="1"/>
  <c r="O42" i="1"/>
  <c r="O41" i="1"/>
  <c r="O40" i="1"/>
  <c r="M5" i="1"/>
  <c r="J13" i="5"/>
  <c r="J14" i="5" s="1"/>
  <c r="J22" i="5"/>
  <c r="J18" i="5" l="1"/>
  <c r="K148" i="22"/>
  <c r="J47" i="42"/>
  <c r="W220" i="1"/>
  <c r="R202" i="1"/>
  <c r="R201" i="1"/>
  <c r="R200" i="1"/>
  <c r="S202" i="1"/>
  <c r="S201" i="1"/>
  <c r="S200" i="1"/>
  <c r="S198" i="1"/>
  <c r="T202" i="1"/>
  <c r="T201" i="1"/>
  <c r="T200" i="1"/>
  <c r="U202" i="1"/>
  <c r="U201" i="1"/>
  <c r="W202" i="1"/>
  <c r="W201" i="1"/>
  <c r="X202" i="1"/>
  <c r="X201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S172" i="1"/>
  <c r="S171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1" i="1"/>
  <c r="X160" i="1"/>
  <c r="X159" i="1"/>
  <c r="X158" i="1"/>
  <c r="X157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5" i="1"/>
  <c r="X82" i="1"/>
  <c r="X81" i="1"/>
  <c r="X80" i="1"/>
  <c r="X77" i="1"/>
  <c r="X71" i="1"/>
  <c r="X67" i="1"/>
  <c r="X66" i="1"/>
  <c r="X65" i="1"/>
  <c r="Y65" i="1" s="1"/>
  <c r="AA65" i="1" s="1"/>
  <c r="X64" i="1"/>
  <c r="X63" i="1"/>
  <c r="X62" i="1"/>
  <c r="Y62" i="1" s="1"/>
  <c r="AA62" i="1" s="1"/>
  <c r="X61" i="1"/>
  <c r="X60" i="1"/>
  <c r="X59" i="1"/>
  <c r="X58" i="1"/>
  <c r="X57" i="1"/>
  <c r="X56" i="1"/>
  <c r="X55" i="1"/>
  <c r="X54" i="1"/>
  <c r="X51" i="1"/>
  <c r="X50" i="1"/>
  <c r="X49" i="1"/>
  <c r="X48" i="1"/>
  <c r="X46" i="1"/>
  <c r="X45" i="1"/>
  <c r="X44" i="1"/>
  <c r="X43" i="1"/>
  <c r="X42" i="1"/>
  <c r="X41" i="1"/>
  <c r="X40" i="1"/>
  <c r="X39" i="1"/>
  <c r="X38" i="1"/>
  <c r="X36" i="1"/>
  <c r="X35" i="1"/>
  <c r="X34" i="1"/>
  <c r="X31" i="1"/>
  <c r="X30" i="1"/>
  <c r="X26" i="1"/>
  <c r="X25" i="1"/>
  <c r="X24" i="1"/>
  <c r="X23" i="1"/>
  <c r="X22" i="1"/>
  <c r="X21" i="1"/>
  <c r="X20" i="1"/>
  <c r="X19" i="1"/>
  <c r="X18" i="1"/>
  <c r="X17" i="1"/>
  <c r="X16" i="1"/>
  <c r="X13" i="1"/>
  <c r="X12" i="1"/>
  <c r="X11" i="1"/>
  <c r="E23" i="42" l="1"/>
  <c r="G23" i="42" s="1"/>
  <c r="J15" i="5" s="1"/>
  <c r="J16" i="5" s="1"/>
  <c r="Y171" i="1"/>
  <c r="AA171" i="1" s="1"/>
  <c r="Y172" i="1"/>
  <c r="AA172" i="1" s="1"/>
  <c r="Y201" i="1"/>
  <c r="AA201" i="1" s="1"/>
  <c r="M15" i="22" s="1"/>
  <c r="Y202" i="1"/>
  <c r="AA202" i="1" s="1"/>
  <c r="AP25" i="11" l="1"/>
  <c r="AP26" i="11"/>
  <c r="X115" i="3" l="1"/>
  <c r="W115" i="3"/>
  <c r="U115" i="3"/>
  <c r="T115" i="3"/>
  <c r="S115" i="3"/>
  <c r="R115" i="3"/>
  <c r="Q115" i="3"/>
  <c r="S97" i="3"/>
  <c r="S86" i="3"/>
  <c r="S50" i="3"/>
  <c r="S49" i="3"/>
  <c r="S48" i="3"/>
  <c r="S47" i="3"/>
  <c r="S46" i="3"/>
  <c r="S39" i="3"/>
  <c r="S28" i="3"/>
  <c r="S14" i="3"/>
  <c r="Y115" i="3" l="1"/>
  <c r="F25" i="9"/>
  <c r="G5" i="14" l="1"/>
  <c r="G9" i="14"/>
  <c r="G15" i="14"/>
  <c r="G16" i="14"/>
  <c r="G22" i="14"/>
  <c r="J7" i="12"/>
  <c r="J9" i="12"/>
  <c r="U114" i="3"/>
  <c r="U112" i="3"/>
  <c r="U111" i="3"/>
  <c r="U110" i="3"/>
  <c r="U98" i="3"/>
  <c r="U97" i="3"/>
  <c r="U96" i="3"/>
  <c r="U95" i="3"/>
  <c r="U93" i="3"/>
  <c r="U92" i="3"/>
  <c r="U91" i="3"/>
  <c r="U90" i="3"/>
  <c r="U89" i="3"/>
  <c r="U88" i="3"/>
  <c r="U87" i="3"/>
  <c r="U86" i="3"/>
  <c r="U85" i="3"/>
  <c r="U84" i="3"/>
  <c r="U83" i="3"/>
  <c r="U81" i="3"/>
  <c r="U80" i="3"/>
  <c r="U79" i="3"/>
  <c r="U78" i="3"/>
  <c r="U77" i="3"/>
  <c r="U76" i="3"/>
  <c r="U75" i="3"/>
  <c r="U74" i="3"/>
  <c r="U73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4" i="3"/>
  <c r="U33" i="3"/>
  <c r="U32" i="3"/>
  <c r="U31" i="3"/>
  <c r="U30" i="3"/>
  <c r="U29" i="3"/>
  <c r="U28" i="3"/>
  <c r="U27" i="3"/>
  <c r="U26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0" i="3"/>
  <c r="U9" i="3"/>
  <c r="U8" i="3"/>
  <c r="U7" i="3"/>
  <c r="T118" i="3"/>
  <c r="T114" i="3"/>
  <c r="T112" i="3"/>
  <c r="T111" i="3"/>
  <c r="T110" i="3"/>
  <c r="T100" i="3"/>
  <c r="T98" i="3"/>
  <c r="T96" i="3"/>
  <c r="T95" i="3"/>
  <c r="T93" i="3"/>
  <c r="T92" i="3"/>
  <c r="T91" i="3"/>
  <c r="T90" i="3"/>
  <c r="T89" i="3"/>
  <c r="T88" i="3"/>
  <c r="T87" i="3"/>
  <c r="T86" i="3"/>
  <c r="T85" i="3"/>
  <c r="T84" i="3"/>
  <c r="T83" i="3"/>
  <c r="T81" i="3"/>
  <c r="T80" i="3"/>
  <c r="T79" i="3"/>
  <c r="T78" i="3"/>
  <c r="T77" i="3"/>
  <c r="T76" i="3"/>
  <c r="T75" i="3"/>
  <c r="T74" i="3"/>
  <c r="T73" i="3"/>
  <c r="T70" i="3"/>
  <c r="T69" i="3"/>
  <c r="T68" i="3"/>
  <c r="T67" i="3"/>
  <c r="T66" i="3"/>
  <c r="T65" i="3"/>
  <c r="T64" i="3"/>
  <c r="T63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4" i="3"/>
  <c r="T33" i="3"/>
  <c r="T32" i="3"/>
  <c r="T31" i="3"/>
  <c r="T30" i="3"/>
  <c r="T29" i="3"/>
  <c r="T28" i="3"/>
  <c r="T26" i="3"/>
  <c r="T24" i="3"/>
  <c r="T23" i="3"/>
  <c r="T22" i="3"/>
  <c r="T21" i="3"/>
  <c r="T20" i="3"/>
  <c r="T19" i="3"/>
  <c r="T18" i="3"/>
  <c r="T17" i="3"/>
  <c r="T16" i="3"/>
  <c r="T15" i="3"/>
  <c r="T13" i="3"/>
  <c r="T12" i="3"/>
  <c r="T10" i="3"/>
  <c r="T9" i="3"/>
  <c r="T8" i="3"/>
  <c r="T7" i="3"/>
  <c r="R118" i="3"/>
  <c r="R114" i="3"/>
  <c r="R112" i="3"/>
  <c r="R110" i="3"/>
  <c r="R100" i="3"/>
  <c r="R98" i="3"/>
  <c r="R96" i="3"/>
  <c r="R95" i="3"/>
  <c r="R93" i="3"/>
  <c r="R92" i="3"/>
  <c r="R91" i="3"/>
  <c r="R90" i="3"/>
  <c r="R89" i="3"/>
  <c r="R88" i="3"/>
  <c r="R87" i="3"/>
  <c r="R86" i="3"/>
  <c r="R85" i="3"/>
  <c r="R84" i="3"/>
  <c r="R83" i="3"/>
  <c r="R81" i="3"/>
  <c r="R80" i="3"/>
  <c r="R79" i="3"/>
  <c r="R78" i="3"/>
  <c r="R77" i="3"/>
  <c r="R76" i="3"/>
  <c r="R75" i="3"/>
  <c r="R74" i="3"/>
  <c r="R73" i="3"/>
  <c r="R70" i="3"/>
  <c r="R69" i="3"/>
  <c r="R68" i="3"/>
  <c r="R67" i="3"/>
  <c r="R66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4" i="3"/>
  <c r="R33" i="3"/>
  <c r="R32" i="3"/>
  <c r="R31" i="3"/>
  <c r="R30" i="3"/>
  <c r="R29" i="3"/>
  <c r="R28" i="3"/>
  <c r="R27" i="3"/>
  <c r="R26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0" i="3"/>
  <c r="R9" i="3"/>
  <c r="R8" i="3"/>
  <c r="R7" i="3"/>
  <c r="Q118" i="3"/>
  <c r="Q112" i="3"/>
  <c r="Q111" i="3"/>
  <c r="Q110" i="3"/>
  <c r="Q100" i="3"/>
  <c r="Q98" i="3"/>
  <c r="Q96" i="3"/>
  <c r="Q95" i="3"/>
  <c r="Q93" i="3"/>
  <c r="Q92" i="3"/>
  <c r="Q91" i="3"/>
  <c r="Q90" i="3"/>
  <c r="Q89" i="3"/>
  <c r="Q88" i="3"/>
  <c r="Q87" i="3"/>
  <c r="Q86" i="3"/>
  <c r="Q85" i="3"/>
  <c r="Q84" i="3"/>
  <c r="Q83" i="3"/>
  <c r="Q81" i="3"/>
  <c r="Q80" i="3"/>
  <c r="Q79" i="3"/>
  <c r="Q78" i="3"/>
  <c r="Q77" i="3"/>
  <c r="Q76" i="3"/>
  <c r="Q75" i="3"/>
  <c r="Q74" i="3"/>
  <c r="Q73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8" i="3"/>
  <c r="Q37" i="3"/>
  <c r="Q34" i="3"/>
  <c r="Q33" i="3"/>
  <c r="Q32" i="3"/>
  <c r="Q31" i="3"/>
  <c r="Q30" i="3"/>
  <c r="Q29" i="3"/>
  <c r="Q28" i="3"/>
  <c r="Q27" i="3"/>
  <c r="Q26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0" i="3"/>
  <c r="Q9" i="3"/>
  <c r="Q8" i="3"/>
  <c r="Q7" i="3"/>
  <c r="U226" i="1"/>
  <c r="U222" i="1"/>
  <c r="U220" i="1"/>
  <c r="U218" i="1"/>
  <c r="U217" i="1"/>
  <c r="U216" i="1"/>
  <c r="U215" i="1"/>
  <c r="U214" i="1"/>
  <c r="U213" i="1"/>
  <c r="U212" i="1"/>
  <c r="U210" i="1"/>
  <c r="U209" i="1"/>
  <c r="U208" i="1"/>
  <c r="U206" i="1"/>
  <c r="U200" i="1"/>
  <c r="U196" i="1"/>
  <c r="U194" i="1"/>
  <c r="U192" i="1"/>
  <c r="U191" i="1"/>
  <c r="U188" i="1"/>
  <c r="U186" i="1"/>
  <c r="U184" i="1"/>
  <c r="U183" i="1"/>
  <c r="U182" i="1"/>
  <c r="U181" i="1"/>
  <c r="U180" i="1"/>
  <c r="U179" i="1"/>
  <c r="U164" i="1"/>
  <c r="U163" i="1"/>
  <c r="U161" i="1"/>
  <c r="U160" i="1"/>
  <c r="U159" i="1"/>
  <c r="U158" i="1"/>
  <c r="U156" i="1"/>
  <c r="U154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1" i="1"/>
  <c r="U130" i="1" s="1"/>
  <c r="U128" i="1"/>
  <c r="U127" i="1"/>
  <c r="U126" i="1"/>
  <c r="U125" i="1"/>
  <c r="U124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5" i="1"/>
  <c r="U84" i="1"/>
  <c r="U82" i="1"/>
  <c r="U81" i="1"/>
  <c r="U80" i="1"/>
  <c r="U79" i="1"/>
  <c r="U72" i="1"/>
  <c r="U71" i="1"/>
  <c r="U70" i="1"/>
  <c r="U67" i="1"/>
  <c r="U66" i="1"/>
  <c r="U64" i="1"/>
  <c r="U63" i="1"/>
  <c r="U61" i="1"/>
  <c r="U60" i="1"/>
  <c r="U59" i="1"/>
  <c r="U58" i="1"/>
  <c r="U57" i="1"/>
  <c r="U56" i="1"/>
  <c r="U55" i="1"/>
  <c r="U54" i="1"/>
  <c r="U53" i="1"/>
  <c r="U51" i="1"/>
  <c r="U50" i="1"/>
  <c r="U49" i="1"/>
  <c r="U48" i="1"/>
  <c r="U46" i="1"/>
  <c r="U45" i="1"/>
  <c r="U44" i="1"/>
  <c r="U43" i="1"/>
  <c r="U42" i="1"/>
  <c r="U41" i="1"/>
  <c r="U40" i="1"/>
  <c r="U39" i="1"/>
  <c r="U38" i="1"/>
  <c r="U36" i="1"/>
  <c r="U35" i="1"/>
  <c r="U34" i="1"/>
  <c r="U33" i="1"/>
  <c r="U31" i="1"/>
  <c r="U30" i="1"/>
  <c r="U26" i="1"/>
  <c r="U25" i="1"/>
  <c r="U24" i="1"/>
  <c r="U23" i="1"/>
  <c r="U22" i="1"/>
  <c r="U21" i="1"/>
  <c r="U20" i="1"/>
  <c r="U19" i="1"/>
  <c r="U18" i="1"/>
  <c r="U17" i="1"/>
  <c r="U16" i="1"/>
  <c r="U15" i="1"/>
  <c r="U13" i="1"/>
  <c r="U12" i="1"/>
  <c r="U11" i="1"/>
  <c r="U10" i="1"/>
  <c r="J23" i="9"/>
  <c r="X84" i="1" l="1"/>
  <c r="J10" i="12"/>
  <c r="V26" i="3"/>
  <c r="J8" i="12"/>
  <c r="V7" i="3"/>
  <c r="T226" i="1"/>
  <c r="T222" i="1"/>
  <c r="T220" i="1"/>
  <c r="T219" i="1"/>
  <c r="T218" i="1"/>
  <c r="T217" i="1"/>
  <c r="T216" i="1"/>
  <c r="T215" i="1"/>
  <c r="T214" i="1"/>
  <c r="T213" i="1"/>
  <c r="T212" i="1"/>
  <c r="T210" i="1"/>
  <c r="T209" i="1"/>
  <c r="T208" i="1"/>
  <c r="T206" i="1"/>
  <c r="T198" i="1"/>
  <c r="T196" i="1"/>
  <c r="T194" i="1"/>
  <c r="T192" i="1"/>
  <c r="T191" i="1"/>
  <c r="T188" i="1"/>
  <c r="T186" i="1"/>
  <c r="T184" i="1"/>
  <c r="T183" i="1"/>
  <c r="T182" i="1"/>
  <c r="T181" i="1"/>
  <c r="T180" i="1"/>
  <c r="T179" i="1"/>
  <c r="T178" i="1"/>
  <c r="T163" i="1"/>
  <c r="T161" i="1"/>
  <c r="T160" i="1"/>
  <c r="T159" i="1"/>
  <c r="T158" i="1"/>
  <c r="T156" i="1"/>
  <c r="T154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1" i="1"/>
  <c r="T130" i="1" s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5" i="1"/>
  <c r="T84" i="1"/>
  <c r="T82" i="1"/>
  <c r="T81" i="1"/>
  <c r="T80" i="1"/>
  <c r="T79" i="1"/>
  <c r="T77" i="1"/>
  <c r="T71" i="1"/>
  <c r="T70" i="1"/>
  <c r="T67" i="1"/>
  <c r="T66" i="1"/>
  <c r="T64" i="1"/>
  <c r="T63" i="1"/>
  <c r="T61" i="1"/>
  <c r="T60" i="1"/>
  <c r="T59" i="1"/>
  <c r="T58" i="1"/>
  <c r="T57" i="1"/>
  <c r="T56" i="1"/>
  <c r="T55" i="1"/>
  <c r="T54" i="1"/>
  <c r="T53" i="1"/>
  <c r="T51" i="1"/>
  <c r="T50" i="1"/>
  <c r="T49" i="1"/>
  <c r="T48" i="1"/>
  <c r="T46" i="1"/>
  <c r="T45" i="1"/>
  <c r="T44" i="1"/>
  <c r="T43" i="1"/>
  <c r="T42" i="1"/>
  <c r="T41" i="1"/>
  <c r="T39" i="1"/>
  <c r="T38" i="1"/>
  <c r="T36" i="1"/>
  <c r="T35" i="1"/>
  <c r="T34" i="1"/>
  <c r="T33" i="1"/>
  <c r="T31" i="1"/>
  <c r="T30" i="1"/>
  <c r="T26" i="1"/>
  <c r="T25" i="1"/>
  <c r="T24" i="1"/>
  <c r="T23" i="1"/>
  <c r="T22" i="1"/>
  <c r="T21" i="1"/>
  <c r="T20" i="1"/>
  <c r="T19" i="1"/>
  <c r="T18" i="1"/>
  <c r="T17" i="1"/>
  <c r="T16" i="1"/>
  <c r="T15" i="1"/>
  <c r="T13" i="1"/>
  <c r="T12" i="1"/>
  <c r="T11" i="1"/>
  <c r="T10" i="1"/>
  <c r="J43" i="8"/>
  <c r="J45" i="8" s="1"/>
  <c r="J47" i="8" s="1"/>
  <c r="J48" i="8" s="1"/>
  <c r="J13" i="8"/>
  <c r="J14" i="8" s="1"/>
  <c r="J7" i="8"/>
  <c r="J9" i="8"/>
  <c r="R226" i="1"/>
  <c r="R222" i="1"/>
  <c r="R220" i="1"/>
  <c r="R219" i="1"/>
  <c r="R218" i="1"/>
  <c r="R217" i="1"/>
  <c r="R216" i="1"/>
  <c r="R215" i="1"/>
  <c r="R214" i="1"/>
  <c r="R213" i="1"/>
  <c r="R212" i="1"/>
  <c r="R210" i="1"/>
  <c r="R209" i="1"/>
  <c r="R208" i="1"/>
  <c r="R206" i="1"/>
  <c r="R198" i="1"/>
  <c r="R196" i="1"/>
  <c r="R194" i="1"/>
  <c r="R192" i="1"/>
  <c r="R191" i="1"/>
  <c r="R188" i="1"/>
  <c r="R186" i="1"/>
  <c r="R184" i="1"/>
  <c r="R183" i="1"/>
  <c r="R182" i="1"/>
  <c r="R181" i="1"/>
  <c r="R180" i="1"/>
  <c r="R179" i="1"/>
  <c r="R163" i="1"/>
  <c r="R161" i="1"/>
  <c r="R160" i="1"/>
  <c r="R159" i="1"/>
  <c r="R158" i="1"/>
  <c r="R157" i="1"/>
  <c r="R156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1" i="1"/>
  <c r="R130" i="1" s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5" i="1"/>
  <c r="R84" i="1"/>
  <c r="R82" i="1"/>
  <c r="R81" i="1"/>
  <c r="R80" i="1"/>
  <c r="R79" i="1"/>
  <c r="R77" i="1"/>
  <c r="R71" i="1"/>
  <c r="R70" i="1"/>
  <c r="R67" i="1"/>
  <c r="R66" i="1"/>
  <c r="R64" i="1"/>
  <c r="R63" i="1"/>
  <c r="R61" i="1"/>
  <c r="R60" i="1"/>
  <c r="R59" i="1"/>
  <c r="R58" i="1"/>
  <c r="R57" i="1"/>
  <c r="R56" i="1"/>
  <c r="R55" i="1"/>
  <c r="R54" i="1"/>
  <c r="R53" i="1"/>
  <c r="R51" i="1"/>
  <c r="R50" i="1"/>
  <c r="R49" i="1"/>
  <c r="R48" i="1"/>
  <c r="R46" i="1"/>
  <c r="R45" i="1"/>
  <c r="R44" i="1"/>
  <c r="R43" i="1"/>
  <c r="R42" i="1"/>
  <c r="R41" i="1"/>
  <c r="R40" i="1"/>
  <c r="R39" i="1"/>
  <c r="R38" i="1"/>
  <c r="R36" i="1"/>
  <c r="R35" i="1"/>
  <c r="R34" i="1"/>
  <c r="R33" i="1"/>
  <c r="R31" i="1"/>
  <c r="R30" i="1"/>
  <c r="R26" i="1"/>
  <c r="R25" i="1"/>
  <c r="R24" i="1"/>
  <c r="R22" i="1"/>
  <c r="R21" i="1"/>
  <c r="R20" i="1"/>
  <c r="R19" i="1"/>
  <c r="R18" i="1"/>
  <c r="R17" i="1"/>
  <c r="R16" i="1"/>
  <c r="R15" i="1"/>
  <c r="R13" i="1"/>
  <c r="R12" i="1"/>
  <c r="R11" i="1"/>
  <c r="R10" i="1"/>
  <c r="Q226" i="1"/>
  <c r="Q220" i="1"/>
  <c r="Q219" i="1"/>
  <c r="Q218" i="1"/>
  <c r="Q217" i="1"/>
  <c r="Q216" i="1"/>
  <c r="Q215" i="1"/>
  <c r="Q214" i="1"/>
  <c r="Q213" i="1"/>
  <c r="Q212" i="1"/>
  <c r="Q209" i="1"/>
  <c r="Q208" i="1"/>
  <c r="Q206" i="1"/>
  <c r="Q198" i="1"/>
  <c r="Q196" i="1"/>
  <c r="Q194" i="1"/>
  <c r="Q192" i="1"/>
  <c r="Q191" i="1"/>
  <c r="Q188" i="1"/>
  <c r="Q186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0" i="1"/>
  <c r="Q169" i="1"/>
  <c r="Q168" i="1"/>
  <c r="Q167" i="1"/>
  <c r="Q166" i="1"/>
  <c r="Q165" i="1"/>
  <c r="Q164" i="1"/>
  <c r="Q163" i="1"/>
  <c r="Q161" i="1"/>
  <c r="Q160" i="1"/>
  <c r="Q159" i="1"/>
  <c r="Q158" i="1"/>
  <c r="Q156" i="1"/>
  <c r="Q154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1" i="1"/>
  <c r="Q130" i="1" s="1"/>
  <c r="Q129" i="1"/>
  <c r="Q128" i="1"/>
  <c r="Q127" i="1"/>
  <c r="Q126" i="1"/>
  <c r="Q125" i="1"/>
  <c r="Q124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5" i="1"/>
  <c r="Q84" i="1"/>
  <c r="Q82" i="1"/>
  <c r="Q81" i="1"/>
  <c r="Q80" i="1"/>
  <c r="Q79" i="1"/>
  <c r="Q77" i="1"/>
  <c r="Q71" i="1"/>
  <c r="Q70" i="1"/>
  <c r="Q67" i="1"/>
  <c r="Q66" i="1"/>
  <c r="Q64" i="1"/>
  <c r="Q63" i="1"/>
  <c r="Q61" i="1"/>
  <c r="Q60" i="1"/>
  <c r="Q59" i="1"/>
  <c r="Q58" i="1"/>
  <c r="Q57" i="1"/>
  <c r="Q56" i="1"/>
  <c r="Q55" i="1"/>
  <c r="Q54" i="1"/>
  <c r="Q53" i="1"/>
  <c r="Q51" i="1"/>
  <c r="Q50" i="1"/>
  <c r="Q49" i="1"/>
  <c r="Q48" i="1"/>
  <c r="Q46" i="1"/>
  <c r="Q45" i="1"/>
  <c r="Q44" i="1"/>
  <c r="Q43" i="1"/>
  <c r="Q42" i="1"/>
  <c r="Q41" i="1"/>
  <c r="Q40" i="1"/>
  <c r="Q39" i="1"/>
  <c r="Q38" i="1"/>
  <c r="Q36" i="1"/>
  <c r="Q35" i="1"/>
  <c r="Q34" i="1"/>
  <c r="Q33" i="1"/>
  <c r="Q31" i="1"/>
  <c r="Q30" i="1"/>
  <c r="Q26" i="1"/>
  <c r="Q25" i="1"/>
  <c r="Q24" i="1"/>
  <c r="Q22" i="1"/>
  <c r="Q21" i="1"/>
  <c r="Q20" i="1"/>
  <c r="Q19" i="1"/>
  <c r="Q18" i="1"/>
  <c r="Q17" i="1"/>
  <c r="Q16" i="1"/>
  <c r="Q15" i="1"/>
  <c r="Q13" i="1"/>
  <c r="Q12" i="1"/>
  <c r="Q11" i="1"/>
  <c r="Q10" i="1"/>
  <c r="J25" i="4"/>
  <c r="V12" i="3" l="1"/>
  <c r="V27" i="3"/>
  <c r="Q114" i="3"/>
  <c r="J13" i="21" s="1"/>
  <c r="T40" i="1"/>
  <c r="J51" i="8"/>
  <c r="Y11" i="1"/>
  <c r="AA11" i="1" s="1"/>
  <c r="J26" i="4"/>
  <c r="J27" i="4"/>
  <c r="J52" i="8" l="1"/>
  <c r="J28" i="4"/>
  <c r="Q224" i="1"/>
  <c r="AT17" i="11" l="1"/>
  <c r="AT16" i="11"/>
  <c r="AN8" i="11"/>
  <c r="AI16" i="11"/>
  <c r="AF18" i="11"/>
  <c r="M47" i="42" l="1"/>
  <c r="M48" i="42"/>
  <c r="N48" i="42"/>
  <c r="N47" i="42"/>
  <c r="N39" i="42"/>
  <c r="N38" i="42"/>
  <c r="M49" i="42" l="1"/>
  <c r="G29" i="42"/>
  <c r="K102" i="22" l="1"/>
  <c r="I43" i="8" l="1"/>
  <c r="H59" i="30" l="1"/>
  <c r="F19" i="30"/>
  <c r="F38" i="25"/>
  <c r="H8" i="33"/>
  <c r="H21" i="33"/>
  <c r="K21" i="33" s="1"/>
  <c r="J105" i="24"/>
  <c r="F91" i="24"/>
  <c r="F90" i="24"/>
  <c r="M105" i="24" l="1"/>
  <c r="H10" i="33"/>
  <c r="K8" i="33"/>
  <c r="G104" i="24"/>
  <c r="K10" i="33" l="1"/>
  <c r="J100" i="23"/>
  <c r="O100" i="23" s="1"/>
  <c r="W23" i="1"/>
  <c r="H18" i="33" l="1"/>
  <c r="Y72" i="1"/>
  <c r="AA72" i="1" s="1"/>
  <c r="M12" i="22" s="1"/>
  <c r="H19" i="33" l="1"/>
  <c r="K20" i="33" s="1"/>
  <c r="H27" i="33"/>
  <c r="K18" i="33"/>
  <c r="E17" i="42"/>
  <c r="G18" i="42" s="1"/>
  <c r="W97" i="3"/>
  <c r="X97" i="3"/>
  <c r="E31" i="42"/>
  <c r="G19" i="42" l="1"/>
  <c r="R223" i="1"/>
  <c r="G57" i="42"/>
  <c r="H57" i="42" s="1"/>
  <c r="R97" i="3" l="1"/>
  <c r="R65" i="3"/>
  <c r="Y97" i="3" l="1"/>
  <c r="AA97" i="3" s="1"/>
  <c r="E57" i="24"/>
  <c r="E54" i="24"/>
  <c r="E53" i="24"/>
  <c r="E52" i="24"/>
  <c r="E33" i="24"/>
  <c r="O7" i="16" l="1"/>
  <c r="H25" i="17"/>
  <c r="H24" i="17"/>
  <c r="H23" i="17"/>
  <c r="H21" i="17"/>
  <c r="H74" i="17" s="1"/>
  <c r="H20" i="17"/>
  <c r="H19" i="17"/>
  <c r="H18" i="17"/>
  <c r="H17" i="17"/>
  <c r="H16" i="17"/>
  <c r="H15" i="17"/>
  <c r="H14" i="17"/>
  <c r="H12" i="17"/>
  <c r="H11" i="17"/>
  <c r="H10" i="17"/>
  <c r="H8" i="17"/>
  <c r="W226" i="1"/>
  <c r="W224" i="1"/>
  <c r="W223" i="1"/>
  <c r="W222" i="1"/>
  <c r="W219" i="1"/>
  <c r="W218" i="1"/>
  <c r="W217" i="1"/>
  <c r="W216" i="1"/>
  <c r="W215" i="1"/>
  <c r="W214" i="1"/>
  <c r="W213" i="1"/>
  <c r="W212" i="1"/>
  <c r="W210" i="1"/>
  <c r="W209" i="1"/>
  <c r="W208" i="1"/>
  <c r="W206" i="1"/>
  <c r="W200" i="1"/>
  <c r="W198" i="1"/>
  <c r="W196" i="1"/>
  <c r="W194" i="1"/>
  <c r="W192" i="1"/>
  <c r="W191" i="1"/>
  <c r="W188" i="1"/>
  <c r="W186" i="1"/>
  <c r="W184" i="1"/>
  <c r="W163" i="1"/>
  <c r="W161" i="1"/>
  <c r="W160" i="1"/>
  <c r="W159" i="1"/>
  <c r="W158" i="1"/>
  <c r="W156" i="1"/>
  <c r="W154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1" i="1"/>
  <c r="W130" i="1" s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5" i="1"/>
  <c r="W84" i="1"/>
  <c r="W82" i="1"/>
  <c r="W81" i="1"/>
  <c r="W80" i="1"/>
  <c r="W79" i="1"/>
  <c r="W77" i="1"/>
  <c r="W71" i="1"/>
  <c r="W70" i="1"/>
  <c r="W67" i="1"/>
  <c r="W66" i="1"/>
  <c r="W64" i="1"/>
  <c r="W63" i="1"/>
  <c r="W61" i="1"/>
  <c r="W60" i="1"/>
  <c r="W59" i="1"/>
  <c r="W58" i="1"/>
  <c r="W57" i="1"/>
  <c r="W56" i="1"/>
  <c r="W55" i="1"/>
  <c r="W54" i="1"/>
  <c r="W53" i="1"/>
  <c r="W51" i="1"/>
  <c r="W50" i="1"/>
  <c r="W49" i="1"/>
  <c r="W48" i="1"/>
  <c r="W46" i="1"/>
  <c r="W45" i="1"/>
  <c r="W44" i="1"/>
  <c r="W43" i="1"/>
  <c r="W42" i="1"/>
  <c r="W41" i="1"/>
  <c r="W40" i="1"/>
  <c r="W39" i="1"/>
  <c r="W38" i="1"/>
  <c r="W36" i="1"/>
  <c r="W35" i="1"/>
  <c r="W34" i="1"/>
  <c r="W33" i="1"/>
  <c r="W31" i="1"/>
  <c r="W30" i="1"/>
  <c r="W26" i="1"/>
  <c r="W25" i="1"/>
  <c r="W24" i="1"/>
  <c r="W22" i="1"/>
  <c r="W21" i="1"/>
  <c r="W20" i="1"/>
  <c r="W19" i="1"/>
  <c r="W18" i="1"/>
  <c r="W17" i="1"/>
  <c r="W16" i="1"/>
  <c r="W15" i="1"/>
  <c r="W13" i="1"/>
  <c r="W12" i="1"/>
  <c r="W10" i="1"/>
  <c r="W118" i="3"/>
  <c r="W114" i="3"/>
  <c r="W112" i="3"/>
  <c r="W111" i="3"/>
  <c r="W110" i="3"/>
  <c r="W100" i="3"/>
  <c r="W98" i="3"/>
  <c r="W96" i="3"/>
  <c r="W95" i="3"/>
  <c r="W93" i="3"/>
  <c r="W92" i="3"/>
  <c r="W91" i="3"/>
  <c r="W90" i="3"/>
  <c r="W89" i="3"/>
  <c r="W88" i="3"/>
  <c r="W87" i="3"/>
  <c r="W86" i="3"/>
  <c r="W85" i="3"/>
  <c r="W84" i="3"/>
  <c r="W83" i="3"/>
  <c r="W81" i="3"/>
  <c r="W80" i="3"/>
  <c r="W79" i="3"/>
  <c r="W78" i="3"/>
  <c r="W77" i="3"/>
  <c r="W76" i="3"/>
  <c r="W75" i="3"/>
  <c r="W74" i="3"/>
  <c r="W73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8" i="3"/>
  <c r="W37" i="3"/>
  <c r="W34" i="3"/>
  <c r="W33" i="3"/>
  <c r="W32" i="3"/>
  <c r="W31" i="3"/>
  <c r="W30" i="3"/>
  <c r="W29" i="3"/>
  <c r="W28" i="3"/>
  <c r="W27" i="3"/>
  <c r="W26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0" i="3"/>
  <c r="W9" i="3"/>
  <c r="W8" i="3"/>
  <c r="W7" i="3"/>
  <c r="I23" i="9"/>
  <c r="F21" i="9" l="1"/>
  <c r="F22" i="9" s="1"/>
  <c r="G21" i="9"/>
  <c r="G22" i="9" s="1"/>
  <c r="F23" i="9"/>
  <c r="L23" i="9" s="1"/>
  <c r="N9" i="16" s="1"/>
  <c r="F27" i="9"/>
  <c r="F28" i="9" s="1"/>
  <c r="F26" i="9" l="1"/>
  <c r="I65" i="8" l="1"/>
  <c r="I45" i="8"/>
  <c r="I47" i="8" s="1"/>
  <c r="I48" i="8" s="1"/>
  <c r="I51" i="8" s="1"/>
  <c r="I52" i="8" s="1"/>
  <c r="I13" i="8"/>
  <c r="I14" i="8" s="1"/>
  <c r="J65" i="8" l="1"/>
  <c r="R113" i="3"/>
  <c r="E9" i="42"/>
  <c r="E27" i="42" s="1"/>
  <c r="G27" i="42" l="1"/>
  <c r="J21" i="5" s="1"/>
  <c r="T62" i="3"/>
  <c r="E43" i="24"/>
  <c r="J23" i="5" l="1"/>
  <c r="J25" i="5"/>
  <c r="J24" i="5" s="1"/>
  <c r="G31" i="42"/>
  <c r="G32" i="42" s="1"/>
  <c r="R111" i="3"/>
  <c r="O136" i="1" l="1"/>
  <c r="O79" i="1"/>
  <c r="O70" i="1"/>
  <c r="O15" i="1"/>
  <c r="N113" i="3"/>
  <c r="M113" i="3"/>
  <c r="L113" i="3"/>
  <c r="K113" i="3"/>
  <c r="J113" i="3"/>
  <c r="I113" i="3"/>
  <c r="H225" i="1"/>
  <c r="K14" i="22" l="1"/>
  <c r="S14" i="22"/>
  <c r="R224" i="1"/>
  <c r="S15" i="22"/>
  <c r="J23" i="17"/>
  <c r="G23" i="17"/>
  <c r="J24" i="17"/>
  <c r="I24" i="17"/>
  <c r="G24" i="17"/>
  <c r="J25" i="17"/>
  <c r="G25" i="17"/>
  <c r="J21" i="17"/>
  <c r="J20" i="17"/>
  <c r="J19" i="17"/>
  <c r="J18" i="17"/>
  <c r="J17" i="17"/>
  <c r="J16" i="17"/>
  <c r="J15" i="17"/>
  <c r="J14" i="17"/>
  <c r="I20" i="17"/>
  <c r="G21" i="17"/>
  <c r="G20" i="17"/>
  <c r="G19" i="17"/>
  <c r="G18" i="17"/>
  <c r="G17" i="17"/>
  <c r="G16" i="17"/>
  <c r="G15" i="17"/>
  <c r="G14" i="17"/>
  <c r="J12" i="17"/>
  <c r="J11" i="17"/>
  <c r="J10" i="17"/>
  <c r="G12" i="17"/>
  <c r="G11" i="17"/>
  <c r="G10" i="17"/>
  <c r="I25" i="17"/>
  <c r="I23" i="17"/>
  <c r="I21" i="17"/>
  <c r="I19" i="17"/>
  <c r="I18" i="17"/>
  <c r="I17" i="17"/>
  <c r="I16" i="17"/>
  <c r="I15" i="17"/>
  <c r="I14" i="17"/>
  <c r="I12" i="17"/>
  <c r="I11" i="17"/>
  <c r="I10" i="17"/>
  <c r="K11" i="22" l="1"/>
  <c r="S11" i="22"/>
  <c r="K12" i="22"/>
  <c r="S12" i="22"/>
  <c r="K15" i="22"/>
  <c r="W362" i="23"/>
  <c r="P362" i="23"/>
  <c r="W361" i="23"/>
  <c r="P361" i="23"/>
  <c r="W360" i="23"/>
  <c r="P360" i="23"/>
  <c r="K70" i="31" l="1"/>
  <c r="L70" i="31" s="1"/>
  <c r="K69" i="31"/>
  <c r="L69" i="31" s="1"/>
  <c r="K67" i="31"/>
  <c r="L67" i="31" s="1"/>
  <c r="V250" i="23" l="1"/>
  <c r="X250" i="23" s="1"/>
  <c r="H75" i="30" l="1"/>
  <c r="F69" i="25"/>
  <c r="F61" i="30" l="1"/>
  <c r="H73" i="30"/>
  <c r="G81" i="30"/>
  <c r="G84" i="25"/>
  <c r="H84" i="25"/>
  <c r="F85" i="25"/>
  <c r="F74" i="25"/>
  <c r="F72" i="25"/>
  <c r="F66" i="25"/>
  <c r="F64" i="25"/>
  <c r="F60" i="25"/>
  <c r="F57" i="25"/>
  <c r="F50" i="25"/>
  <c r="F28" i="25"/>
  <c r="N376" i="23"/>
  <c r="M376" i="23"/>
  <c r="L376" i="23"/>
  <c r="K376" i="23"/>
  <c r="J376" i="23"/>
  <c r="I376" i="23"/>
  <c r="N375" i="23"/>
  <c r="M375" i="23"/>
  <c r="L375" i="23"/>
  <c r="K375" i="23"/>
  <c r="J375" i="23"/>
  <c r="I375" i="23"/>
  <c r="F76" i="30" l="1"/>
  <c r="H8" i="30"/>
  <c r="I72" i="30"/>
  <c r="H38" i="30"/>
  <c r="H6" i="30" l="1"/>
  <c r="I5" i="30" s="1"/>
  <c r="I52" i="30"/>
  <c r="I80" i="30" l="1"/>
  <c r="I83" i="30" s="1"/>
  <c r="K217" i="31" l="1"/>
  <c r="L217" i="31" s="1"/>
  <c r="K166" i="31"/>
  <c r="L166" i="31" s="1"/>
  <c r="K17" i="31"/>
  <c r="L17" i="31" s="1"/>
  <c r="K16" i="31"/>
  <c r="L16" i="31" s="1"/>
  <c r="H376" i="23"/>
  <c r="H375" i="23"/>
  <c r="S145" i="22" l="1"/>
  <c r="K145" i="22" l="1"/>
  <c r="I365" i="23"/>
  <c r="H211" i="40" l="1"/>
  <c r="H207" i="40"/>
  <c r="H197" i="40"/>
  <c r="H193" i="40"/>
  <c r="H191" i="40"/>
  <c r="H186" i="40"/>
  <c r="H182" i="40"/>
  <c r="H180" i="40"/>
  <c r="H177" i="40"/>
  <c r="H174" i="40"/>
  <c r="H172" i="40"/>
  <c r="H151" i="40"/>
  <c r="H144" i="40"/>
  <c r="H124" i="40"/>
  <c r="H120" i="40"/>
  <c r="H99" i="40"/>
  <c r="H76" i="40"/>
  <c r="H73" i="40"/>
  <c r="H68" i="40"/>
  <c r="H48" i="40"/>
  <c r="H33" i="40"/>
  <c r="H28" i="40"/>
  <c r="H12" i="40"/>
  <c r="H184" i="40"/>
  <c r="H63" i="40"/>
  <c r="H43" i="40"/>
  <c r="H7" i="40" l="1"/>
  <c r="H6" i="40" s="1"/>
  <c r="H190" i="40"/>
  <c r="H189" i="40" s="1"/>
  <c r="H62" i="40"/>
  <c r="H176" i="40"/>
  <c r="H123" i="40"/>
  <c r="G30" i="26"/>
  <c r="J28" i="26"/>
  <c r="M93" i="24"/>
  <c r="G96" i="24"/>
  <c r="H122" i="40" l="1"/>
  <c r="H213" i="40" s="1"/>
  <c r="H5" i="40"/>
  <c r="J93" i="24"/>
  <c r="H3" i="40" l="1"/>
  <c r="H13" i="8" l="1"/>
  <c r="H14" i="8" s="1"/>
  <c r="H7" i="8" l="1"/>
  <c r="J17" i="39" l="1"/>
  <c r="F17" i="39"/>
  <c r="E17" i="39"/>
  <c r="J21" i="39"/>
  <c r="H21" i="39"/>
  <c r="F22" i="39"/>
  <c r="E22" i="39"/>
  <c r="E21" i="39" s="1"/>
  <c r="E24" i="39" s="1"/>
  <c r="I12" i="39"/>
  <c r="I11" i="39" s="1"/>
  <c r="I10" i="39"/>
  <c r="K10" i="39" s="1"/>
  <c r="I9" i="39"/>
  <c r="K9" i="39" s="1"/>
  <c r="I8" i="39"/>
  <c r="I6" i="39"/>
  <c r="K6" i="39" s="1"/>
  <c r="I16" i="39"/>
  <c r="K16" i="39" s="1"/>
  <c r="I7" i="39" l="1"/>
  <c r="K8" i="39"/>
  <c r="L8" i="39" s="1"/>
  <c r="K7" i="39"/>
  <c r="K12" i="39"/>
  <c r="K11" i="39"/>
  <c r="J24" i="39"/>
  <c r="J29" i="39" s="1"/>
  <c r="I22" i="39"/>
  <c r="K22" i="39" s="1"/>
  <c r="F21" i="39"/>
  <c r="F24" i="39" s="1"/>
  <c r="H28" i="38"/>
  <c r="H24" i="38"/>
  <c r="H14" i="38"/>
  <c r="H10" i="38"/>
  <c r="H8" i="38"/>
  <c r="I15" i="39" l="1"/>
  <c r="K15" i="39" s="1"/>
  <c r="H7" i="38"/>
  <c r="H6" i="38" s="1"/>
  <c r="H4" i="38" s="1"/>
  <c r="V12" i="21" l="1"/>
  <c r="U12" i="21"/>
  <c r="T12" i="21"/>
  <c r="S12" i="21"/>
  <c r="R12" i="21"/>
  <c r="Q12" i="21"/>
  <c r="P12" i="21"/>
  <c r="O12" i="21"/>
  <c r="N12" i="21"/>
  <c r="M12" i="21"/>
  <c r="K10" i="21"/>
  <c r="W10" i="21" s="1"/>
  <c r="K9" i="21"/>
  <c r="W9" i="21" s="1"/>
  <c r="K8" i="21"/>
  <c r="W8" i="21" s="1"/>
  <c r="K7" i="21"/>
  <c r="W7" i="21" s="1"/>
  <c r="K6" i="21"/>
  <c r="W6" i="21" s="1"/>
  <c r="J12" i="21"/>
  <c r="J14" i="21" s="1"/>
  <c r="H12" i="21"/>
  <c r="I11" i="21"/>
  <c r="I12" i="21" s="1"/>
  <c r="G12" i="21"/>
  <c r="K11" i="21" l="1"/>
  <c r="W11" i="21" s="1"/>
  <c r="W12" i="21" s="1"/>
  <c r="K12" i="21" l="1"/>
  <c r="L114" i="17"/>
  <c r="L97" i="17" l="1"/>
  <c r="K97" i="17"/>
  <c r="J97" i="17"/>
  <c r="I97" i="17"/>
  <c r="H97" i="17"/>
  <c r="G97" i="17"/>
  <c r="L89" i="17"/>
  <c r="K89" i="17"/>
  <c r="J89" i="17"/>
  <c r="I89" i="17"/>
  <c r="H89" i="17"/>
  <c r="G89" i="17"/>
  <c r="L84" i="17"/>
  <c r="I84" i="17"/>
  <c r="H84" i="17"/>
  <c r="G84" i="17"/>
  <c r="F84" i="17"/>
  <c r="V21" i="35" l="1"/>
  <c r="U21" i="35"/>
  <c r="T21" i="35"/>
  <c r="Q21" i="35"/>
  <c r="L21" i="35"/>
  <c r="K21" i="35"/>
  <c r="J21" i="35"/>
  <c r="I21" i="35"/>
  <c r="G21" i="35"/>
  <c r="AF20" i="35"/>
  <c r="AE20" i="35"/>
  <c r="AD20" i="35"/>
  <c r="AC20" i="35"/>
  <c r="AA20" i="35"/>
  <c r="M20" i="35"/>
  <c r="R20" i="35" s="1"/>
  <c r="AF19" i="35"/>
  <c r="AE19" i="35"/>
  <c r="AD19" i="35"/>
  <c r="AA19" i="35"/>
  <c r="M19" i="35"/>
  <c r="R19" i="35" s="1"/>
  <c r="S19" i="35" s="1"/>
  <c r="AF18" i="35"/>
  <c r="AE18" i="35"/>
  <c r="AD18" i="35"/>
  <c r="AC18" i="35"/>
  <c r="AA18" i="35"/>
  <c r="H18" i="35"/>
  <c r="M18" i="35" s="1"/>
  <c r="AF17" i="35"/>
  <c r="AE17" i="35"/>
  <c r="AD17" i="35"/>
  <c r="AC17" i="35"/>
  <c r="AA17" i="35"/>
  <c r="M17" i="35"/>
  <c r="R17" i="35" s="1"/>
  <c r="AE16" i="35"/>
  <c r="AD16" i="35"/>
  <c r="AC16" i="35"/>
  <c r="AA16" i="35"/>
  <c r="M16" i="35"/>
  <c r="AG15" i="35"/>
  <c r="W15" i="35"/>
  <c r="M15" i="35"/>
  <c r="M10" i="35"/>
  <c r="R10" i="35" s="1"/>
  <c r="W10" i="35" s="1"/>
  <c r="M9" i="35"/>
  <c r="R9" i="35" s="1"/>
  <c r="W9" i="35" s="1"/>
  <c r="M8" i="35"/>
  <c r="R8" i="35" s="1"/>
  <c r="W8" i="35" s="1"/>
  <c r="AA7" i="35"/>
  <c r="Q7" i="35"/>
  <c r="M7" i="35"/>
  <c r="R7" i="35" s="1"/>
  <c r="W7" i="35" s="1"/>
  <c r="G7" i="35"/>
  <c r="M6" i="35"/>
  <c r="R6" i="35" s="1"/>
  <c r="W6" i="35" s="1"/>
  <c r="M22" i="35" l="1"/>
  <c r="AA21" i="35"/>
  <c r="O19" i="35"/>
  <c r="AF21" i="35"/>
  <c r="AD21" i="35"/>
  <c r="AE21" i="35"/>
  <c r="AB7" i="35"/>
  <c r="AG7" i="35" s="1"/>
  <c r="AI7" i="35" s="1"/>
  <c r="Y7" i="35"/>
  <c r="Y8" i="35"/>
  <c r="AB8" i="35"/>
  <c r="AG8" i="35" s="1"/>
  <c r="AI8" i="35" s="1"/>
  <c r="O18" i="35"/>
  <c r="R18" i="35"/>
  <c r="AB10" i="35"/>
  <c r="AG10" i="35" s="1"/>
  <c r="AI10" i="35" s="1"/>
  <c r="Y10" i="35"/>
  <c r="AB20" i="35"/>
  <c r="AG20" i="35" s="1"/>
  <c r="AI20" i="35" s="1"/>
  <c r="W20" i="35"/>
  <c r="Y20" i="35" s="1"/>
  <c r="AB9" i="35"/>
  <c r="AG9" i="35" s="1"/>
  <c r="AI9" i="35" s="1"/>
  <c r="Y9" i="35"/>
  <c r="AC19" i="35"/>
  <c r="AC21" i="35" s="1"/>
  <c r="S21" i="35"/>
  <c r="AB6" i="35"/>
  <c r="AG6" i="35" s="1"/>
  <c r="AI6" i="35" s="1"/>
  <c r="Y6" i="35"/>
  <c r="W17" i="35"/>
  <c r="Y17" i="35" s="1"/>
  <c r="AB17" i="35"/>
  <c r="AG17" i="35" s="1"/>
  <c r="AI17" i="35" s="1"/>
  <c r="H21" i="35"/>
  <c r="O7" i="35"/>
  <c r="O17" i="35"/>
  <c r="O6" i="35"/>
  <c r="W19" i="35"/>
  <c r="Y19" i="35" s="1"/>
  <c r="O8" i="35"/>
  <c r="O9" i="35"/>
  <c r="O10" i="35"/>
  <c r="AB16" i="35"/>
  <c r="AB19" i="35"/>
  <c r="O20" i="35"/>
  <c r="M21" i="35"/>
  <c r="O16" i="35"/>
  <c r="R16" i="35"/>
  <c r="AG19" i="35" l="1"/>
  <c r="AI19" i="35" s="1"/>
  <c r="AB18" i="35"/>
  <c r="AG18" i="35" s="1"/>
  <c r="AI18" i="35" s="1"/>
  <c r="W18" i="35"/>
  <c r="Y18" i="35" s="1"/>
  <c r="AG16" i="35"/>
  <c r="AB21" i="35"/>
  <c r="R21" i="35"/>
  <c r="W16" i="35"/>
  <c r="W21" i="35" l="1"/>
  <c r="Y16" i="35"/>
  <c r="W22" i="35"/>
  <c r="W23" i="35" s="1"/>
  <c r="AI16" i="35"/>
  <c r="AG21" i="35"/>
  <c r="H20" i="34" l="1"/>
  <c r="H19" i="34"/>
  <c r="F12" i="34"/>
  <c r="H12" i="34" s="1"/>
  <c r="I10" i="34"/>
  <c r="I19" i="34" s="1"/>
  <c r="H9" i="34"/>
  <c r="M10" i="34" l="1"/>
  <c r="I11" i="34"/>
  <c r="I12" i="34" s="1"/>
  <c r="I21" i="34" s="1"/>
  <c r="H21" i="34"/>
  <c r="I9" i="34"/>
  <c r="I18" i="34" s="1"/>
  <c r="J10" i="34"/>
  <c r="J9" i="34" s="1"/>
  <c r="J18" i="34" s="1"/>
  <c r="H18" i="34"/>
  <c r="I20" i="34" l="1"/>
  <c r="I22" i="34" s="1"/>
  <c r="J11" i="34"/>
  <c r="M11" i="34"/>
  <c r="H22" i="34"/>
  <c r="J19" i="34"/>
  <c r="K10" i="34"/>
  <c r="N10" i="34"/>
  <c r="J20" i="34" l="1"/>
  <c r="K11" i="34"/>
  <c r="N11" i="34"/>
  <c r="J12" i="34"/>
  <c r="J21" i="34" s="1"/>
  <c r="L10" i="34"/>
  <c r="K19" i="34"/>
  <c r="O10" i="34"/>
  <c r="K9" i="34"/>
  <c r="K18" i="34" s="1"/>
  <c r="J22" i="34" l="1"/>
  <c r="K12" i="34"/>
  <c r="K21" i="34" s="1"/>
  <c r="L11" i="34"/>
  <c r="O11" i="34"/>
  <c r="K20" i="34"/>
  <c r="P10" i="34"/>
  <c r="L19" i="34"/>
  <c r="L9" i="34"/>
  <c r="K22" i="34" l="1"/>
  <c r="P11" i="34"/>
  <c r="L12" i="34"/>
  <c r="L20" i="34"/>
  <c r="P9" i="34"/>
  <c r="O9" i="34"/>
  <c r="L18" i="34"/>
  <c r="N9" i="34"/>
  <c r="M9" i="34"/>
  <c r="P12" i="34" l="1"/>
  <c r="O12" i="34"/>
  <c r="N12" i="34"/>
  <c r="L21" i="34"/>
  <c r="M12" i="34"/>
  <c r="M19" i="34"/>
  <c r="N19" i="34" s="1"/>
  <c r="O19" i="34" s="1"/>
  <c r="P19" i="34" s="1"/>
  <c r="M18" i="34" l="1"/>
  <c r="N18" i="34" s="1"/>
  <c r="O18" i="34" s="1"/>
  <c r="P18" i="34" s="1"/>
  <c r="M20" i="34"/>
  <c r="N20" i="34" s="1"/>
  <c r="O20" i="34" s="1"/>
  <c r="P20" i="34" s="1"/>
  <c r="L22" i="34"/>
  <c r="H67" i="8"/>
  <c r="I67" i="8" s="1"/>
  <c r="J67" i="8" s="1"/>
  <c r="H66" i="8"/>
  <c r="I66" i="8" s="1"/>
  <c r="J66" i="8" s="1"/>
  <c r="I37" i="1"/>
  <c r="H68" i="8" l="1"/>
  <c r="I68" i="8" s="1"/>
  <c r="J68" i="8" s="1"/>
  <c r="M21" i="34"/>
  <c r="H45" i="8"/>
  <c r="H47" i="8" s="1"/>
  <c r="H48" i="8" s="1"/>
  <c r="H31" i="8"/>
  <c r="H30" i="8"/>
  <c r="H33" i="8" s="1"/>
  <c r="H34" i="8" s="1"/>
  <c r="H29" i="8"/>
  <c r="X200" i="1"/>
  <c r="K67" i="22" l="1"/>
  <c r="S67" i="22"/>
  <c r="N21" i="34"/>
  <c r="O21" i="34" s="1"/>
  <c r="P21" i="34" s="1"/>
  <c r="M22" i="34"/>
  <c r="W199" i="1"/>
  <c r="V199" i="1"/>
  <c r="X199" i="1"/>
  <c r="U199" i="1"/>
  <c r="Y200" i="1"/>
  <c r="AA200" i="1" s="1"/>
  <c r="M73" i="22" s="1"/>
  <c r="L18" i="38"/>
  <c r="X192" i="1"/>
  <c r="J6" i="14"/>
  <c r="G6" i="14" s="1"/>
  <c r="H6" i="14" s="1"/>
  <c r="G23" i="39" l="1"/>
  <c r="I23" i="39" s="1"/>
  <c r="N22" i="34"/>
  <c r="O135" i="1"/>
  <c r="I188" i="40"/>
  <c r="Y199" i="1"/>
  <c r="G21" i="39" l="1"/>
  <c r="K23" i="39"/>
  <c r="K21" i="39" s="1"/>
  <c r="I21" i="39"/>
  <c r="I187" i="40"/>
  <c r="I186" i="40" s="1"/>
  <c r="G29" i="26"/>
  <c r="AA199" i="1"/>
  <c r="K73" i="22" l="1"/>
  <c r="S73" i="22"/>
  <c r="Y39" i="3"/>
  <c r="AA39" i="3" s="1"/>
  <c r="M128" i="22" s="1"/>
  <c r="Y14" i="3"/>
  <c r="AA14" i="3" s="1"/>
  <c r="S153" i="1"/>
  <c r="Y153" i="1" s="1"/>
  <c r="AA153" i="1" s="1"/>
  <c r="S159" i="1"/>
  <c r="S158" i="1"/>
  <c r="S26" i="1"/>
  <c r="Y26" i="1" s="1"/>
  <c r="AA26" i="1" s="1"/>
  <c r="S24" i="1"/>
  <c r="Y24" i="1" s="1"/>
  <c r="AA24" i="1" s="1"/>
  <c r="S22" i="1"/>
  <c r="Y22" i="1" s="1"/>
  <c r="AA22" i="1" s="1"/>
  <c r="S21" i="1"/>
  <c r="Y21" i="1" s="1"/>
  <c r="AA21" i="1" s="1"/>
  <c r="S20" i="1"/>
  <c r="Y20" i="1" s="1"/>
  <c r="AA20" i="1" s="1"/>
  <c r="S19" i="1"/>
  <c r="Y19" i="1" s="1"/>
  <c r="AA19" i="1" s="1"/>
  <c r="S23" i="1"/>
  <c r="Y23" i="1" s="1"/>
  <c r="AA23" i="1" s="1"/>
  <c r="M13" i="22" s="1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13" i="22" l="1"/>
  <c r="S13" i="22"/>
  <c r="I21" i="40"/>
  <c r="S25" i="1"/>
  <c r="Y25" i="1" s="1"/>
  <c r="AA25" i="1" s="1"/>
  <c r="M16" i="22" s="1"/>
  <c r="S157" i="1"/>
  <c r="Y157" i="1" s="1"/>
  <c r="AA157" i="1" s="1"/>
  <c r="I146" i="40" l="1"/>
  <c r="I142" i="40"/>
  <c r="H23" i="4"/>
  <c r="I23" i="4" s="1"/>
  <c r="J23" i="4" s="1"/>
  <c r="H22" i="4"/>
  <c r="I22" i="4" s="1"/>
  <c r="J22" i="4" s="1"/>
  <c r="H21" i="4"/>
  <c r="I21" i="4" s="1"/>
  <c r="J21" i="4" s="1"/>
  <c r="H20" i="4"/>
  <c r="I20" i="4" s="1"/>
  <c r="J20" i="4" s="1"/>
  <c r="H19" i="4"/>
  <c r="I19" i="4" s="1"/>
  <c r="J19" i="4" s="1"/>
  <c r="H18" i="4"/>
  <c r="I18" i="4" s="1"/>
  <c r="J18" i="4" s="1"/>
  <c r="H16" i="4"/>
  <c r="I16" i="4" s="1"/>
  <c r="J16" i="4" s="1"/>
  <c r="H15" i="4"/>
  <c r="I15" i="4" s="1"/>
  <c r="J15" i="4" s="1"/>
  <c r="H13" i="4"/>
  <c r="I13" i="4" s="1"/>
  <c r="J13" i="4" s="1"/>
  <c r="Q222" i="1" s="1"/>
  <c r="H12" i="4"/>
  <c r="I12" i="4" s="1"/>
  <c r="J12" i="4" s="1"/>
  <c r="H11" i="4"/>
  <c r="I11" i="4" s="1"/>
  <c r="J11" i="4" s="1"/>
  <c r="Q223" i="1" s="1"/>
  <c r="H10" i="4"/>
  <c r="I10" i="4" s="1"/>
  <c r="J10" i="4" s="1"/>
  <c r="H8" i="4"/>
  <c r="I8" i="4" s="1"/>
  <c r="J8" i="4" s="1"/>
  <c r="H7" i="4"/>
  <c r="I7" i="4" s="1"/>
  <c r="J7" i="4" s="1"/>
  <c r="Q123" i="1" s="1"/>
  <c r="Q210" i="1" l="1"/>
  <c r="S147" i="22"/>
  <c r="S128" i="22"/>
  <c r="Y159" i="1"/>
  <c r="AA159" i="1" s="1"/>
  <c r="Y158" i="1"/>
  <c r="AA158" i="1" s="1"/>
  <c r="M62" i="22" s="1"/>
  <c r="Y108" i="1"/>
  <c r="AA108" i="1" s="1"/>
  <c r="AH22" i="11"/>
  <c r="AS22" i="11" s="1"/>
  <c r="AG22" i="11"/>
  <c r="AR22" i="11" s="1"/>
  <c r="AF22" i="11"/>
  <c r="AQ22" i="11" s="1"/>
  <c r="AE22" i="11"/>
  <c r="AP22" i="11" s="1"/>
  <c r="AH21" i="11"/>
  <c r="AS21" i="11" s="1"/>
  <c r="AG21" i="11"/>
  <c r="AR21" i="11" s="1"/>
  <c r="AF21" i="11"/>
  <c r="AQ21" i="11" s="1"/>
  <c r="AH20" i="11"/>
  <c r="AS20" i="11" s="1"/>
  <c r="AG20" i="11"/>
  <c r="AR20" i="11" s="1"/>
  <c r="AF20" i="11"/>
  <c r="AQ20" i="11" s="1"/>
  <c r="AE20" i="11"/>
  <c r="AP20" i="11" s="1"/>
  <c r="AH19" i="11"/>
  <c r="AS19" i="11" s="1"/>
  <c r="AG19" i="11"/>
  <c r="AR19" i="11" s="1"/>
  <c r="AF19" i="11"/>
  <c r="AQ19" i="11" s="1"/>
  <c r="AE19" i="11"/>
  <c r="AP19" i="11" s="1"/>
  <c r="AG18" i="11"/>
  <c r="AR18" i="11" s="1"/>
  <c r="AE18" i="11"/>
  <c r="AP18" i="11" s="1"/>
  <c r="AC22" i="11"/>
  <c r="AN22" i="11" s="1"/>
  <c r="AC21" i="11"/>
  <c r="AN21" i="11" s="1"/>
  <c r="AC20" i="11"/>
  <c r="AN20" i="11" s="1"/>
  <c r="AC19" i="11"/>
  <c r="AN19" i="11" s="1"/>
  <c r="AC18" i="11"/>
  <c r="AN18" i="11" s="1"/>
  <c r="AI17" i="11"/>
  <c r="AC8" i="11"/>
  <c r="K152" i="22" l="1"/>
  <c r="S152" i="22"/>
  <c r="K128" i="22"/>
  <c r="K147" i="22"/>
  <c r="AR23" i="11"/>
  <c r="AS23" i="11"/>
  <c r="AN23" i="11"/>
  <c r="AC23" i="11"/>
  <c r="I98" i="40"/>
  <c r="AF23" i="11"/>
  <c r="I148" i="40"/>
  <c r="AH23" i="11"/>
  <c r="AG23" i="11"/>
  <c r="I147" i="40" l="1"/>
  <c r="O199" i="1"/>
  <c r="N199" i="1"/>
  <c r="M199" i="1"/>
  <c r="M189" i="1" s="1"/>
  <c r="L199" i="1"/>
  <c r="K199" i="1"/>
  <c r="J199" i="1"/>
  <c r="I199" i="1"/>
  <c r="M22" i="14" l="1"/>
  <c r="H2" i="14"/>
  <c r="Q113" i="3"/>
  <c r="X17" i="11" l="1"/>
  <c r="W23" i="11"/>
  <c r="V23" i="11"/>
  <c r="U23" i="11"/>
  <c r="R23" i="11"/>
  <c r="R8" i="11"/>
  <c r="F45" i="8"/>
  <c r="F47" i="8" s="1"/>
  <c r="F48" i="8" s="1"/>
  <c r="H50" i="8" s="1"/>
  <c r="G45" i="8"/>
  <c r="G47" i="8" s="1"/>
  <c r="G48" i="8" s="1"/>
  <c r="G31" i="8"/>
  <c r="G30" i="8"/>
  <c r="G33" i="8" s="1"/>
  <c r="G34" i="8" s="1"/>
  <c r="G29" i="8"/>
  <c r="H51" i="8" l="1"/>
  <c r="H52" i="8" s="1"/>
  <c r="H49" i="8"/>
  <c r="G11" i="8" l="1"/>
  <c r="G13" i="8" s="1"/>
  <c r="G14" i="8" s="1"/>
  <c r="R86" i="1" l="1"/>
  <c r="R162" i="1"/>
  <c r="W52" i="1"/>
  <c r="U52" i="1"/>
  <c r="R52" i="1"/>
  <c r="I9" i="40"/>
  <c r="Q52" i="1" l="1"/>
  <c r="X61" i="3"/>
  <c r="N185" i="1"/>
  <c r="M185" i="1"/>
  <c r="L185" i="1"/>
  <c r="K185" i="1"/>
  <c r="J185" i="1"/>
  <c r="I185" i="1"/>
  <c r="N187" i="1"/>
  <c r="M187" i="1"/>
  <c r="L187" i="1"/>
  <c r="K187" i="1"/>
  <c r="J187" i="1"/>
  <c r="I187" i="1"/>
  <c r="N52" i="1"/>
  <c r="M52" i="1"/>
  <c r="K52" i="1"/>
  <c r="J52" i="1"/>
  <c r="I52" i="1"/>
  <c r="X45" i="3"/>
  <c r="J12" i="32" l="1"/>
  <c r="M3" i="31" l="1"/>
  <c r="M311" i="31"/>
  <c r="M310" i="31"/>
  <c r="M217" i="31"/>
  <c r="M166" i="31"/>
  <c r="M67" i="31"/>
  <c r="M66" i="31"/>
  <c r="M17" i="31"/>
  <c r="M16" i="31"/>
  <c r="G9" i="25" l="1"/>
  <c r="G7" i="25" s="1"/>
  <c r="G65" i="25"/>
  <c r="H65" i="25"/>
  <c r="G56" i="25"/>
  <c r="H56" i="25"/>
  <c r="H9" i="25"/>
  <c r="G80" i="25" l="1"/>
  <c r="G55" i="25" l="1"/>
  <c r="G89" i="25" s="1"/>
  <c r="H55" i="25"/>
  <c r="H40" i="25"/>
  <c r="H7" i="25" s="1"/>
  <c r="H6" i="25" s="1"/>
  <c r="U358" i="23"/>
  <c r="U355" i="23"/>
  <c r="U352" i="23"/>
  <c r="U348" i="23"/>
  <c r="U345" i="23"/>
  <c r="U342" i="23"/>
  <c r="U341" i="23"/>
  <c r="U340" i="23"/>
  <c r="U339" i="23"/>
  <c r="U338" i="23"/>
  <c r="U337" i="23"/>
  <c r="U336" i="23"/>
  <c r="U335" i="23"/>
  <c r="U334" i="23"/>
  <c r="U333" i="23"/>
  <c r="U332" i="23"/>
  <c r="U331" i="23"/>
  <c r="U330" i="23"/>
  <c r="U329" i="23"/>
  <c r="U328" i="23"/>
  <c r="U327" i="23"/>
  <c r="U326" i="23"/>
  <c r="U325" i="23"/>
  <c r="U324" i="23"/>
  <c r="U322" i="23"/>
  <c r="U321" i="23"/>
  <c r="U320" i="23"/>
  <c r="U319" i="23"/>
  <c r="U318" i="23"/>
  <c r="U317" i="23"/>
  <c r="U316" i="23"/>
  <c r="U315" i="23"/>
  <c r="U314" i="23"/>
  <c r="U313" i="23"/>
  <c r="U312" i="23"/>
  <c r="U311" i="23"/>
  <c r="U310" i="23"/>
  <c r="U309" i="23"/>
  <c r="U308" i="23"/>
  <c r="U307" i="23"/>
  <c r="U306" i="23"/>
  <c r="U305" i="23"/>
  <c r="U304" i="23"/>
  <c r="U303" i="23"/>
  <c r="U302" i="23"/>
  <c r="U299" i="23"/>
  <c r="U298" i="23"/>
  <c r="U297" i="23"/>
  <c r="U296" i="23"/>
  <c r="U295" i="23"/>
  <c r="U294" i="23"/>
  <c r="U293" i="23"/>
  <c r="U292" i="23"/>
  <c r="U291" i="23"/>
  <c r="U290" i="23"/>
  <c r="U289" i="23"/>
  <c r="U288" i="23"/>
  <c r="U287" i="23"/>
  <c r="U286" i="23"/>
  <c r="U285" i="23"/>
  <c r="U284" i="23"/>
  <c r="U283" i="23"/>
  <c r="U282" i="23"/>
  <c r="U281" i="23"/>
  <c r="U280" i="23"/>
  <c r="U279" i="23"/>
  <c r="U278" i="23"/>
  <c r="U277" i="23"/>
  <c r="U276" i="23"/>
  <c r="U275" i="23"/>
  <c r="U274" i="23"/>
  <c r="U273" i="23"/>
  <c r="U272" i="23"/>
  <c r="U271" i="23"/>
  <c r="U270" i="23"/>
  <c r="U269" i="23"/>
  <c r="U268" i="23"/>
  <c r="U267" i="23"/>
  <c r="U266" i="23"/>
  <c r="U265" i="23"/>
  <c r="U264" i="23"/>
  <c r="U263" i="23"/>
  <c r="U262" i="23"/>
  <c r="U261" i="23"/>
  <c r="U260" i="23"/>
  <c r="U259" i="23"/>
  <c r="U258" i="23"/>
  <c r="U257" i="23"/>
  <c r="U256" i="23"/>
  <c r="U255" i="23"/>
  <c r="U254" i="23"/>
  <c r="U253" i="23"/>
  <c r="U252" i="23"/>
  <c r="U251" i="23"/>
  <c r="U249" i="23"/>
  <c r="U248" i="23"/>
  <c r="U247" i="23"/>
  <c r="U246" i="23"/>
  <c r="U245" i="23"/>
  <c r="U244" i="23"/>
  <c r="U243" i="23"/>
  <c r="U242" i="23"/>
  <c r="U240" i="23"/>
  <c r="U239" i="23"/>
  <c r="U238" i="23"/>
  <c r="U237" i="23"/>
  <c r="U236" i="23"/>
  <c r="U235" i="23"/>
  <c r="U234" i="23"/>
  <c r="U233" i="23"/>
  <c r="U232" i="23"/>
  <c r="U231" i="23"/>
  <c r="U230" i="23"/>
  <c r="U229" i="23"/>
  <c r="U228" i="23"/>
  <c r="U227" i="23"/>
  <c r="U226" i="23"/>
  <c r="U225" i="23"/>
  <c r="U224" i="23"/>
  <c r="U223" i="23"/>
  <c r="U222" i="23"/>
  <c r="U221" i="23"/>
  <c r="U220" i="23"/>
  <c r="U219" i="23"/>
  <c r="U218" i="23"/>
  <c r="U217" i="23"/>
  <c r="U216" i="23"/>
  <c r="U215" i="23"/>
  <c r="U214" i="23"/>
  <c r="U213" i="23"/>
  <c r="U212" i="23"/>
  <c r="U211" i="23"/>
  <c r="U210" i="23"/>
  <c r="U209" i="23"/>
  <c r="U208" i="23"/>
  <c r="U207" i="23"/>
  <c r="U206" i="23"/>
  <c r="U205" i="23"/>
  <c r="U204" i="23"/>
  <c r="U203" i="23"/>
  <c r="U202" i="23"/>
  <c r="U201" i="23"/>
  <c r="U200" i="23"/>
  <c r="U199" i="23"/>
  <c r="U198" i="23"/>
  <c r="U197" i="23"/>
  <c r="U196" i="23"/>
  <c r="U195" i="23"/>
  <c r="U194" i="23"/>
  <c r="U193" i="23"/>
  <c r="U192" i="23"/>
  <c r="U191" i="23"/>
  <c r="U190" i="23"/>
  <c r="U189" i="23"/>
  <c r="U188" i="23"/>
  <c r="U187" i="23"/>
  <c r="U186" i="23"/>
  <c r="U185" i="23"/>
  <c r="U184" i="23"/>
  <c r="U183" i="23"/>
  <c r="U180" i="23"/>
  <c r="U179" i="23"/>
  <c r="U178" i="23"/>
  <c r="U177" i="23"/>
  <c r="U176" i="23"/>
  <c r="U174" i="23"/>
  <c r="U173" i="23"/>
  <c r="U172" i="23"/>
  <c r="U171" i="23"/>
  <c r="U170" i="23"/>
  <c r="U169" i="23"/>
  <c r="U168" i="23"/>
  <c r="U167" i="23"/>
  <c r="U166" i="23"/>
  <c r="U165" i="23"/>
  <c r="U164" i="23"/>
  <c r="U163" i="23"/>
  <c r="U162" i="23"/>
  <c r="U161" i="23"/>
  <c r="U160" i="23"/>
  <c r="U159" i="23"/>
  <c r="U158" i="23"/>
  <c r="U157" i="23"/>
  <c r="U156" i="23"/>
  <c r="U155" i="23"/>
  <c r="U154" i="23"/>
  <c r="U153" i="23"/>
  <c r="U152" i="23"/>
  <c r="U151" i="23"/>
  <c r="U150" i="23"/>
  <c r="U149" i="23"/>
  <c r="U148" i="23"/>
  <c r="U147" i="23"/>
  <c r="U146" i="23"/>
  <c r="U145" i="23"/>
  <c r="U144" i="23"/>
  <c r="U143" i="23"/>
  <c r="U142" i="23"/>
  <c r="U140" i="23"/>
  <c r="U139" i="23"/>
  <c r="U138" i="23"/>
  <c r="U137" i="23"/>
  <c r="U136" i="23"/>
  <c r="U135" i="23"/>
  <c r="U134" i="23"/>
  <c r="U133" i="23"/>
  <c r="U132" i="23"/>
  <c r="U131" i="23"/>
  <c r="U130" i="23"/>
  <c r="U129" i="23"/>
  <c r="U128" i="23"/>
  <c r="U124" i="23"/>
  <c r="U123" i="23"/>
  <c r="U122" i="23"/>
  <c r="U121" i="23"/>
  <c r="U120" i="23"/>
  <c r="U119" i="23"/>
  <c r="U118" i="23"/>
  <c r="U117" i="23"/>
  <c r="U116" i="23"/>
  <c r="U115" i="23"/>
  <c r="U114" i="23"/>
  <c r="U113" i="23"/>
  <c r="U112" i="23"/>
  <c r="U111" i="23"/>
  <c r="U110" i="23"/>
  <c r="U109" i="23"/>
  <c r="U108" i="23"/>
  <c r="U107" i="23"/>
  <c r="U106" i="23"/>
  <c r="U105" i="23"/>
  <c r="U104" i="23"/>
  <c r="U103" i="23"/>
  <c r="U102" i="23"/>
  <c r="U101" i="23"/>
  <c r="U100" i="23"/>
  <c r="U99" i="23"/>
  <c r="U98" i="23"/>
  <c r="U97" i="23"/>
  <c r="U96" i="23"/>
  <c r="U95" i="23"/>
  <c r="U94" i="23"/>
  <c r="U93" i="23"/>
  <c r="U92" i="23"/>
  <c r="U91" i="23"/>
  <c r="U90" i="23"/>
  <c r="U89" i="23"/>
  <c r="U88" i="23"/>
  <c r="U87" i="23"/>
  <c r="U86" i="23"/>
  <c r="U85" i="23"/>
  <c r="U84" i="23"/>
  <c r="U83" i="23"/>
  <c r="U82" i="23"/>
  <c r="U81" i="23"/>
  <c r="U80" i="23"/>
  <c r="U79" i="23"/>
  <c r="U78" i="23"/>
  <c r="U77" i="23"/>
  <c r="U76" i="23"/>
  <c r="U75" i="23"/>
  <c r="U60" i="23"/>
  <c r="U59" i="23"/>
  <c r="U58" i="23"/>
  <c r="U57" i="23"/>
  <c r="U56" i="23"/>
  <c r="U55" i="23"/>
  <c r="U54" i="23"/>
  <c r="U53" i="23"/>
  <c r="U52" i="23"/>
  <c r="U51" i="23"/>
  <c r="U50" i="23"/>
  <c r="U49" i="23"/>
  <c r="U48" i="23"/>
  <c r="U47" i="23"/>
  <c r="U46" i="23"/>
  <c r="U45" i="23"/>
  <c r="U44" i="23"/>
  <c r="U43" i="23"/>
  <c r="U42" i="23"/>
  <c r="U41" i="23"/>
  <c r="U40" i="23"/>
  <c r="U39" i="23"/>
  <c r="U38" i="23"/>
  <c r="U37" i="23"/>
  <c r="U36" i="23"/>
  <c r="U35" i="23"/>
  <c r="U34" i="23"/>
  <c r="U33" i="23"/>
  <c r="U32" i="23"/>
  <c r="U31" i="23"/>
  <c r="U30" i="23"/>
  <c r="U29" i="23"/>
  <c r="U28" i="23"/>
  <c r="U27" i="23"/>
  <c r="U26" i="23"/>
  <c r="U25" i="23"/>
  <c r="U24" i="23"/>
  <c r="U23" i="23"/>
  <c r="U21" i="23"/>
  <c r="U20" i="23"/>
  <c r="U19" i="23"/>
  <c r="U18" i="23"/>
  <c r="U17" i="23"/>
  <c r="U16" i="23"/>
  <c r="U15" i="23"/>
  <c r="U13" i="23"/>
  <c r="U12" i="23"/>
  <c r="U11" i="23"/>
  <c r="G113" i="24"/>
  <c r="J113" i="24" s="1"/>
  <c r="M113" i="24" s="1"/>
  <c r="F120" i="24"/>
  <c r="M119" i="24"/>
  <c r="G119" i="24"/>
  <c r="M118" i="24"/>
  <c r="E118" i="24"/>
  <c r="G118" i="24" s="1"/>
  <c r="G117" i="24"/>
  <c r="J117" i="24" s="1"/>
  <c r="M117" i="24" s="1"/>
  <c r="J114" i="24"/>
  <c r="H80" i="25"/>
  <c r="N379" i="23"/>
  <c r="M379" i="23"/>
  <c r="L379" i="23"/>
  <c r="K379" i="23"/>
  <c r="J379" i="23"/>
  <c r="I379" i="23"/>
  <c r="N378" i="23"/>
  <c r="M378" i="23"/>
  <c r="L378" i="23"/>
  <c r="K378" i="23"/>
  <c r="J378" i="23"/>
  <c r="I378" i="23"/>
  <c r="N377" i="23"/>
  <c r="M377" i="23"/>
  <c r="L377" i="23"/>
  <c r="K377" i="23"/>
  <c r="J377" i="23"/>
  <c r="I377" i="23"/>
  <c r="N372" i="23"/>
  <c r="M372" i="23"/>
  <c r="L372" i="23"/>
  <c r="K372" i="23"/>
  <c r="J372" i="23"/>
  <c r="I372" i="23"/>
  <c r="H372" i="23"/>
  <c r="N371" i="23"/>
  <c r="M371" i="23"/>
  <c r="L371" i="23"/>
  <c r="K371" i="23"/>
  <c r="J371" i="23"/>
  <c r="I371" i="23"/>
  <c r="H371" i="23"/>
  <c r="N370" i="23"/>
  <c r="M370" i="23"/>
  <c r="L370" i="23"/>
  <c r="K370" i="23"/>
  <c r="J370" i="23"/>
  <c r="I370" i="23"/>
  <c r="H370" i="23"/>
  <c r="N369" i="23"/>
  <c r="M369" i="23"/>
  <c r="L369" i="23"/>
  <c r="K369" i="23"/>
  <c r="J369" i="23"/>
  <c r="I369" i="23"/>
  <c r="H369" i="23"/>
  <c r="N368" i="23"/>
  <c r="M368" i="23"/>
  <c r="L368" i="23"/>
  <c r="J368" i="23"/>
  <c r="I368" i="23"/>
  <c r="H368" i="23"/>
  <c r="N367" i="23"/>
  <c r="M367" i="23"/>
  <c r="L367" i="23"/>
  <c r="K367" i="23"/>
  <c r="J367" i="23"/>
  <c r="I367" i="23"/>
  <c r="H367" i="23"/>
  <c r="N366" i="23"/>
  <c r="M366" i="23"/>
  <c r="L366" i="23"/>
  <c r="K366" i="23"/>
  <c r="J366" i="23"/>
  <c r="I366" i="23"/>
  <c r="H366" i="23"/>
  <c r="N365" i="23"/>
  <c r="M365" i="23"/>
  <c r="L365" i="23"/>
  <c r="K365" i="23"/>
  <c r="J365" i="23"/>
  <c r="H365" i="23"/>
  <c r="N374" i="23"/>
  <c r="M374" i="23"/>
  <c r="L374" i="23"/>
  <c r="K374" i="23"/>
  <c r="J374" i="23"/>
  <c r="I374" i="23"/>
  <c r="N373" i="23"/>
  <c r="M373" i="23"/>
  <c r="L373" i="23"/>
  <c r="K373" i="23"/>
  <c r="J373" i="23"/>
  <c r="I373" i="23"/>
  <c r="G92" i="24"/>
  <c r="M92" i="24" s="1"/>
  <c r="G91" i="24"/>
  <c r="M91" i="24" s="1"/>
  <c r="S358" i="23"/>
  <c r="S355" i="23"/>
  <c r="S352" i="23"/>
  <c r="S348" i="23"/>
  <c r="S345" i="23"/>
  <c r="S342" i="23"/>
  <c r="S341" i="23"/>
  <c r="S340" i="23"/>
  <c r="S339" i="23"/>
  <c r="S338" i="23"/>
  <c r="S337" i="23"/>
  <c r="S336" i="23"/>
  <c r="S335" i="23"/>
  <c r="S334" i="23"/>
  <c r="S333" i="23"/>
  <c r="S332" i="23"/>
  <c r="S331" i="23"/>
  <c r="S330" i="23"/>
  <c r="S329" i="23"/>
  <c r="S328" i="23"/>
  <c r="S327" i="23"/>
  <c r="S326" i="23"/>
  <c r="S325" i="23"/>
  <c r="S322" i="23"/>
  <c r="S321" i="23"/>
  <c r="S320" i="23"/>
  <c r="S319" i="23"/>
  <c r="S318" i="23"/>
  <c r="S317" i="23"/>
  <c r="S316" i="23"/>
  <c r="S315" i="23"/>
  <c r="S314" i="23"/>
  <c r="S313" i="23"/>
  <c r="S312" i="23"/>
  <c r="S311" i="23"/>
  <c r="S310" i="23"/>
  <c r="S309" i="23"/>
  <c r="S308" i="23"/>
  <c r="S307" i="23"/>
  <c r="S306" i="23"/>
  <c r="S305" i="23"/>
  <c r="S303" i="23"/>
  <c r="S302" i="23"/>
  <c r="S299" i="23"/>
  <c r="S298" i="23"/>
  <c r="S297" i="23"/>
  <c r="S296" i="23"/>
  <c r="S295" i="23"/>
  <c r="S294" i="23"/>
  <c r="S293" i="23"/>
  <c r="S292" i="23"/>
  <c r="S291" i="23"/>
  <c r="S290" i="23"/>
  <c r="S289" i="23"/>
  <c r="S288" i="23"/>
  <c r="S287" i="23"/>
  <c r="S286" i="23"/>
  <c r="S285" i="23"/>
  <c r="S284" i="23"/>
  <c r="S283" i="23"/>
  <c r="S282" i="23"/>
  <c r="S281" i="23"/>
  <c r="S280" i="23"/>
  <c r="S279" i="23"/>
  <c r="S278" i="23"/>
  <c r="S277" i="23"/>
  <c r="S276" i="23"/>
  <c r="S275" i="23"/>
  <c r="S274" i="23"/>
  <c r="S273" i="23"/>
  <c r="S272" i="23"/>
  <c r="S271" i="23"/>
  <c r="S270" i="23"/>
  <c r="S269" i="23"/>
  <c r="S268" i="23"/>
  <c r="S267" i="23"/>
  <c r="S266" i="23"/>
  <c r="S265" i="23"/>
  <c r="S264" i="23"/>
  <c r="S263" i="23"/>
  <c r="S262" i="23"/>
  <c r="S261" i="23"/>
  <c r="S260" i="23"/>
  <c r="S259" i="23"/>
  <c r="S258" i="23"/>
  <c r="S257" i="23"/>
  <c r="S256" i="23"/>
  <c r="S255" i="23"/>
  <c r="S254" i="23"/>
  <c r="S253" i="23"/>
  <c r="S252" i="23"/>
  <c r="S251" i="23"/>
  <c r="S249" i="23"/>
  <c r="S248" i="23"/>
  <c r="S247" i="23"/>
  <c r="S246" i="23"/>
  <c r="S245" i="23"/>
  <c r="S244" i="23"/>
  <c r="S243" i="23"/>
  <c r="S240" i="23"/>
  <c r="S239" i="23"/>
  <c r="S238" i="23"/>
  <c r="S237" i="23"/>
  <c r="S236" i="23"/>
  <c r="S235" i="23"/>
  <c r="S234" i="23"/>
  <c r="S233" i="23"/>
  <c r="S232" i="23"/>
  <c r="S231" i="23"/>
  <c r="S230" i="23"/>
  <c r="S229" i="23"/>
  <c r="S228" i="23"/>
  <c r="S227" i="23"/>
  <c r="S226" i="23"/>
  <c r="S225" i="23"/>
  <c r="S224" i="23"/>
  <c r="S223" i="23"/>
  <c r="S222" i="23"/>
  <c r="S221" i="23"/>
  <c r="S220" i="23"/>
  <c r="S219" i="23"/>
  <c r="S218" i="23"/>
  <c r="S217" i="23"/>
  <c r="S216" i="23"/>
  <c r="S215" i="23"/>
  <c r="S214" i="23"/>
  <c r="S213" i="23"/>
  <c r="S212" i="23"/>
  <c r="S211" i="23"/>
  <c r="S210" i="23"/>
  <c r="S209" i="23"/>
  <c r="S208" i="23"/>
  <c r="S207" i="23"/>
  <c r="S206" i="23"/>
  <c r="S205" i="23"/>
  <c r="S204" i="23"/>
  <c r="S203" i="23"/>
  <c r="S202" i="23"/>
  <c r="S201" i="23"/>
  <c r="S200" i="23"/>
  <c r="S199" i="23"/>
  <c r="S198" i="23"/>
  <c r="S197" i="23"/>
  <c r="S196" i="23"/>
  <c r="S195" i="23"/>
  <c r="S194" i="23"/>
  <c r="S193" i="23"/>
  <c r="S192" i="23"/>
  <c r="S191" i="23"/>
  <c r="S190" i="23"/>
  <c r="S189" i="23"/>
  <c r="S188" i="23"/>
  <c r="S187" i="23"/>
  <c r="S186" i="23"/>
  <c r="S185" i="23"/>
  <c r="S184" i="23"/>
  <c r="S180" i="23"/>
  <c r="S179" i="23"/>
  <c r="S178" i="23"/>
  <c r="S177" i="23"/>
  <c r="S176" i="23"/>
  <c r="S174" i="23"/>
  <c r="S173" i="23"/>
  <c r="S172" i="23"/>
  <c r="S171" i="23"/>
  <c r="S170" i="23"/>
  <c r="S169" i="23"/>
  <c r="S168" i="23"/>
  <c r="S167" i="23"/>
  <c r="S166" i="23"/>
  <c r="S165" i="23"/>
  <c r="S164" i="23"/>
  <c r="S163" i="23"/>
  <c r="S162" i="23"/>
  <c r="S161" i="23"/>
  <c r="S160" i="23"/>
  <c r="S159" i="23"/>
  <c r="S158" i="23"/>
  <c r="S157" i="23"/>
  <c r="S156" i="23"/>
  <c r="S155" i="23"/>
  <c r="S154" i="23"/>
  <c r="S153" i="23"/>
  <c r="S152" i="23"/>
  <c r="S151" i="23"/>
  <c r="S150" i="23"/>
  <c r="S147" i="23"/>
  <c r="S146" i="23"/>
  <c r="S143" i="23"/>
  <c r="S142" i="23"/>
  <c r="S141" i="23"/>
  <c r="S140" i="23"/>
  <c r="S139" i="23"/>
  <c r="S138" i="23"/>
  <c r="S137" i="23"/>
  <c r="S136" i="23"/>
  <c r="S135" i="23"/>
  <c r="S134" i="23"/>
  <c r="S133" i="23"/>
  <c r="S132" i="23"/>
  <c r="S131" i="23"/>
  <c r="S130" i="23"/>
  <c r="S124" i="23"/>
  <c r="S123" i="23"/>
  <c r="S122" i="23"/>
  <c r="S121" i="23"/>
  <c r="S120" i="23"/>
  <c r="S119" i="23"/>
  <c r="S118" i="23"/>
  <c r="S117" i="23"/>
  <c r="S116" i="23"/>
  <c r="S115" i="23"/>
  <c r="S114" i="23"/>
  <c r="S113" i="23"/>
  <c r="S112" i="23"/>
  <c r="S111" i="23"/>
  <c r="S109" i="23"/>
  <c r="S108" i="23"/>
  <c r="S107" i="23"/>
  <c r="S106" i="23"/>
  <c r="S105" i="23"/>
  <c r="S104" i="23"/>
  <c r="S103" i="23"/>
  <c r="S102" i="23"/>
  <c r="S101" i="23"/>
  <c r="S100" i="23"/>
  <c r="S99" i="23"/>
  <c r="S98" i="23"/>
  <c r="S97" i="23"/>
  <c r="S96" i="23"/>
  <c r="S95" i="23"/>
  <c r="S94" i="23"/>
  <c r="S93" i="23"/>
  <c r="S92" i="23"/>
  <c r="S91" i="23"/>
  <c r="S90" i="23"/>
  <c r="S89" i="23"/>
  <c r="S88" i="23"/>
  <c r="S87" i="23"/>
  <c r="S86" i="23"/>
  <c r="S85" i="23"/>
  <c r="S84" i="23"/>
  <c r="S83" i="23"/>
  <c r="S82" i="23"/>
  <c r="S81" i="23"/>
  <c r="S80" i="23"/>
  <c r="S79" i="23"/>
  <c r="S78" i="23"/>
  <c r="S77" i="23"/>
  <c r="S76" i="23"/>
  <c r="S75" i="23"/>
  <c r="S73" i="23"/>
  <c r="S60" i="23"/>
  <c r="S59" i="23"/>
  <c r="S58" i="23"/>
  <c r="S57" i="23"/>
  <c r="S56" i="23"/>
  <c r="S55" i="23"/>
  <c r="S54" i="23"/>
  <c r="S53" i="23"/>
  <c r="S52" i="23"/>
  <c r="S51" i="23"/>
  <c r="S50" i="23"/>
  <c r="S49" i="23"/>
  <c r="S48" i="23"/>
  <c r="S47" i="23"/>
  <c r="S46" i="23"/>
  <c r="S45" i="23"/>
  <c r="S44" i="23"/>
  <c r="S43" i="23"/>
  <c r="S42" i="23"/>
  <c r="S41" i="23"/>
  <c r="S40" i="23"/>
  <c r="S39" i="23"/>
  <c r="S38" i="23"/>
  <c r="S37" i="23"/>
  <c r="S36" i="23"/>
  <c r="S35" i="23"/>
  <c r="S34" i="23"/>
  <c r="S33" i="23"/>
  <c r="S32" i="23"/>
  <c r="S31" i="23"/>
  <c r="S30" i="23"/>
  <c r="S29" i="23"/>
  <c r="S28" i="23"/>
  <c r="S27" i="23"/>
  <c r="S26" i="23"/>
  <c r="S25" i="23"/>
  <c r="S24" i="23"/>
  <c r="S23" i="23"/>
  <c r="S22" i="23"/>
  <c r="S21" i="23"/>
  <c r="S20" i="23"/>
  <c r="S19" i="23"/>
  <c r="S18" i="23"/>
  <c r="S17" i="23"/>
  <c r="S16" i="23"/>
  <c r="S15" i="23"/>
  <c r="S14" i="23"/>
  <c r="S13" i="23"/>
  <c r="S12" i="23"/>
  <c r="S11" i="23"/>
  <c r="G90" i="24"/>
  <c r="M90" i="24" s="1"/>
  <c r="G89" i="24"/>
  <c r="J89" i="24" s="1"/>
  <c r="F97" i="24"/>
  <c r="U141" i="23" l="1"/>
  <c r="M114" i="24"/>
  <c r="J91" i="24"/>
  <c r="S304" i="23"/>
  <c r="J92" i="24"/>
  <c r="J90" i="24"/>
  <c r="S324" i="23" s="1"/>
  <c r="M89" i="24"/>
  <c r="S183" i="23" s="1"/>
  <c r="U241" i="23"/>
  <c r="H89" i="25"/>
  <c r="H92" i="25" s="1"/>
  <c r="G92" i="25"/>
  <c r="F90" i="25" s="1"/>
  <c r="U14" i="23"/>
  <c r="E97" i="24"/>
  <c r="U22" i="23" l="1"/>
  <c r="S242" i="23"/>
  <c r="M98" i="24"/>
  <c r="F48" i="24"/>
  <c r="G47" i="24"/>
  <c r="G46" i="24"/>
  <c r="G45" i="24"/>
  <c r="G44" i="24"/>
  <c r="M44" i="24" s="1"/>
  <c r="G43" i="24"/>
  <c r="J102" i="24"/>
  <c r="J43" i="24" l="1"/>
  <c r="T358" i="23"/>
  <c r="V358" i="23" s="1"/>
  <c r="X358" i="23" s="1"/>
  <c r="T355" i="23"/>
  <c r="T352" i="23"/>
  <c r="T348" i="23"/>
  <c r="T345" i="23"/>
  <c r="T342" i="23"/>
  <c r="T341" i="23"/>
  <c r="T340" i="23"/>
  <c r="T339" i="23"/>
  <c r="T338" i="23"/>
  <c r="T337" i="23"/>
  <c r="T336" i="23"/>
  <c r="T335" i="23"/>
  <c r="T334" i="23"/>
  <c r="T333" i="23"/>
  <c r="T332" i="23"/>
  <c r="T331" i="23"/>
  <c r="T330" i="23"/>
  <c r="T329" i="23"/>
  <c r="T328" i="23"/>
  <c r="T327" i="23"/>
  <c r="T326" i="23"/>
  <c r="T325" i="23"/>
  <c r="T324" i="23"/>
  <c r="T322" i="23"/>
  <c r="T321" i="23"/>
  <c r="T320" i="23"/>
  <c r="T319" i="23"/>
  <c r="T318" i="23"/>
  <c r="T317" i="23"/>
  <c r="T316" i="23"/>
  <c r="T314" i="23"/>
  <c r="T313" i="23"/>
  <c r="T312" i="23"/>
  <c r="T311" i="23"/>
  <c r="T310" i="23"/>
  <c r="T309" i="23"/>
  <c r="T308" i="23"/>
  <c r="T307" i="23"/>
  <c r="T306" i="23"/>
  <c r="T305" i="23"/>
  <c r="T304" i="23"/>
  <c r="T303" i="23"/>
  <c r="T302" i="23"/>
  <c r="T299" i="23"/>
  <c r="T298" i="23"/>
  <c r="T297" i="23"/>
  <c r="T296" i="23"/>
  <c r="T295" i="23"/>
  <c r="T294" i="23"/>
  <c r="T293" i="23"/>
  <c r="T292" i="23"/>
  <c r="T291" i="23"/>
  <c r="T290" i="23"/>
  <c r="T289" i="23"/>
  <c r="T288" i="23"/>
  <c r="T287" i="23"/>
  <c r="T286" i="23"/>
  <c r="T285" i="23"/>
  <c r="T284" i="23"/>
  <c r="T283" i="23"/>
  <c r="T282" i="23"/>
  <c r="T281" i="23"/>
  <c r="T280" i="23"/>
  <c r="T279" i="23"/>
  <c r="T278" i="23"/>
  <c r="T277" i="23"/>
  <c r="T276" i="23"/>
  <c r="T275" i="23"/>
  <c r="T274" i="23"/>
  <c r="T273" i="23"/>
  <c r="T272" i="23"/>
  <c r="T271" i="23"/>
  <c r="T270" i="23"/>
  <c r="T269" i="23"/>
  <c r="T268" i="23"/>
  <c r="T267" i="23"/>
  <c r="T266" i="23"/>
  <c r="T265" i="23"/>
  <c r="T264" i="23"/>
  <c r="T263" i="23"/>
  <c r="T262" i="23"/>
  <c r="T261" i="23"/>
  <c r="T260" i="23"/>
  <c r="T259" i="23"/>
  <c r="T257" i="23"/>
  <c r="T255" i="23"/>
  <c r="T254" i="23"/>
  <c r="T253" i="23"/>
  <c r="T252" i="23"/>
  <c r="T251" i="23"/>
  <c r="T249" i="23"/>
  <c r="T248" i="23"/>
  <c r="T247" i="23"/>
  <c r="T246" i="23"/>
  <c r="T245" i="23"/>
  <c r="T244" i="23"/>
  <c r="T243" i="23"/>
  <c r="T242" i="23"/>
  <c r="T239" i="23"/>
  <c r="T238" i="23"/>
  <c r="T237" i="23"/>
  <c r="T236" i="23"/>
  <c r="T235" i="23"/>
  <c r="T234" i="23"/>
  <c r="T233" i="23"/>
  <c r="T232" i="23"/>
  <c r="T231" i="23"/>
  <c r="T230" i="23"/>
  <c r="T229" i="23"/>
  <c r="T228" i="23"/>
  <c r="T227" i="23"/>
  <c r="T226" i="23"/>
  <c r="T225" i="23"/>
  <c r="T224" i="23"/>
  <c r="T223" i="23"/>
  <c r="T222" i="23"/>
  <c r="T221" i="23"/>
  <c r="T220" i="23"/>
  <c r="T219" i="23"/>
  <c r="T218" i="23"/>
  <c r="T217" i="23"/>
  <c r="T216" i="23"/>
  <c r="T215" i="23"/>
  <c r="T214" i="23"/>
  <c r="T213" i="23"/>
  <c r="T212" i="23"/>
  <c r="T211" i="23"/>
  <c r="T210" i="23"/>
  <c r="T209" i="23"/>
  <c r="T208" i="23"/>
  <c r="T207" i="23"/>
  <c r="T206" i="23"/>
  <c r="T205" i="23"/>
  <c r="T204" i="23"/>
  <c r="T203" i="23"/>
  <c r="T202" i="23"/>
  <c r="T201" i="23"/>
  <c r="T200" i="23"/>
  <c r="T199" i="23"/>
  <c r="T198" i="23"/>
  <c r="T197" i="23"/>
  <c r="T196" i="23"/>
  <c r="T195" i="23"/>
  <c r="T194" i="23"/>
  <c r="T193" i="23"/>
  <c r="T192" i="23"/>
  <c r="T191" i="23"/>
  <c r="T190" i="23"/>
  <c r="T189" i="23"/>
  <c r="T188" i="23"/>
  <c r="T187" i="23"/>
  <c r="T186" i="23"/>
  <c r="T185" i="23"/>
  <c r="T184" i="23"/>
  <c r="T183" i="23"/>
  <c r="T180" i="23"/>
  <c r="T179" i="23"/>
  <c r="T178" i="23"/>
  <c r="T177" i="23"/>
  <c r="T176" i="23"/>
  <c r="T174" i="23"/>
  <c r="T173" i="23"/>
  <c r="T172" i="23"/>
  <c r="T171" i="23"/>
  <c r="T170" i="23"/>
  <c r="T169" i="23"/>
  <c r="T168" i="23"/>
  <c r="T167" i="23"/>
  <c r="T166" i="23"/>
  <c r="T165" i="23"/>
  <c r="T164" i="23"/>
  <c r="T163" i="23"/>
  <c r="T162" i="23"/>
  <c r="T161" i="23"/>
  <c r="T160" i="23"/>
  <c r="T159" i="23"/>
  <c r="T158" i="23"/>
  <c r="T157" i="23"/>
  <c r="T156" i="23"/>
  <c r="T155" i="23"/>
  <c r="T154" i="23"/>
  <c r="T153" i="23"/>
  <c r="T152" i="23"/>
  <c r="T151" i="23"/>
  <c r="T150" i="23"/>
  <c r="T149" i="23"/>
  <c r="T148" i="23"/>
  <c r="T147" i="23"/>
  <c r="T146" i="23"/>
  <c r="T145" i="23"/>
  <c r="T144" i="23"/>
  <c r="T143" i="23"/>
  <c r="T142" i="23"/>
  <c r="T141" i="23"/>
  <c r="T140" i="23"/>
  <c r="T139" i="23"/>
  <c r="T138" i="23"/>
  <c r="T137" i="23"/>
  <c r="T136" i="23"/>
  <c r="T135" i="23"/>
  <c r="T134" i="23"/>
  <c r="T133" i="23"/>
  <c r="T132" i="23"/>
  <c r="T131" i="23"/>
  <c r="T130" i="23"/>
  <c r="T129" i="23"/>
  <c r="T128" i="23"/>
  <c r="T127" i="23"/>
  <c r="T126" i="23"/>
  <c r="T124" i="23"/>
  <c r="T123" i="23"/>
  <c r="T122" i="23"/>
  <c r="T121" i="23"/>
  <c r="T120" i="23"/>
  <c r="T119" i="23"/>
  <c r="T118" i="23"/>
  <c r="T117" i="23"/>
  <c r="T116" i="23"/>
  <c r="T115" i="23"/>
  <c r="T114" i="23"/>
  <c r="T113" i="23"/>
  <c r="T112" i="23"/>
  <c r="T111" i="23"/>
  <c r="T110" i="23"/>
  <c r="T109" i="23"/>
  <c r="T108" i="23"/>
  <c r="T107" i="23"/>
  <c r="T106" i="23"/>
  <c r="T105" i="23"/>
  <c r="T104" i="23"/>
  <c r="T103" i="23"/>
  <c r="T102" i="23"/>
  <c r="T101" i="23"/>
  <c r="T100" i="23"/>
  <c r="T99" i="23"/>
  <c r="T98" i="23"/>
  <c r="T97" i="23"/>
  <c r="T96" i="23"/>
  <c r="T95" i="23"/>
  <c r="T94" i="23"/>
  <c r="T93" i="23"/>
  <c r="T92" i="23"/>
  <c r="T91" i="23"/>
  <c r="T90" i="23"/>
  <c r="T89" i="23"/>
  <c r="T88" i="23"/>
  <c r="T87" i="23"/>
  <c r="T86" i="23"/>
  <c r="T85" i="23"/>
  <c r="T84" i="23"/>
  <c r="T83" i="23"/>
  <c r="T82" i="23"/>
  <c r="T81" i="23"/>
  <c r="T80" i="23"/>
  <c r="T79" i="23"/>
  <c r="T78" i="23"/>
  <c r="T77" i="23"/>
  <c r="T76" i="23"/>
  <c r="T75" i="23"/>
  <c r="T60" i="23"/>
  <c r="T59" i="23"/>
  <c r="T58" i="23"/>
  <c r="T57" i="23"/>
  <c r="T56" i="23"/>
  <c r="T55" i="23"/>
  <c r="T54" i="23"/>
  <c r="T53" i="23"/>
  <c r="T52" i="23"/>
  <c r="T51" i="23"/>
  <c r="T50" i="23"/>
  <c r="T49" i="23"/>
  <c r="T48" i="23"/>
  <c r="T47" i="23"/>
  <c r="T46" i="23"/>
  <c r="T45" i="23"/>
  <c r="T44" i="23"/>
  <c r="T43" i="23"/>
  <c r="T42" i="23"/>
  <c r="T41" i="23"/>
  <c r="T40" i="23"/>
  <c r="T39" i="23"/>
  <c r="T38" i="23"/>
  <c r="T37" i="23"/>
  <c r="T36" i="23"/>
  <c r="T35" i="23"/>
  <c r="T34" i="23"/>
  <c r="T33" i="23"/>
  <c r="T32" i="23"/>
  <c r="T31" i="23"/>
  <c r="T30" i="23"/>
  <c r="T29" i="23"/>
  <c r="T28" i="23"/>
  <c r="T27" i="23"/>
  <c r="T26" i="23"/>
  <c r="T25" i="23"/>
  <c r="T24" i="23"/>
  <c r="T23" i="23"/>
  <c r="T22" i="23"/>
  <c r="T21" i="23"/>
  <c r="T19" i="23"/>
  <c r="T18" i="23"/>
  <c r="T17" i="23"/>
  <c r="T16" i="23"/>
  <c r="T15" i="23"/>
  <c r="T14" i="23"/>
  <c r="T13" i="23"/>
  <c r="T12" i="23"/>
  <c r="T11" i="23"/>
  <c r="T9" i="23"/>
  <c r="F108" i="24"/>
  <c r="G107" i="24"/>
  <c r="M107" i="24" s="1"/>
  <c r="E106" i="24"/>
  <c r="G106" i="24" s="1"/>
  <c r="G105" i="24"/>
  <c r="E102" i="24"/>
  <c r="M102" i="24" s="1"/>
  <c r="E101" i="24"/>
  <c r="K312" i="31" l="1"/>
  <c r="M312" i="31" s="1"/>
  <c r="J101" i="24"/>
  <c r="M101" i="24" l="1"/>
  <c r="T258" i="23" s="1"/>
  <c r="T256" i="23"/>
  <c r="G57" i="24" l="1"/>
  <c r="J57" i="24" s="1"/>
  <c r="M57" i="24" s="1"/>
  <c r="R22" i="23" s="1"/>
  <c r="R355" i="23"/>
  <c r="R352" i="23"/>
  <c r="R348" i="23"/>
  <c r="R342" i="23"/>
  <c r="R341" i="23"/>
  <c r="R340" i="23"/>
  <c r="R339" i="23"/>
  <c r="R338" i="23"/>
  <c r="R337" i="23"/>
  <c r="R336" i="23"/>
  <c r="R335" i="23"/>
  <c r="R334" i="23"/>
  <c r="R333" i="23"/>
  <c r="R332" i="23"/>
  <c r="R331" i="23"/>
  <c r="R330" i="23"/>
  <c r="R329" i="23"/>
  <c r="R328" i="23"/>
  <c r="R327" i="23"/>
  <c r="R326" i="23"/>
  <c r="R325" i="23"/>
  <c r="R324" i="23"/>
  <c r="R322" i="23"/>
  <c r="R321" i="23"/>
  <c r="R320" i="23"/>
  <c r="R319" i="23"/>
  <c r="R318" i="23"/>
  <c r="R317" i="23"/>
  <c r="R316" i="23"/>
  <c r="R315" i="23"/>
  <c r="R314" i="23"/>
  <c r="R313" i="23"/>
  <c r="R312" i="23"/>
  <c r="R311" i="23"/>
  <c r="R310" i="23"/>
  <c r="R309" i="23"/>
  <c r="R308" i="23"/>
  <c r="R307" i="23"/>
  <c r="R306" i="23"/>
  <c r="R305" i="23"/>
  <c r="R304" i="23"/>
  <c r="R303" i="23"/>
  <c r="R302" i="23"/>
  <c r="R299" i="23"/>
  <c r="R298" i="23"/>
  <c r="R297" i="23"/>
  <c r="R296" i="23"/>
  <c r="R295" i="23"/>
  <c r="R294" i="23"/>
  <c r="R293" i="23"/>
  <c r="R292" i="23"/>
  <c r="R291" i="23"/>
  <c r="R290" i="23"/>
  <c r="R289" i="23"/>
  <c r="R288" i="23"/>
  <c r="R287" i="23"/>
  <c r="R286" i="23"/>
  <c r="R285" i="23"/>
  <c r="R284" i="23"/>
  <c r="R283" i="23"/>
  <c r="R282" i="23"/>
  <c r="R281" i="23"/>
  <c r="R280" i="23"/>
  <c r="R279" i="23"/>
  <c r="R278" i="23"/>
  <c r="R277" i="23"/>
  <c r="R276" i="23"/>
  <c r="R275" i="23"/>
  <c r="R274" i="23"/>
  <c r="R273" i="23"/>
  <c r="R272" i="23"/>
  <c r="R271" i="23"/>
  <c r="R270" i="23"/>
  <c r="R269" i="23"/>
  <c r="R268" i="23"/>
  <c r="R267" i="23"/>
  <c r="R266" i="23"/>
  <c r="R265" i="23"/>
  <c r="R264" i="23"/>
  <c r="R263" i="23"/>
  <c r="R262" i="23"/>
  <c r="R261" i="23"/>
  <c r="R260" i="23"/>
  <c r="R259" i="23"/>
  <c r="R258" i="23"/>
  <c r="R257" i="23"/>
  <c r="R256" i="23"/>
  <c r="R255" i="23"/>
  <c r="R254" i="23"/>
  <c r="R253" i="23"/>
  <c r="R252" i="23"/>
  <c r="R251" i="23"/>
  <c r="R249" i="23"/>
  <c r="R248" i="23"/>
  <c r="R247" i="23"/>
  <c r="R246" i="23"/>
  <c r="R245" i="23"/>
  <c r="R244" i="23"/>
  <c r="R243" i="23"/>
  <c r="R242" i="23"/>
  <c r="R240" i="23"/>
  <c r="R239" i="23"/>
  <c r="R238" i="23"/>
  <c r="R237" i="23"/>
  <c r="R236" i="23"/>
  <c r="R235" i="23"/>
  <c r="R234" i="23"/>
  <c r="R233" i="23"/>
  <c r="R232" i="23"/>
  <c r="R231" i="23"/>
  <c r="R230" i="23"/>
  <c r="R229" i="23"/>
  <c r="R228" i="23"/>
  <c r="R227" i="23"/>
  <c r="R226" i="23"/>
  <c r="R225" i="23"/>
  <c r="R224" i="23"/>
  <c r="R223" i="23"/>
  <c r="R222" i="23"/>
  <c r="R221" i="23"/>
  <c r="R220" i="23"/>
  <c r="R219" i="23"/>
  <c r="R218" i="23"/>
  <c r="R217" i="23"/>
  <c r="R216" i="23"/>
  <c r="R215" i="23"/>
  <c r="R214" i="23"/>
  <c r="R213" i="23"/>
  <c r="R212" i="23"/>
  <c r="R211" i="23"/>
  <c r="R210" i="23"/>
  <c r="R209" i="23"/>
  <c r="R208" i="23"/>
  <c r="R207" i="23"/>
  <c r="R206" i="23"/>
  <c r="R205" i="23"/>
  <c r="R204" i="23"/>
  <c r="R203" i="23"/>
  <c r="R202" i="23"/>
  <c r="R201" i="23"/>
  <c r="R200" i="23"/>
  <c r="R199" i="23"/>
  <c r="R198" i="23"/>
  <c r="R197" i="23"/>
  <c r="R196" i="23"/>
  <c r="R195" i="23"/>
  <c r="R194" i="23"/>
  <c r="R193" i="23"/>
  <c r="R192" i="23"/>
  <c r="R191" i="23"/>
  <c r="R190" i="23"/>
  <c r="R189" i="23"/>
  <c r="R188" i="23"/>
  <c r="R187" i="23"/>
  <c r="R186" i="23"/>
  <c r="R185" i="23"/>
  <c r="R184" i="23"/>
  <c r="R183" i="23"/>
  <c r="R180" i="23"/>
  <c r="R179" i="23"/>
  <c r="R178" i="23"/>
  <c r="R177" i="23"/>
  <c r="R176" i="23"/>
  <c r="R174" i="23"/>
  <c r="R173" i="23"/>
  <c r="R172" i="23"/>
  <c r="R171" i="23"/>
  <c r="R170" i="23"/>
  <c r="R169" i="23"/>
  <c r="R168" i="23"/>
  <c r="R167" i="23"/>
  <c r="R166" i="23"/>
  <c r="R165" i="23"/>
  <c r="R164" i="23"/>
  <c r="R163" i="23"/>
  <c r="R162" i="23"/>
  <c r="R161" i="23"/>
  <c r="R160" i="23"/>
  <c r="R159" i="23"/>
  <c r="R158" i="23"/>
  <c r="R157" i="23"/>
  <c r="R156" i="23"/>
  <c r="R155" i="23"/>
  <c r="R154" i="23"/>
  <c r="R153" i="23"/>
  <c r="R152" i="23"/>
  <c r="R151" i="23"/>
  <c r="R150" i="23"/>
  <c r="R149" i="23"/>
  <c r="R148" i="23"/>
  <c r="R147" i="23"/>
  <c r="R146" i="23"/>
  <c r="R145" i="23"/>
  <c r="R144" i="23"/>
  <c r="R143" i="23"/>
  <c r="R142" i="23"/>
  <c r="R141" i="23"/>
  <c r="R140" i="23"/>
  <c r="R139" i="23"/>
  <c r="R138" i="23"/>
  <c r="R137" i="23"/>
  <c r="R136" i="23"/>
  <c r="R134" i="23"/>
  <c r="R133" i="23"/>
  <c r="R132" i="23"/>
  <c r="R131" i="23"/>
  <c r="R130" i="23"/>
  <c r="R129" i="23"/>
  <c r="R128" i="23"/>
  <c r="R127" i="23"/>
  <c r="R126" i="23"/>
  <c r="R124" i="23"/>
  <c r="R123" i="23"/>
  <c r="R122" i="23"/>
  <c r="R121" i="23"/>
  <c r="R120" i="23"/>
  <c r="R119" i="23"/>
  <c r="R118" i="23"/>
  <c r="R117" i="23"/>
  <c r="R116" i="23"/>
  <c r="R115" i="23"/>
  <c r="R114" i="23"/>
  <c r="R113" i="23"/>
  <c r="R112" i="23"/>
  <c r="R111" i="23"/>
  <c r="R109" i="23"/>
  <c r="R108" i="23"/>
  <c r="R107" i="23"/>
  <c r="R106" i="23"/>
  <c r="R105" i="23"/>
  <c r="R104" i="23"/>
  <c r="R103" i="23"/>
  <c r="R102" i="23"/>
  <c r="R101" i="23"/>
  <c r="R100" i="23"/>
  <c r="R99" i="23"/>
  <c r="R98" i="23"/>
  <c r="R97" i="23"/>
  <c r="R96" i="23"/>
  <c r="R95" i="23"/>
  <c r="R94" i="23"/>
  <c r="R93" i="23"/>
  <c r="R92" i="23"/>
  <c r="R91" i="23"/>
  <c r="R90" i="23"/>
  <c r="R89" i="23"/>
  <c r="R88" i="23"/>
  <c r="R87" i="23"/>
  <c r="R86" i="23"/>
  <c r="R85" i="23"/>
  <c r="R84" i="23"/>
  <c r="R83" i="23"/>
  <c r="R79" i="23"/>
  <c r="R78" i="23"/>
  <c r="R77" i="23"/>
  <c r="R76" i="23"/>
  <c r="R75" i="23"/>
  <c r="R60" i="23"/>
  <c r="R59" i="23"/>
  <c r="R58" i="23"/>
  <c r="R57" i="23"/>
  <c r="R56" i="23"/>
  <c r="R55" i="23"/>
  <c r="R54" i="23"/>
  <c r="R53" i="23"/>
  <c r="R52" i="23"/>
  <c r="R51" i="23"/>
  <c r="R50" i="23"/>
  <c r="R49" i="23"/>
  <c r="R48" i="23"/>
  <c r="R47" i="23"/>
  <c r="R46" i="23"/>
  <c r="R45" i="23"/>
  <c r="R44" i="23"/>
  <c r="R43" i="23"/>
  <c r="R42" i="23"/>
  <c r="R41" i="23"/>
  <c r="R40" i="23"/>
  <c r="R39" i="23"/>
  <c r="R38" i="23"/>
  <c r="R37" i="23"/>
  <c r="R36" i="23"/>
  <c r="R35" i="23"/>
  <c r="R34" i="23"/>
  <c r="R32" i="23"/>
  <c r="R31" i="23"/>
  <c r="R30" i="23"/>
  <c r="R29" i="23"/>
  <c r="R28" i="23"/>
  <c r="R27" i="23"/>
  <c r="R26" i="23"/>
  <c r="R25" i="23"/>
  <c r="R24" i="23"/>
  <c r="R23" i="23"/>
  <c r="R19" i="23"/>
  <c r="R18" i="23"/>
  <c r="R17" i="23"/>
  <c r="R16" i="23"/>
  <c r="R15" i="23"/>
  <c r="R13" i="23"/>
  <c r="F59" i="24"/>
  <c r="G58" i="24"/>
  <c r="J58" i="24" s="1"/>
  <c r="M58" i="24" s="1"/>
  <c r="G56" i="24"/>
  <c r="J56" i="24" s="1"/>
  <c r="M56" i="24" s="1"/>
  <c r="R21" i="23" s="1"/>
  <c r="F85" i="24"/>
  <c r="G84" i="24"/>
  <c r="G83" i="24"/>
  <c r="G82" i="24"/>
  <c r="G30" i="24"/>
  <c r="J30" i="24" s="1"/>
  <c r="M30" i="24" s="1"/>
  <c r="R11" i="23" s="1"/>
  <c r="G36" i="24"/>
  <c r="G35" i="24"/>
  <c r="G34" i="24"/>
  <c r="G52" i="24" l="1"/>
  <c r="J52" i="24" s="1"/>
  <c r="F37" i="24"/>
  <c r="R61" i="23" l="1"/>
  <c r="R110" i="23"/>
  <c r="M52" i="24"/>
  <c r="R80" i="23" s="1"/>
  <c r="E13" i="24" l="1"/>
  <c r="Q348" i="23"/>
  <c r="V345" i="23"/>
  <c r="Q342" i="23"/>
  <c r="V342" i="23" s="1"/>
  <c r="Q341" i="23"/>
  <c r="V341" i="23" s="1"/>
  <c r="Q340" i="23"/>
  <c r="V340" i="23" s="1"/>
  <c r="Q339" i="23"/>
  <c r="V339" i="23" s="1"/>
  <c r="Q338" i="23"/>
  <c r="V338" i="23" s="1"/>
  <c r="Q336" i="23"/>
  <c r="V336" i="23" s="1"/>
  <c r="Q335" i="23"/>
  <c r="V335" i="23" s="1"/>
  <c r="Q334" i="23"/>
  <c r="V334" i="23" s="1"/>
  <c r="Q333" i="23"/>
  <c r="V333" i="23" s="1"/>
  <c r="Q332" i="23"/>
  <c r="V332" i="23" s="1"/>
  <c r="Q331" i="23"/>
  <c r="V331" i="23" s="1"/>
  <c r="Q330" i="23"/>
  <c r="V330" i="23" s="1"/>
  <c r="Q329" i="23"/>
  <c r="V329" i="23" s="1"/>
  <c r="Q328" i="23"/>
  <c r="V328" i="23" s="1"/>
  <c r="Q327" i="23"/>
  <c r="V327" i="23" s="1"/>
  <c r="Q326" i="23"/>
  <c r="V326" i="23" s="1"/>
  <c r="Q325" i="23"/>
  <c r="V325" i="23" s="1"/>
  <c r="Q324" i="23"/>
  <c r="V324" i="23" s="1"/>
  <c r="Q322" i="23"/>
  <c r="V322" i="23" s="1"/>
  <c r="Q321" i="23"/>
  <c r="V321" i="23" s="1"/>
  <c r="Q320" i="23"/>
  <c r="V320" i="23" s="1"/>
  <c r="Q319" i="23"/>
  <c r="V319" i="23" s="1"/>
  <c r="Q318" i="23"/>
  <c r="V318" i="23" s="1"/>
  <c r="Q317" i="23"/>
  <c r="V317" i="23" s="1"/>
  <c r="Q316" i="23"/>
  <c r="V316" i="23" s="1"/>
  <c r="Q314" i="23"/>
  <c r="V314" i="23" s="1"/>
  <c r="Q313" i="23"/>
  <c r="V313" i="23" s="1"/>
  <c r="Q312" i="23"/>
  <c r="V312" i="23" s="1"/>
  <c r="Q311" i="23"/>
  <c r="V311" i="23" s="1"/>
  <c r="Q310" i="23"/>
  <c r="V310" i="23" s="1"/>
  <c r="Q309" i="23"/>
  <c r="V309" i="23" s="1"/>
  <c r="Q308" i="23"/>
  <c r="V308" i="23" s="1"/>
  <c r="Q307" i="23"/>
  <c r="V307" i="23" s="1"/>
  <c r="Q306" i="23"/>
  <c r="V306" i="23" s="1"/>
  <c r="Q305" i="23"/>
  <c r="V305" i="23" s="1"/>
  <c r="Q304" i="23"/>
  <c r="V304" i="23" s="1"/>
  <c r="Q303" i="23"/>
  <c r="V303" i="23" s="1"/>
  <c r="Q302" i="23"/>
  <c r="V302" i="23" s="1"/>
  <c r="Q298" i="23"/>
  <c r="V298" i="23" s="1"/>
  <c r="Q297" i="23"/>
  <c r="V297" i="23" s="1"/>
  <c r="Q296" i="23"/>
  <c r="V296" i="23" s="1"/>
  <c r="Q295" i="23"/>
  <c r="V295" i="23" s="1"/>
  <c r="Q294" i="23"/>
  <c r="V294" i="23" s="1"/>
  <c r="Q293" i="23"/>
  <c r="V293" i="23" s="1"/>
  <c r="Q292" i="23"/>
  <c r="V292" i="23" s="1"/>
  <c r="Q291" i="23"/>
  <c r="V291" i="23" s="1"/>
  <c r="Q290" i="23"/>
  <c r="V290" i="23" s="1"/>
  <c r="Q289" i="23"/>
  <c r="V289" i="23" s="1"/>
  <c r="Q288" i="23"/>
  <c r="V288" i="23" s="1"/>
  <c r="Q287" i="23"/>
  <c r="V287" i="23" s="1"/>
  <c r="Q286" i="23"/>
  <c r="V286" i="23" s="1"/>
  <c r="Q285" i="23"/>
  <c r="V285" i="23" s="1"/>
  <c r="Q284" i="23"/>
  <c r="V284" i="23" s="1"/>
  <c r="Q283" i="23"/>
  <c r="V283" i="23" s="1"/>
  <c r="Q282" i="23"/>
  <c r="V282" i="23" s="1"/>
  <c r="Q281" i="23"/>
  <c r="V281" i="23" s="1"/>
  <c r="Q280" i="23"/>
  <c r="V280" i="23" s="1"/>
  <c r="Q279" i="23"/>
  <c r="V279" i="23" s="1"/>
  <c r="Q278" i="23"/>
  <c r="V278" i="23" s="1"/>
  <c r="Q277" i="23"/>
  <c r="V277" i="23" s="1"/>
  <c r="Q276" i="23"/>
  <c r="V276" i="23" s="1"/>
  <c r="Q275" i="23"/>
  <c r="V275" i="23" s="1"/>
  <c r="Q274" i="23"/>
  <c r="V274" i="23" s="1"/>
  <c r="Q273" i="23"/>
  <c r="V273" i="23" s="1"/>
  <c r="Q272" i="23"/>
  <c r="V272" i="23" s="1"/>
  <c r="Q271" i="23"/>
  <c r="V271" i="23" s="1"/>
  <c r="Q270" i="23"/>
  <c r="V270" i="23" s="1"/>
  <c r="Q269" i="23"/>
  <c r="V269" i="23" s="1"/>
  <c r="Q268" i="23"/>
  <c r="V268" i="23" s="1"/>
  <c r="Q267" i="23"/>
  <c r="V267" i="23" s="1"/>
  <c r="Q266" i="23"/>
  <c r="V266" i="23" s="1"/>
  <c r="Q265" i="23"/>
  <c r="V265" i="23" s="1"/>
  <c r="Q264" i="23"/>
  <c r="V264" i="23" s="1"/>
  <c r="Q263" i="23"/>
  <c r="V263" i="23" s="1"/>
  <c r="Q262" i="23"/>
  <c r="V262" i="23" s="1"/>
  <c r="Q261" i="23"/>
  <c r="V261" i="23" s="1"/>
  <c r="Q260" i="23"/>
  <c r="V260" i="23" s="1"/>
  <c r="Q259" i="23"/>
  <c r="V259" i="23" s="1"/>
  <c r="Q257" i="23"/>
  <c r="V257" i="23" s="1"/>
  <c r="Q256" i="23"/>
  <c r="V256" i="23" s="1"/>
  <c r="Q255" i="23"/>
  <c r="V255" i="23" s="1"/>
  <c r="Q254" i="23"/>
  <c r="V254" i="23" s="1"/>
  <c r="Q253" i="23"/>
  <c r="V253" i="23" s="1"/>
  <c r="Q252" i="23"/>
  <c r="V252" i="23" s="1"/>
  <c r="Q251" i="23"/>
  <c r="V251" i="23" s="1"/>
  <c r="Q249" i="23"/>
  <c r="V249" i="23" s="1"/>
  <c r="Q248" i="23"/>
  <c r="V248" i="23" s="1"/>
  <c r="Q247" i="23"/>
  <c r="V247" i="23" s="1"/>
  <c r="Q246" i="23"/>
  <c r="V246" i="23" s="1"/>
  <c r="Q245" i="23"/>
  <c r="V245" i="23" s="1"/>
  <c r="Q244" i="23"/>
  <c r="V244" i="23" s="1"/>
  <c r="Q243" i="23"/>
  <c r="V243" i="23" s="1"/>
  <c r="Q242" i="23"/>
  <c r="Q240" i="23"/>
  <c r="Q239" i="23"/>
  <c r="V239" i="23" s="1"/>
  <c r="Q238" i="23"/>
  <c r="V238" i="23" s="1"/>
  <c r="Q237" i="23"/>
  <c r="V237" i="23" s="1"/>
  <c r="Q236" i="23"/>
  <c r="V236" i="23" s="1"/>
  <c r="Q235" i="23"/>
  <c r="V235" i="23" s="1"/>
  <c r="Q234" i="23"/>
  <c r="V234" i="23" s="1"/>
  <c r="Q233" i="23"/>
  <c r="V233" i="23" s="1"/>
  <c r="Q232" i="23"/>
  <c r="V232" i="23" s="1"/>
  <c r="Q231" i="23"/>
  <c r="V231" i="23" s="1"/>
  <c r="Q230" i="23"/>
  <c r="V230" i="23" s="1"/>
  <c r="Q229" i="23"/>
  <c r="V229" i="23" s="1"/>
  <c r="Q228" i="23"/>
  <c r="V228" i="23" s="1"/>
  <c r="Q227" i="23"/>
  <c r="V227" i="23" s="1"/>
  <c r="Q226" i="23"/>
  <c r="V226" i="23" s="1"/>
  <c r="Q225" i="23"/>
  <c r="V225" i="23" s="1"/>
  <c r="Q224" i="23"/>
  <c r="V224" i="23" s="1"/>
  <c r="Q223" i="23"/>
  <c r="V223" i="23" s="1"/>
  <c r="Q222" i="23"/>
  <c r="V222" i="23" s="1"/>
  <c r="Q221" i="23"/>
  <c r="V221" i="23" s="1"/>
  <c r="Q220" i="23"/>
  <c r="V220" i="23" s="1"/>
  <c r="Q219" i="23"/>
  <c r="V219" i="23" s="1"/>
  <c r="Q218" i="23"/>
  <c r="V218" i="23" s="1"/>
  <c r="Q217" i="23"/>
  <c r="V217" i="23" s="1"/>
  <c r="Q216" i="23"/>
  <c r="V216" i="23" s="1"/>
  <c r="Q215" i="23"/>
  <c r="V215" i="23" s="1"/>
  <c r="Q214" i="23"/>
  <c r="V214" i="23" s="1"/>
  <c r="Q213" i="23"/>
  <c r="V213" i="23" s="1"/>
  <c r="Q212" i="23"/>
  <c r="V212" i="23" s="1"/>
  <c r="Q211" i="23"/>
  <c r="V211" i="23" s="1"/>
  <c r="Q210" i="23"/>
  <c r="V210" i="23" s="1"/>
  <c r="Q209" i="23"/>
  <c r="V209" i="23" s="1"/>
  <c r="Q208" i="23"/>
  <c r="V208" i="23" s="1"/>
  <c r="Q207" i="23"/>
  <c r="V207" i="23" s="1"/>
  <c r="Q206" i="23"/>
  <c r="V206" i="23" s="1"/>
  <c r="Q205" i="23"/>
  <c r="V205" i="23" s="1"/>
  <c r="Q204" i="23"/>
  <c r="V204" i="23" s="1"/>
  <c r="Q203" i="23"/>
  <c r="V203" i="23" s="1"/>
  <c r="Q202" i="23"/>
  <c r="V202" i="23" s="1"/>
  <c r="Q201" i="23"/>
  <c r="V201" i="23" s="1"/>
  <c r="Q200" i="23"/>
  <c r="V200" i="23" s="1"/>
  <c r="Q198" i="23"/>
  <c r="V198" i="23" s="1"/>
  <c r="X198" i="23" s="1"/>
  <c r="Q197" i="23"/>
  <c r="V197" i="23" s="1"/>
  <c r="Q196" i="23"/>
  <c r="V196" i="23" s="1"/>
  <c r="Q195" i="23"/>
  <c r="V195" i="23" s="1"/>
  <c r="Q194" i="23"/>
  <c r="V194" i="23" s="1"/>
  <c r="Q193" i="23"/>
  <c r="V193" i="23" s="1"/>
  <c r="Q192" i="23"/>
  <c r="V192" i="23" s="1"/>
  <c r="Q191" i="23"/>
  <c r="V191" i="23" s="1"/>
  <c r="Q190" i="23"/>
  <c r="V190" i="23" s="1"/>
  <c r="Q189" i="23"/>
  <c r="V189" i="23" s="1"/>
  <c r="Q188" i="23"/>
  <c r="V188" i="23" s="1"/>
  <c r="Q187" i="23"/>
  <c r="V187" i="23" s="1"/>
  <c r="Q186" i="23"/>
  <c r="V186" i="23" s="1"/>
  <c r="Q185" i="23"/>
  <c r="V185" i="23" s="1"/>
  <c r="Q184" i="23"/>
  <c r="V184" i="23" s="1"/>
  <c r="Q183" i="23"/>
  <c r="V183" i="23" s="1"/>
  <c r="Q180" i="23"/>
  <c r="V180" i="23" s="1"/>
  <c r="Q179" i="23"/>
  <c r="V179" i="23" s="1"/>
  <c r="Q178" i="23"/>
  <c r="V178" i="23" s="1"/>
  <c r="Q177" i="23"/>
  <c r="V177" i="23" s="1"/>
  <c r="Q176" i="23"/>
  <c r="V176" i="23" s="1"/>
  <c r="Q174" i="23"/>
  <c r="V174" i="23" s="1"/>
  <c r="Q173" i="23"/>
  <c r="V173" i="23" s="1"/>
  <c r="Q172" i="23"/>
  <c r="V172" i="23" s="1"/>
  <c r="Q171" i="23"/>
  <c r="V171" i="23" s="1"/>
  <c r="Q170" i="23"/>
  <c r="V170" i="23" s="1"/>
  <c r="Q169" i="23"/>
  <c r="V169" i="23" s="1"/>
  <c r="Q168" i="23"/>
  <c r="V168" i="23" s="1"/>
  <c r="Q167" i="23"/>
  <c r="V167" i="23" s="1"/>
  <c r="Q166" i="23"/>
  <c r="V166" i="23" s="1"/>
  <c r="Q165" i="23"/>
  <c r="V165" i="23" s="1"/>
  <c r="Q164" i="23"/>
  <c r="V164" i="23" s="1"/>
  <c r="Q163" i="23"/>
  <c r="V163" i="23" s="1"/>
  <c r="Q162" i="23"/>
  <c r="V162" i="23" s="1"/>
  <c r="Q161" i="23"/>
  <c r="V161" i="23" s="1"/>
  <c r="Q160" i="23"/>
  <c r="V160" i="23" s="1"/>
  <c r="Q159" i="23"/>
  <c r="V159" i="23" s="1"/>
  <c r="Q158" i="23"/>
  <c r="V158" i="23" s="1"/>
  <c r="Q157" i="23"/>
  <c r="V157" i="23" s="1"/>
  <c r="Q156" i="23"/>
  <c r="V156" i="23" s="1"/>
  <c r="Q155" i="23"/>
  <c r="V155" i="23" s="1"/>
  <c r="Q154" i="23"/>
  <c r="V154" i="23" s="1"/>
  <c r="Q153" i="23"/>
  <c r="V153" i="23" s="1"/>
  <c r="Q152" i="23"/>
  <c r="V152" i="23" s="1"/>
  <c r="Q151" i="23"/>
  <c r="V151" i="23" s="1"/>
  <c r="Q150" i="23"/>
  <c r="V150" i="23" s="1"/>
  <c r="Q149" i="23"/>
  <c r="Q148" i="23"/>
  <c r="Q147" i="23"/>
  <c r="V147" i="23" s="1"/>
  <c r="Q146" i="23"/>
  <c r="V146" i="23" s="1"/>
  <c r="Q145" i="23"/>
  <c r="Q144" i="23"/>
  <c r="Q143" i="23"/>
  <c r="V143" i="23" s="1"/>
  <c r="Q142" i="23"/>
  <c r="V142" i="23" s="1"/>
  <c r="Q141" i="23"/>
  <c r="V141" i="23" s="1"/>
  <c r="Q140" i="23"/>
  <c r="V140" i="23" s="1"/>
  <c r="Q139" i="23"/>
  <c r="V139" i="23" s="1"/>
  <c r="Q138" i="23"/>
  <c r="V138" i="23" s="1"/>
  <c r="Q137" i="23"/>
  <c r="V137" i="23" s="1"/>
  <c r="Q136" i="23"/>
  <c r="V136" i="23" s="1"/>
  <c r="Q135" i="23"/>
  <c r="Q134" i="23"/>
  <c r="V134" i="23" s="1"/>
  <c r="Q133" i="23"/>
  <c r="V133" i="23" s="1"/>
  <c r="Q132" i="23"/>
  <c r="V132" i="23" s="1"/>
  <c r="Q131" i="23"/>
  <c r="V131" i="23" s="1"/>
  <c r="Q130" i="23"/>
  <c r="V130" i="23" s="1"/>
  <c r="Q129" i="23"/>
  <c r="Q128" i="23"/>
  <c r="Q127" i="23"/>
  <c r="Q126" i="23"/>
  <c r="Q124" i="23"/>
  <c r="V124" i="23" s="1"/>
  <c r="Q123" i="23"/>
  <c r="V123" i="23" s="1"/>
  <c r="Q122" i="23"/>
  <c r="V122" i="23" s="1"/>
  <c r="Q121" i="23"/>
  <c r="V121" i="23" s="1"/>
  <c r="Q120" i="23"/>
  <c r="V120" i="23" s="1"/>
  <c r="Q119" i="23"/>
  <c r="V119" i="23" s="1"/>
  <c r="Q118" i="23"/>
  <c r="V118" i="23" s="1"/>
  <c r="Q117" i="23"/>
  <c r="V117" i="23" s="1"/>
  <c r="Q116" i="23"/>
  <c r="V116" i="23" s="1"/>
  <c r="Q115" i="23"/>
  <c r="V115" i="23" s="1"/>
  <c r="Q114" i="23"/>
  <c r="V114" i="23" s="1"/>
  <c r="Q113" i="23"/>
  <c r="V113" i="23" s="1"/>
  <c r="Q112" i="23"/>
  <c r="V112" i="23" s="1"/>
  <c r="Q111" i="23"/>
  <c r="V111" i="23" s="1"/>
  <c r="Q110" i="23"/>
  <c r="Q109" i="23"/>
  <c r="V109" i="23" s="1"/>
  <c r="Q108" i="23"/>
  <c r="V108" i="23" s="1"/>
  <c r="Q107" i="23"/>
  <c r="V107" i="23" s="1"/>
  <c r="Q106" i="23"/>
  <c r="V106" i="23" s="1"/>
  <c r="Q105" i="23"/>
  <c r="V105" i="23" s="1"/>
  <c r="Q104" i="23"/>
  <c r="V104" i="23" s="1"/>
  <c r="Q103" i="23"/>
  <c r="V103" i="23" s="1"/>
  <c r="Q102" i="23"/>
  <c r="V102" i="23" s="1"/>
  <c r="Q101" i="23"/>
  <c r="V101" i="23" s="1"/>
  <c r="Q100" i="23"/>
  <c r="V100" i="23" s="1"/>
  <c r="Q99" i="23"/>
  <c r="V99" i="23" s="1"/>
  <c r="Q98" i="23"/>
  <c r="V98" i="23" s="1"/>
  <c r="Q97" i="23"/>
  <c r="V97" i="23" s="1"/>
  <c r="Q96" i="23"/>
  <c r="V96" i="23" s="1"/>
  <c r="Q95" i="23"/>
  <c r="V95" i="23" s="1"/>
  <c r="Q94" i="23"/>
  <c r="V94" i="23" s="1"/>
  <c r="Q93" i="23"/>
  <c r="V93" i="23" s="1"/>
  <c r="Q92" i="23"/>
  <c r="V92" i="23" s="1"/>
  <c r="Q91" i="23"/>
  <c r="V91" i="23" s="1"/>
  <c r="Q90" i="23"/>
  <c r="V90" i="23" s="1"/>
  <c r="Q89" i="23"/>
  <c r="V89" i="23" s="1"/>
  <c r="Q88" i="23"/>
  <c r="V88" i="23" s="1"/>
  <c r="Q87" i="23"/>
  <c r="V87" i="23" s="1"/>
  <c r="Q86" i="23"/>
  <c r="V86" i="23" s="1"/>
  <c r="Q85" i="23"/>
  <c r="V85" i="23" s="1"/>
  <c r="Q84" i="23"/>
  <c r="V84" i="23" s="1"/>
  <c r="Q83" i="23"/>
  <c r="V83" i="23" s="1"/>
  <c r="Q82" i="23"/>
  <c r="Q81" i="23"/>
  <c r="Q80" i="23"/>
  <c r="V80" i="23" s="1"/>
  <c r="Q79" i="23"/>
  <c r="V79" i="23" s="1"/>
  <c r="Q78" i="23"/>
  <c r="V78" i="23" s="1"/>
  <c r="Q77" i="23"/>
  <c r="V77" i="23" s="1"/>
  <c r="Q76" i="23"/>
  <c r="V76" i="23" s="1"/>
  <c r="Q75" i="23"/>
  <c r="V75" i="23" s="1"/>
  <c r="Q73" i="23"/>
  <c r="V73" i="23" s="1"/>
  <c r="X73" i="23" s="1"/>
  <c r="Q64" i="23"/>
  <c r="V64" i="23" s="1"/>
  <c r="X64" i="23" s="1"/>
  <c r="Q63" i="23"/>
  <c r="V63" i="23" s="1"/>
  <c r="X63" i="23" s="1"/>
  <c r="Q62" i="23"/>
  <c r="Q61" i="23"/>
  <c r="Q60" i="23"/>
  <c r="V60" i="23" s="1"/>
  <c r="X60" i="23" s="1"/>
  <c r="Q59" i="23"/>
  <c r="V59" i="23" s="1"/>
  <c r="X59" i="23" s="1"/>
  <c r="Q58" i="23"/>
  <c r="V58" i="23" s="1"/>
  <c r="X58" i="23" s="1"/>
  <c r="Q57" i="23"/>
  <c r="V57" i="23" s="1"/>
  <c r="X57" i="23" s="1"/>
  <c r="Q56" i="23"/>
  <c r="V56" i="23" s="1"/>
  <c r="X56" i="23" s="1"/>
  <c r="Q55" i="23"/>
  <c r="V55" i="23" s="1"/>
  <c r="X55" i="23" s="1"/>
  <c r="Q54" i="23"/>
  <c r="V54" i="23" s="1"/>
  <c r="X54" i="23" s="1"/>
  <c r="Q53" i="23"/>
  <c r="V53" i="23" s="1"/>
  <c r="X53" i="23" s="1"/>
  <c r="Q52" i="23"/>
  <c r="V52" i="23" s="1"/>
  <c r="X52" i="23" s="1"/>
  <c r="Q51" i="23"/>
  <c r="V51" i="23" s="1"/>
  <c r="X51" i="23" s="1"/>
  <c r="Q50" i="23"/>
  <c r="V50" i="23" s="1"/>
  <c r="X50" i="23" s="1"/>
  <c r="Q49" i="23"/>
  <c r="V49" i="23" s="1"/>
  <c r="Q48" i="23"/>
  <c r="V48" i="23" s="1"/>
  <c r="Q47" i="23"/>
  <c r="V47" i="23" s="1"/>
  <c r="X47" i="23" s="1"/>
  <c r="Q46" i="23"/>
  <c r="V46" i="23" s="1"/>
  <c r="X46" i="23" s="1"/>
  <c r="Q45" i="23"/>
  <c r="V45" i="23" s="1"/>
  <c r="X45" i="23" s="1"/>
  <c r="Q44" i="23"/>
  <c r="V44" i="23" s="1"/>
  <c r="X44" i="23" s="1"/>
  <c r="Q43" i="23"/>
  <c r="V43" i="23" s="1"/>
  <c r="X43" i="23" s="1"/>
  <c r="Q42" i="23"/>
  <c r="V42" i="23" s="1"/>
  <c r="X42" i="23" s="1"/>
  <c r="Q41" i="23"/>
  <c r="V41" i="23" s="1"/>
  <c r="X41" i="23" s="1"/>
  <c r="Q40" i="23"/>
  <c r="V40" i="23" s="1"/>
  <c r="X40" i="23" s="1"/>
  <c r="Q39" i="23"/>
  <c r="V39" i="23" s="1"/>
  <c r="X39" i="23" s="1"/>
  <c r="Q38" i="23"/>
  <c r="V38" i="23" s="1"/>
  <c r="X38" i="23" s="1"/>
  <c r="Q37" i="23"/>
  <c r="V37" i="23" s="1"/>
  <c r="X37" i="23" s="1"/>
  <c r="Q36" i="23"/>
  <c r="V36" i="23" s="1"/>
  <c r="X36" i="23" s="1"/>
  <c r="Q35" i="23"/>
  <c r="V35" i="23" s="1"/>
  <c r="X35" i="23" s="1"/>
  <c r="Q34" i="23"/>
  <c r="V34" i="23" s="1"/>
  <c r="X34" i="23" s="1"/>
  <c r="Q33" i="23"/>
  <c r="Q32" i="23"/>
  <c r="V32" i="23" s="1"/>
  <c r="X32" i="23" s="1"/>
  <c r="Q31" i="23"/>
  <c r="V31" i="23" s="1"/>
  <c r="X31" i="23" s="1"/>
  <c r="Q30" i="23"/>
  <c r="V30" i="23" s="1"/>
  <c r="X30" i="23" s="1"/>
  <c r="Q29" i="23"/>
  <c r="V29" i="23" s="1"/>
  <c r="X29" i="23" s="1"/>
  <c r="Q28" i="23"/>
  <c r="V28" i="23" s="1"/>
  <c r="X28" i="23" s="1"/>
  <c r="Q27" i="23"/>
  <c r="V27" i="23" s="1"/>
  <c r="X27" i="23" s="1"/>
  <c r="Q26" i="23"/>
  <c r="V26" i="23" s="1"/>
  <c r="X26" i="23" s="1"/>
  <c r="Q25" i="23"/>
  <c r="V25" i="23" s="1"/>
  <c r="X25" i="23" s="1"/>
  <c r="Q24" i="23"/>
  <c r="V24" i="23" s="1"/>
  <c r="X24" i="23" s="1"/>
  <c r="Q23" i="23"/>
  <c r="V23" i="23" s="1"/>
  <c r="X23" i="23" s="1"/>
  <c r="Q22" i="23"/>
  <c r="V22" i="23" s="1"/>
  <c r="X22" i="23" s="1"/>
  <c r="Q21" i="23"/>
  <c r="V21" i="23" s="1"/>
  <c r="X21" i="23" s="1"/>
  <c r="Q20" i="23"/>
  <c r="Q19" i="23"/>
  <c r="V19" i="23" s="1"/>
  <c r="X19" i="23" s="1"/>
  <c r="Q18" i="23"/>
  <c r="V18" i="23" s="1"/>
  <c r="X18" i="23" s="1"/>
  <c r="Q17" i="23"/>
  <c r="V17" i="23" s="1"/>
  <c r="X17" i="23" s="1"/>
  <c r="Q16" i="23"/>
  <c r="V16" i="23" s="1"/>
  <c r="X16" i="23" s="1"/>
  <c r="Q15" i="23"/>
  <c r="V15" i="23" s="1"/>
  <c r="X15" i="23" s="1"/>
  <c r="Q14" i="23"/>
  <c r="Q13" i="23"/>
  <c r="V13" i="23" s="1"/>
  <c r="X13" i="23" s="1"/>
  <c r="Q12" i="23"/>
  <c r="Q11" i="23"/>
  <c r="V11" i="23" s="1"/>
  <c r="Q9" i="23"/>
  <c r="F24" i="24"/>
  <c r="F23" i="24"/>
  <c r="F19" i="24"/>
  <c r="F12" i="24"/>
  <c r="G12" i="24" s="1"/>
  <c r="J12" i="24" s="1"/>
  <c r="M12" i="24" s="1"/>
  <c r="Q258" i="23" s="1"/>
  <c r="V258" i="23" s="1"/>
  <c r="F11" i="24"/>
  <c r="G11" i="24" s="1"/>
  <c r="J11" i="24" s="1"/>
  <c r="F10" i="24"/>
  <c r="G10" i="24" s="1"/>
  <c r="J10" i="24" s="1"/>
  <c r="F9" i="24"/>
  <c r="G9" i="24" s="1"/>
  <c r="J9" i="24" s="1"/>
  <c r="F8" i="24"/>
  <c r="G8" i="24" s="1"/>
  <c r="J8" i="24" s="1"/>
  <c r="F7" i="24"/>
  <c r="G7" i="24" s="1"/>
  <c r="J7" i="24" s="1"/>
  <c r="F6" i="24"/>
  <c r="G6" i="24" s="1"/>
  <c r="J6" i="24" s="1"/>
  <c r="F16" i="25" l="1"/>
  <c r="X48" i="23"/>
  <c r="X49" i="23"/>
  <c r="V242" i="23"/>
  <c r="V344" i="23"/>
  <c r="V343" i="23" s="1"/>
  <c r="Q352" i="23"/>
  <c r="V352" i="23" s="1"/>
  <c r="F13" i="24"/>
  <c r="V175" i="23"/>
  <c r="F17" i="25" l="1"/>
  <c r="F15" i="30"/>
  <c r="F18" i="25"/>
  <c r="V351" i="23"/>
  <c r="V350" i="23" s="1"/>
  <c r="Q351" i="23"/>
  <c r="Q350" i="23" s="1"/>
  <c r="R347" i="23"/>
  <c r="R346" i="23" s="1"/>
  <c r="O352" i="23"/>
  <c r="O351" i="23" s="1"/>
  <c r="O350" i="23" s="1"/>
  <c r="O347" i="23"/>
  <c r="O346" i="23" s="1"/>
  <c r="X332" i="23"/>
  <c r="X331" i="23"/>
  <c r="X321" i="23"/>
  <c r="X298" i="23"/>
  <c r="X297" i="23"/>
  <c r="X296" i="23"/>
  <c r="X295" i="23"/>
  <c r="X287" i="23"/>
  <c r="X286" i="23"/>
  <c r="X273" i="23"/>
  <c r="X272" i="23"/>
  <c r="X271" i="23"/>
  <c r="X239" i="23"/>
  <c r="X238" i="23"/>
  <c r="X237" i="23"/>
  <c r="X236" i="23"/>
  <c r="X229" i="23"/>
  <c r="X226" i="23"/>
  <c r="X225" i="23"/>
  <c r="X214" i="23"/>
  <c r="X213" i="23"/>
  <c r="X190" i="23"/>
  <c r="X174" i="23"/>
  <c r="X173" i="23"/>
  <c r="X172" i="23"/>
  <c r="X171" i="23"/>
  <c r="X164" i="23"/>
  <c r="X163" i="23"/>
  <c r="X151" i="23"/>
  <c r="X139" i="23"/>
  <c r="X138" i="23"/>
  <c r="X137" i="23"/>
  <c r="X133" i="23"/>
  <c r="X123" i="23"/>
  <c r="X122" i="23"/>
  <c r="X121" i="23"/>
  <c r="X120" i="23"/>
  <c r="X119" i="23"/>
  <c r="X118" i="23"/>
  <c r="X117" i="23"/>
  <c r="X116" i="23"/>
  <c r="X115" i="23"/>
  <c r="X114" i="23"/>
  <c r="X113" i="23"/>
  <c r="F19" i="25"/>
  <c r="F14" i="25"/>
  <c r="F20" i="25"/>
  <c r="F24" i="25"/>
  <c r="F23" i="25"/>
  <c r="F29" i="25"/>
  <c r="F11" i="25"/>
  <c r="F17" i="30" l="1"/>
  <c r="F23" i="30"/>
  <c r="F24" i="30"/>
  <c r="F20" i="30"/>
  <c r="F10" i="30"/>
  <c r="F18" i="30"/>
  <c r="F13" i="30"/>
  <c r="F16" i="30"/>
  <c r="X191" i="23"/>
  <c r="K286" i="31"/>
  <c r="L286" i="31" s="1"/>
  <c r="M286" i="31" s="1"/>
  <c r="F58" i="25"/>
  <c r="K247" i="31"/>
  <c r="L247" i="31" s="1"/>
  <c r="M247" i="31" s="1"/>
  <c r="F33" i="25"/>
  <c r="O376" i="23"/>
  <c r="O375" i="23"/>
  <c r="K14" i="31"/>
  <c r="L14" i="31" s="1"/>
  <c r="K39" i="31"/>
  <c r="L39" i="31" s="1"/>
  <c r="K21" i="31"/>
  <c r="L21" i="31" s="1"/>
  <c r="K30" i="31"/>
  <c r="L30" i="31" s="1"/>
  <c r="K40" i="31"/>
  <c r="L40" i="31" s="1"/>
  <c r="K48" i="31"/>
  <c r="L48" i="31" s="1"/>
  <c r="K55" i="31"/>
  <c r="L55" i="31" s="1"/>
  <c r="K45" i="31"/>
  <c r="L45" i="31" s="1"/>
  <c r="K27" i="31"/>
  <c r="L27" i="31" s="1"/>
  <c r="K47" i="31"/>
  <c r="L47" i="31" s="1"/>
  <c r="K26" i="31"/>
  <c r="L26" i="31" s="1"/>
  <c r="K38" i="31"/>
  <c r="L38" i="31" s="1"/>
  <c r="K19" i="31"/>
  <c r="L19" i="31" s="1"/>
  <c r="K22" i="31"/>
  <c r="L22" i="31" s="1"/>
  <c r="K37" i="31"/>
  <c r="L37" i="31" s="1"/>
  <c r="K18" i="31"/>
  <c r="L18" i="31" s="1"/>
  <c r="K53" i="31"/>
  <c r="L53" i="31" s="1"/>
  <c r="K28" i="31"/>
  <c r="L28" i="31" s="1"/>
  <c r="K31" i="31"/>
  <c r="L31" i="31" s="1"/>
  <c r="K56" i="31"/>
  <c r="L56" i="31" s="1"/>
  <c r="K23" i="31"/>
  <c r="L23" i="31" s="1"/>
  <c r="K34" i="31"/>
  <c r="L34" i="31" s="1"/>
  <c r="K42" i="31"/>
  <c r="L42" i="31" s="1"/>
  <c r="K49" i="31"/>
  <c r="L49" i="31" s="1"/>
  <c r="K57" i="31"/>
  <c r="L57" i="31" s="1"/>
  <c r="M57" i="31" s="1"/>
  <c r="K24" i="31"/>
  <c r="L24" i="31" s="1"/>
  <c r="K35" i="31"/>
  <c r="L35" i="31" s="1"/>
  <c r="K43" i="31"/>
  <c r="L43" i="31" s="1"/>
  <c r="K50" i="31"/>
  <c r="L50" i="31" s="1"/>
  <c r="K60" i="31"/>
  <c r="L60" i="31" s="1"/>
  <c r="K52" i="31"/>
  <c r="L52" i="31" s="1"/>
  <c r="M52" i="31" s="1"/>
  <c r="K46" i="31"/>
  <c r="L46" i="31" s="1"/>
  <c r="K54" i="31"/>
  <c r="L54" i="31" s="1"/>
  <c r="K41" i="31"/>
  <c r="L41" i="31" s="1"/>
  <c r="K11" i="31"/>
  <c r="L11" i="31" s="1"/>
  <c r="M11" i="31" s="1"/>
  <c r="K25" i="31"/>
  <c r="L25" i="31" s="1"/>
  <c r="K36" i="31"/>
  <c r="L36" i="31" s="1"/>
  <c r="K44" i="31"/>
  <c r="L44" i="31" s="1"/>
  <c r="K51" i="31"/>
  <c r="L51" i="31" s="1"/>
  <c r="K61" i="31"/>
  <c r="L61" i="31" s="1"/>
  <c r="K124" i="31"/>
  <c r="L124" i="31" s="1"/>
  <c r="M124" i="31" s="1"/>
  <c r="K194" i="31"/>
  <c r="L194" i="31" s="1"/>
  <c r="M194" i="31" s="1"/>
  <c r="F26" i="25"/>
  <c r="F22" i="25"/>
  <c r="F27" i="25"/>
  <c r="F35" i="25"/>
  <c r="X352" i="23"/>
  <c r="T8" i="23"/>
  <c r="Q8" i="23"/>
  <c r="Q125" i="23"/>
  <c r="Q10" i="23"/>
  <c r="Q74" i="23"/>
  <c r="Q175" i="23"/>
  <c r="R241" i="23"/>
  <c r="R344" i="23"/>
  <c r="R343" i="23" s="1"/>
  <c r="Q347" i="23"/>
  <c r="Q346" i="23" s="1"/>
  <c r="Q344" i="23"/>
  <c r="Q343" i="23" s="1"/>
  <c r="S351" i="23"/>
  <c r="S350" i="23" s="1"/>
  <c r="F59" i="25" l="1"/>
  <c r="F22" i="30"/>
  <c r="F27" i="30"/>
  <c r="F33" i="30"/>
  <c r="F31" i="30"/>
  <c r="F26" i="30"/>
  <c r="K161" i="31"/>
  <c r="L161" i="31" s="1"/>
  <c r="M161" i="31" s="1"/>
  <c r="M22" i="31"/>
  <c r="F54" i="30"/>
  <c r="M41" i="31"/>
  <c r="M31" i="31"/>
  <c r="M61" i="31"/>
  <c r="M60" i="31"/>
  <c r="M34" i="31"/>
  <c r="M56" i="31"/>
  <c r="M26" i="31"/>
  <c r="M40" i="31"/>
  <c r="M46" i="31"/>
  <c r="M53" i="31"/>
  <c r="M44" i="31"/>
  <c r="M43" i="31"/>
  <c r="M18" i="31"/>
  <c r="M27" i="31"/>
  <c r="M21" i="31"/>
  <c r="M14" i="31"/>
  <c r="M30" i="31"/>
  <c r="M36" i="31"/>
  <c r="M35" i="31"/>
  <c r="M37" i="31"/>
  <c r="M45" i="31"/>
  <c r="M24" i="31"/>
  <c r="M19" i="31"/>
  <c r="M23" i="31"/>
  <c r="M47" i="31"/>
  <c r="M25" i="31"/>
  <c r="M51" i="31"/>
  <c r="M50" i="31"/>
  <c r="M49" i="31"/>
  <c r="M28" i="31"/>
  <c r="M55" i="31"/>
  <c r="M39" i="31"/>
  <c r="M54" i="31"/>
  <c r="M42" i="31"/>
  <c r="M38" i="31"/>
  <c r="M48" i="31"/>
  <c r="K13" i="31"/>
  <c r="L13" i="31" s="1"/>
  <c r="M13" i="31" s="1"/>
  <c r="K29" i="31"/>
  <c r="L29" i="31" s="1"/>
  <c r="M29" i="31" s="1"/>
  <c r="Z352" i="23"/>
  <c r="K306" i="31"/>
  <c r="L306" i="31" s="1"/>
  <c r="K15" i="31"/>
  <c r="L15" i="31" s="1"/>
  <c r="K32" i="31"/>
  <c r="L32" i="31" s="1"/>
  <c r="M32" i="31" s="1"/>
  <c r="X351" i="23"/>
  <c r="X350" i="23" s="1"/>
  <c r="S347" i="23"/>
  <c r="S346" i="23" s="1"/>
  <c r="R354" i="23"/>
  <c r="R353" i="23" s="1"/>
  <c r="S354" i="23"/>
  <c r="S353" i="23" s="1"/>
  <c r="T347" i="23"/>
  <c r="T346" i="23" s="1"/>
  <c r="R301" i="23"/>
  <c r="T323" i="23"/>
  <c r="S182" i="23"/>
  <c r="S344" i="23"/>
  <c r="S343" i="23" s="1"/>
  <c r="R323" i="23"/>
  <c r="R175" i="23"/>
  <c r="Q7" i="23"/>
  <c r="Q360" i="23" s="1"/>
  <c r="R182" i="23"/>
  <c r="R181" i="23" s="1"/>
  <c r="R361" i="23" s="1"/>
  <c r="R351" i="23"/>
  <c r="R350" i="23" s="1"/>
  <c r="T351" i="23"/>
  <c r="T350" i="23" s="1"/>
  <c r="S323" i="23"/>
  <c r="S175" i="23"/>
  <c r="T175" i="23"/>
  <c r="F55" i="30" l="1"/>
  <c r="L305" i="31"/>
  <c r="L304" i="31" s="1"/>
  <c r="P306" i="31"/>
  <c r="M15" i="31"/>
  <c r="K305" i="31"/>
  <c r="M306" i="31"/>
  <c r="U347" i="23"/>
  <c r="U346" i="23" s="1"/>
  <c r="S241" i="23"/>
  <c r="U354" i="23"/>
  <c r="U353" i="23" s="1"/>
  <c r="S301" i="23"/>
  <c r="S300" i="23" s="1"/>
  <c r="S362" i="23" s="1"/>
  <c r="U175" i="23"/>
  <c r="U351" i="23"/>
  <c r="U350" i="23" s="1"/>
  <c r="R300" i="23"/>
  <c r="R362" i="23" s="1"/>
  <c r="T354" i="23"/>
  <c r="T353" i="23" s="1"/>
  <c r="T344" i="23"/>
  <c r="T343" i="23" s="1"/>
  <c r="U344" i="23"/>
  <c r="U343" i="23" s="1"/>
  <c r="U323" i="23"/>
  <c r="T125" i="23"/>
  <c r="T74" i="23"/>
  <c r="K304" i="31" l="1"/>
  <c r="M304" i="31" s="1"/>
  <c r="M305" i="31"/>
  <c r="V348" i="23"/>
  <c r="S181" i="23"/>
  <c r="S361" i="23" s="1"/>
  <c r="U301" i="23"/>
  <c r="U300" i="23" s="1"/>
  <c r="U362" i="23" s="1"/>
  <c r="T241" i="23"/>
  <c r="U74" i="23"/>
  <c r="U182" i="23"/>
  <c r="U181" i="23" l="1"/>
  <c r="U361" i="23" s="1"/>
  <c r="V347" i="23"/>
  <c r="V346" i="23" s="1"/>
  <c r="X348" i="23"/>
  <c r="K302" i="31" l="1"/>
  <c r="L302" i="31" s="1"/>
  <c r="L301" i="31" s="1"/>
  <c r="L300" i="31" s="1"/>
  <c r="X347" i="23"/>
  <c r="X346" i="23" s="1"/>
  <c r="M302" i="31" l="1"/>
  <c r="M301" i="31" s="1"/>
  <c r="M300" i="31" s="1"/>
  <c r="K301" i="31"/>
  <c r="K300" i="31" s="1"/>
  <c r="M354" i="23"/>
  <c r="M353" i="23" s="1"/>
  <c r="M351" i="23"/>
  <c r="M350" i="23" s="1"/>
  <c r="M347" i="23"/>
  <c r="M346" i="23" s="1"/>
  <c r="M344" i="23"/>
  <c r="M343" i="23" s="1"/>
  <c r="M323" i="23"/>
  <c r="M301" i="23"/>
  <c r="M241" i="23"/>
  <c r="M182" i="23"/>
  <c r="M175" i="23"/>
  <c r="M125" i="23"/>
  <c r="M74" i="23"/>
  <c r="M10" i="23"/>
  <c r="M6" i="3"/>
  <c r="M36" i="3"/>
  <c r="M72" i="3"/>
  <c r="M82" i="3"/>
  <c r="M94" i="3"/>
  <c r="M99" i="3"/>
  <c r="M109" i="3"/>
  <c r="M117" i="3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N354" i="23"/>
  <c r="N353" i="23" s="1"/>
  <c r="N351" i="23"/>
  <c r="N350" i="23" s="1"/>
  <c r="N347" i="23"/>
  <c r="N346" i="23" s="1"/>
  <c r="N344" i="23"/>
  <c r="N343" i="23" s="1"/>
  <c r="N323" i="23"/>
  <c r="N301" i="23"/>
  <c r="N241" i="23"/>
  <c r="N182" i="23"/>
  <c r="N175" i="23"/>
  <c r="N125" i="23"/>
  <c r="N74" i="23"/>
  <c r="N10" i="23"/>
  <c r="L351" i="23"/>
  <c r="L350" i="23" s="1"/>
  <c r="L347" i="23"/>
  <c r="L346" i="23" s="1"/>
  <c r="L344" i="23"/>
  <c r="L343" i="23" s="1"/>
  <c r="L323" i="23"/>
  <c r="L301" i="23"/>
  <c r="L241" i="23"/>
  <c r="L182" i="23"/>
  <c r="L175" i="23"/>
  <c r="L125" i="23"/>
  <c r="L74" i="23"/>
  <c r="L10" i="23"/>
  <c r="K351" i="23"/>
  <c r="K350" i="23" s="1"/>
  <c r="K347" i="23"/>
  <c r="K346" i="23" s="1"/>
  <c r="K344" i="23"/>
  <c r="K343" i="23" s="1"/>
  <c r="K323" i="23"/>
  <c r="K301" i="23"/>
  <c r="K241" i="23"/>
  <c r="K182" i="23"/>
  <c r="K175" i="23"/>
  <c r="K125" i="23"/>
  <c r="K74" i="23"/>
  <c r="K10" i="23"/>
  <c r="J354" i="23"/>
  <c r="J353" i="23" s="1"/>
  <c r="J351" i="23"/>
  <c r="J350" i="23" s="1"/>
  <c r="J347" i="23"/>
  <c r="J346" i="23" s="1"/>
  <c r="J344" i="23"/>
  <c r="J343" i="23" s="1"/>
  <c r="J323" i="23"/>
  <c r="J301" i="23"/>
  <c r="J241" i="23"/>
  <c r="J182" i="23"/>
  <c r="J175" i="23"/>
  <c r="J125" i="23"/>
  <c r="J74" i="23"/>
  <c r="J10" i="23"/>
  <c r="I351" i="23"/>
  <c r="I350" i="23" s="1"/>
  <c r="I347" i="23"/>
  <c r="I346" i="23" s="1"/>
  <c r="I344" i="23"/>
  <c r="I343" i="23" s="1"/>
  <c r="I323" i="23"/>
  <c r="I301" i="23"/>
  <c r="I241" i="23"/>
  <c r="I182" i="23"/>
  <c r="I175" i="23"/>
  <c r="I125" i="23"/>
  <c r="I74" i="23"/>
  <c r="I10" i="23"/>
  <c r="X220" i="1"/>
  <c r="Y220" i="1" s="1"/>
  <c r="AA220" i="1" s="1"/>
  <c r="N211" i="1"/>
  <c r="M211" i="1"/>
  <c r="L211" i="1"/>
  <c r="K211" i="1"/>
  <c r="J211" i="1"/>
  <c r="I211" i="1"/>
  <c r="I181" i="23" l="1"/>
  <c r="I361" i="23" s="1"/>
  <c r="I300" i="23"/>
  <c r="I362" i="23" s="1"/>
  <c r="M300" i="23"/>
  <c r="M362" i="23" s="1"/>
  <c r="L300" i="23"/>
  <c r="L362" i="23" s="1"/>
  <c r="N300" i="23"/>
  <c r="N362" i="23" s="1"/>
  <c r="J181" i="23"/>
  <c r="J361" i="23" s="1"/>
  <c r="K300" i="23"/>
  <c r="K362" i="23" s="1"/>
  <c r="M181" i="23"/>
  <c r="M361" i="23" s="1"/>
  <c r="M25" i="3"/>
  <c r="M35" i="3" s="1"/>
  <c r="M71" i="3" s="1"/>
  <c r="N181" i="23"/>
  <c r="N361" i="23" s="1"/>
  <c r="L181" i="23"/>
  <c r="L361" i="23" s="1"/>
  <c r="J300" i="23"/>
  <c r="J362" i="23" s="1"/>
  <c r="K181" i="23"/>
  <c r="K361" i="23" s="1"/>
  <c r="M116" i="3" l="1"/>
  <c r="M119" i="3" s="1"/>
  <c r="M120" i="3" s="1"/>
  <c r="I23" i="38"/>
  <c r="J23" i="38" s="1"/>
  <c r="M23" i="38" s="1"/>
  <c r="I206" i="40"/>
  <c r="M18" i="14"/>
  <c r="AC220" i="1"/>
  <c r="K109" i="17" l="1"/>
  <c r="K114" i="17" s="1"/>
  <c r="M9" i="23"/>
  <c r="M8" i="23" s="1"/>
  <c r="M7" i="23" s="1"/>
  <c r="M349" i="23" s="1"/>
  <c r="M5" i="23" s="1"/>
  <c r="X212" i="23"/>
  <c r="M360" i="23" l="1"/>
  <c r="H351" i="23"/>
  <c r="H350" i="23" s="1"/>
  <c r="H347" i="23"/>
  <c r="H346" i="23" s="1"/>
  <c r="K183" i="31" l="1"/>
  <c r="L183" i="31" s="1"/>
  <c r="X24" i="3"/>
  <c r="X23" i="3"/>
  <c r="X22" i="3"/>
  <c r="X21" i="3"/>
  <c r="X20" i="3"/>
  <c r="X19" i="3"/>
  <c r="X18" i="3"/>
  <c r="X17" i="3"/>
  <c r="X16" i="3"/>
  <c r="X15" i="3"/>
  <c r="X13" i="3"/>
  <c r="X12" i="3"/>
  <c r="X10" i="3"/>
  <c r="X9" i="3"/>
  <c r="X8" i="3"/>
  <c r="S24" i="3"/>
  <c r="S23" i="3"/>
  <c r="S22" i="3"/>
  <c r="S21" i="3"/>
  <c r="S20" i="3"/>
  <c r="S19" i="3"/>
  <c r="S18" i="3"/>
  <c r="S17" i="3"/>
  <c r="S16" i="3"/>
  <c r="S15" i="3"/>
  <c r="S13" i="3"/>
  <c r="S12" i="3"/>
  <c r="S10" i="3"/>
  <c r="S9" i="3"/>
  <c r="S8" i="3"/>
  <c r="F7" i="13"/>
  <c r="F8" i="13"/>
  <c r="O367" i="23"/>
  <c r="O365" i="23"/>
  <c r="X118" i="3"/>
  <c r="X114" i="3"/>
  <c r="X112" i="3"/>
  <c r="X111" i="3"/>
  <c r="X110" i="3"/>
  <c r="X100" i="3"/>
  <c r="X98" i="3"/>
  <c r="X96" i="3"/>
  <c r="X95" i="3"/>
  <c r="X93" i="3"/>
  <c r="X92" i="3"/>
  <c r="X91" i="3"/>
  <c r="X90" i="3"/>
  <c r="X89" i="3"/>
  <c r="X88" i="3"/>
  <c r="X87" i="3"/>
  <c r="X86" i="3"/>
  <c r="X85" i="3"/>
  <c r="X84" i="3"/>
  <c r="X83" i="3"/>
  <c r="X81" i="3"/>
  <c r="X80" i="3"/>
  <c r="X79" i="3"/>
  <c r="X78" i="3"/>
  <c r="X77" i="3"/>
  <c r="X76" i="3"/>
  <c r="X75" i="3"/>
  <c r="X74" i="3"/>
  <c r="X73" i="3"/>
  <c r="X70" i="3"/>
  <c r="X69" i="3"/>
  <c r="X68" i="3"/>
  <c r="X67" i="3"/>
  <c r="X66" i="3"/>
  <c r="X65" i="3"/>
  <c r="X64" i="3"/>
  <c r="X63" i="3"/>
  <c r="X62" i="3"/>
  <c r="X60" i="3"/>
  <c r="X59" i="3"/>
  <c r="X58" i="3"/>
  <c r="X57" i="3"/>
  <c r="X56" i="3"/>
  <c r="X55" i="3"/>
  <c r="X54" i="3"/>
  <c r="X53" i="3"/>
  <c r="X52" i="3"/>
  <c r="X51" i="3"/>
  <c r="X50" i="3"/>
  <c r="Y50" i="3" s="1"/>
  <c r="AA50" i="3" s="1"/>
  <c r="M106" i="22" s="1"/>
  <c r="X49" i="3"/>
  <c r="Y49" i="3" s="1"/>
  <c r="AA49" i="3" s="1"/>
  <c r="M105" i="22" s="1"/>
  <c r="X48" i="3"/>
  <c r="X47" i="3"/>
  <c r="X46" i="3"/>
  <c r="Y46" i="3" s="1"/>
  <c r="AA46" i="3" s="1"/>
  <c r="M104" i="22" s="1"/>
  <c r="X44" i="3"/>
  <c r="X43" i="3"/>
  <c r="X42" i="3"/>
  <c r="X41" i="3"/>
  <c r="X40" i="3"/>
  <c r="X38" i="3"/>
  <c r="X37" i="3"/>
  <c r="X34" i="3"/>
  <c r="X33" i="3"/>
  <c r="X32" i="3"/>
  <c r="X31" i="3"/>
  <c r="X30" i="3"/>
  <c r="X29" i="3"/>
  <c r="X28" i="3"/>
  <c r="X27" i="3"/>
  <c r="X26" i="3"/>
  <c r="X7" i="3"/>
  <c r="Y23" i="3" l="1"/>
  <c r="AA23" i="3" s="1"/>
  <c r="Y16" i="3"/>
  <c r="AA16" i="3" s="1"/>
  <c r="Y24" i="3"/>
  <c r="AA24" i="3" s="1"/>
  <c r="Y20" i="3"/>
  <c r="AA20" i="3" s="1"/>
  <c r="Y22" i="3"/>
  <c r="AA22" i="3" s="1"/>
  <c r="Y21" i="3"/>
  <c r="AA21" i="3" s="1"/>
  <c r="Y13" i="3"/>
  <c r="AA13" i="3" s="1"/>
  <c r="Y19" i="3"/>
  <c r="AA19" i="3" s="1"/>
  <c r="Y15" i="3"/>
  <c r="AA15" i="3" s="1"/>
  <c r="M89" i="22" s="1"/>
  <c r="Y18" i="3"/>
  <c r="AA18" i="3" s="1"/>
  <c r="M90" i="22" s="1"/>
  <c r="Y9" i="3"/>
  <c r="AA9" i="3" s="1"/>
  <c r="M88" i="22" s="1"/>
  <c r="Y12" i="3"/>
  <c r="AA12" i="3" s="1"/>
  <c r="M87" i="22" s="1"/>
  <c r="Y86" i="3"/>
  <c r="AA86" i="3" s="1"/>
  <c r="Y17" i="3"/>
  <c r="AA17" i="3" s="1"/>
  <c r="Y8" i="3"/>
  <c r="AA8" i="3" s="1"/>
  <c r="Y10" i="3"/>
  <c r="AA10" i="3" s="1"/>
  <c r="Y47" i="3"/>
  <c r="AA47" i="3" s="1"/>
  <c r="M103" i="22" s="1"/>
  <c r="Y48" i="3"/>
  <c r="AA48" i="3" s="1"/>
  <c r="M183" i="31"/>
  <c r="O366" i="23"/>
  <c r="W211" i="1"/>
  <c r="S103" i="22" l="1"/>
  <c r="S149" i="22"/>
  <c r="K88" i="22" l="1"/>
  <c r="S88" i="22"/>
  <c r="K105" i="22"/>
  <c r="S105" i="22"/>
  <c r="K106" i="22"/>
  <c r="S106" i="22"/>
  <c r="K89" i="22"/>
  <c r="S89" i="22"/>
  <c r="K104" i="22"/>
  <c r="S104" i="22"/>
  <c r="K154" i="22"/>
  <c r="S154" i="22"/>
  <c r="K149" i="22"/>
  <c r="K103" i="22"/>
  <c r="O9" i="31"/>
  <c r="X226" i="1"/>
  <c r="X198" i="1"/>
  <c r="X196" i="1"/>
  <c r="X194" i="1"/>
  <c r="X191" i="1"/>
  <c r="X188" i="1"/>
  <c r="X186" i="1"/>
  <c r="X163" i="1"/>
  <c r="X156" i="1"/>
  <c r="X136" i="1"/>
  <c r="K7" i="19"/>
  <c r="I14" i="19"/>
  <c r="H14" i="19"/>
  <c r="O27" i="19"/>
  <c r="N27" i="19"/>
  <c r="M27" i="19"/>
  <c r="L27" i="19"/>
  <c r="K27" i="19"/>
  <c r="J27" i="19"/>
  <c r="I27" i="19"/>
  <c r="H27" i="19"/>
  <c r="F27" i="19"/>
  <c r="T10" i="15"/>
  <c r="Q11" i="15"/>
  <c r="R11" i="15" s="1"/>
  <c r="S11" i="15" s="1"/>
  <c r="Q10" i="15"/>
  <c r="Q9" i="15"/>
  <c r="Q8" i="15"/>
  <c r="Q7" i="15"/>
  <c r="Q6" i="15"/>
  <c r="N12" i="15"/>
  <c r="J12" i="15"/>
  <c r="I12" i="15"/>
  <c r="H12" i="15"/>
  <c r="G12" i="15"/>
  <c r="L11" i="15"/>
  <c r="K13" i="19" s="1"/>
  <c r="K90" i="22" l="1"/>
  <c r="S90" i="22"/>
  <c r="K87" i="22"/>
  <c r="S87" i="22"/>
  <c r="G12" i="19"/>
  <c r="J12" i="19" s="1"/>
  <c r="N12" i="19" s="1"/>
  <c r="G25" i="19" s="1"/>
  <c r="P25" i="19" s="1"/>
  <c r="L16" i="19"/>
  <c r="Q12" i="15"/>
  <c r="L10" i="15"/>
  <c r="L9" i="15"/>
  <c r="K11" i="19" s="1"/>
  <c r="L8" i="15"/>
  <c r="K10" i="19" s="1"/>
  <c r="L7" i="15"/>
  <c r="K9" i="19" s="1"/>
  <c r="L6" i="15"/>
  <c r="F10" i="15"/>
  <c r="K10" i="15" s="1"/>
  <c r="P10" i="15"/>
  <c r="R10" i="15" s="1"/>
  <c r="P8" i="15"/>
  <c r="R8" i="15" s="1"/>
  <c r="P7" i="15"/>
  <c r="R7" i="15" s="1"/>
  <c r="P6" i="15"/>
  <c r="R6" i="15" s="1"/>
  <c r="P5" i="15"/>
  <c r="R5" i="15" l="1"/>
  <c r="L12" i="15"/>
  <c r="K8" i="19"/>
  <c r="G14" i="19"/>
  <c r="M10" i="15"/>
  <c r="S10" i="15" s="1"/>
  <c r="U10" i="15" s="1"/>
  <c r="Q25" i="19" s="1"/>
  <c r="E28" i="14" l="1"/>
  <c r="J14" i="14" s="1"/>
  <c r="G14" i="14" s="1"/>
  <c r="X131" i="1" l="1"/>
  <c r="X130" i="1" s="1"/>
  <c r="X79" i="1"/>
  <c r="X70" i="1"/>
  <c r="X53" i="1"/>
  <c r="X33" i="1"/>
  <c r="X15" i="1"/>
  <c r="X10" i="1"/>
  <c r="Y10" i="1" s="1"/>
  <c r="J4" i="12"/>
  <c r="F27" i="4"/>
  <c r="F28" i="4" s="1"/>
  <c r="F26" i="4"/>
  <c r="F9" i="13"/>
  <c r="X52" i="1" l="1"/>
  <c r="V52" i="1"/>
  <c r="V211" i="1"/>
  <c r="J4" i="13" l="1"/>
  <c r="I4" i="13"/>
  <c r="H4" i="13"/>
  <c r="G4" i="13"/>
  <c r="F4" i="13" l="1"/>
  <c r="W117" i="3" l="1"/>
  <c r="X117" i="3"/>
  <c r="X113" i="3"/>
  <c r="W113" i="3"/>
  <c r="W109" i="3"/>
  <c r="X109" i="3"/>
  <c r="X99" i="3"/>
  <c r="W99" i="3"/>
  <c r="X94" i="3"/>
  <c r="W94" i="3"/>
  <c r="W82" i="3"/>
  <c r="X82" i="3"/>
  <c r="X72" i="3"/>
  <c r="W72" i="3"/>
  <c r="X36" i="3"/>
  <c r="W36" i="3"/>
  <c r="X25" i="3"/>
  <c r="W25" i="3"/>
  <c r="X6" i="3"/>
  <c r="W6" i="3"/>
  <c r="V117" i="3"/>
  <c r="V113" i="3"/>
  <c r="V109" i="3"/>
  <c r="V99" i="3"/>
  <c r="V94" i="3"/>
  <c r="V82" i="3"/>
  <c r="V72" i="3"/>
  <c r="V36" i="3"/>
  <c r="V25" i="3"/>
  <c r="V6" i="3"/>
  <c r="V11" i="16"/>
  <c r="W11" i="16" s="1"/>
  <c r="X11" i="16" s="1"/>
  <c r="U12" i="16"/>
  <c r="X35" i="3" l="1"/>
  <c r="X71" i="3" s="1"/>
  <c r="X116" i="3" s="1"/>
  <c r="X119" i="3" s="1"/>
  <c r="W35" i="3"/>
  <c r="W71" i="3" s="1"/>
  <c r="W116" i="3" s="1"/>
  <c r="W119" i="3" s="1"/>
  <c r="V35" i="3"/>
  <c r="V71" i="3" s="1"/>
  <c r="V116" i="3" s="1"/>
  <c r="V119" i="3" s="1"/>
  <c r="X120" i="3" l="1"/>
  <c r="W120" i="3"/>
  <c r="V120" i="3"/>
  <c r="V121" i="3" l="1"/>
  <c r="V122" i="3"/>
  <c r="V229" i="1"/>
  <c r="W121" i="3"/>
  <c r="W122" i="3"/>
  <c r="W229" i="1"/>
  <c r="X121" i="3"/>
  <c r="N12" i="16"/>
  <c r="O10" i="1" l="1"/>
  <c r="AA10" i="1" s="1"/>
  <c r="X86" i="1"/>
  <c r="W86" i="1"/>
  <c r="V86" i="1"/>
  <c r="N86" i="1"/>
  <c r="M86" i="1"/>
  <c r="L86" i="1"/>
  <c r="K86" i="1"/>
  <c r="I8" i="40" l="1"/>
  <c r="M5" i="22"/>
  <c r="S5" i="22" s="1"/>
  <c r="X9" i="1"/>
  <c r="W9" i="1"/>
  <c r="V9" i="1"/>
  <c r="N9" i="1"/>
  <c r="E24" i="24" s="1"/>
  <c r="G24" i="24" s="1"/>
  <c r="J24" i="24" s="1"/>
  <c r="M24" i="24" s="1"/>
  <c r="M9" i="1"/>
  <c r="E23" i="24" s="1"/>
  <c r="G23" i="24" s="1"/>
  <c r="J23" i="24" s="1"/>
  <c r="M23" i="24" s="1"/>
  <c r="L9" i="1"/>
  <c r="K9" i="1"/>
  <c r="J9" i="1"/>
  <c r="E19" i="24" s="1"/>
  <c r="G19" i="24" s="1"/>
  <c r="I9" i="1"/>
  <c r="I355" i="23" s="1"/>
  <c r="H9" i="1"/>
  <c r="J19" i="24" l="1"/>
  <c r="M19" i="24" s="1"/>
  <c r="E22" i="24"/>
  <c r="E20" i="24"/>
  <c r="Q315" i="23"/>
  <c r="K5" i="22"/>
  <c r="E18" i="24"/>
  <c r="E17" i="24"/>
  <c r="K4" i="17"/>
  <c r="K84" i="17" s="1"/>
  <c r="J4" i="17"/>
  <c r="J84" i="17" s="1"/>
  <c r="K27" i="17"/>
  <c r="K80" i="17" s="1"/>
  <c r="K79" i="17" s="1"/>
  <c r="K25" i="17"/>
  <c r="K78" i="17" s="1"/>
  <c r="K24" i="17"/>
  <c r="K77" i="17" s="1"/>
  <c r="K23" i="17"/>
  <c r="K76" i="17" s="1"/>
  <c r="T10" i="16" s="1"/>
  <c r="V10" i="16" s="1"/>
  <c r="W10" i="16" s="1"/>
  <c r="X10" i="16" s="1"/>
  <c r="K21" i="17"/>
  <c r="K74" i="17" s="1"/>
  <c r="K20" i="17"/>
  <c r="K73" i="17" s="1"/>
  <c r="K19" i="17"/>
  <c r="K18" i="17"/>
  <c r="K17" i="17"/>
  <c r="K16" i="17"/>
  <c r="K15" i="17"/>
  <c r="K68" i="17" s="1"/>
  <c r="K14" i="17"/>
  <c r="K67" i="17" s="1"/>
  <c r="K12" i="17"/>
  <c r="K65" i="17" s="1"/>
  <c r="K11" i="17"/>
  <c r="K64" i="17" s="1"/>
  <c r="K10" i="17"/>
  <c r="K63" i="17" s="1"/>
  <c r="K8" i="17"/>
  <c r="K61" i="17" s="1"/>
  <c r="K60" i="17" s="1"/>
  <c r="K90" i="17" s="1"/>
  <c r="J8" i="17"/>
  <c r="J7" i="17" s="1"/>
  <c r="L27" i="17"/>
  <c r="J27" i="17"/>
  <c r="I27" i="17"/>
  <c r="I80" i="17" s="1"/>
  <c r="I79" i="17" s="1"/>
  <c r="H27" i="17"/>
  <c r="H80" i="17" s="1"/>
  <c r="H79" i="17" s="1"/>
  <c r="L25" i="17"/>
  <c r="J78" i="17"/>
  <c r="I78" i="17"/>
  <c r="H78" i="17"/>
  <c r="L24" i="17"/>
  <c r="J77" i="17"/>
  <c r="I77" i="17"/>
  <c r="H77" i="17"/>
  <c r="L23" i="17"/>
  <c r="J76" i="17"/>
  <c r="T9" i="16" s="1"/>
  <c r="V9" i="16" s="1"/>
  <c r="I76" i="17"/>
  <c r="T8" i="16" s="1"/>
  <c r="V8" i="16" s="1"/>
  <c r="H76" i="17"/>
  <c r="T7" i="16" s="1"/>
  <c r="V7" i="16" s="1"/>
  <c r="L21" i="17"/>
  <c r="I74" i="17"/>
  <c r="L20" i="17"/>
  <c r="I73" i="17"/>
  <c r="L19" i="17"/>
  <c r="L18" i="17"/>
  <c r="L71" i="17" s="1"/>
  <c r="L17" i="17"/>
  <c r="L70" i="17" s="1"/>
  <c r="I70" i="17"/>
  <c r="L16" i="17"/>
  <c r="I69" i="17"/>
  <c r="L15" i="17"/>
  <c r="J68" i="17"/>
  <c r="I68" i="17"/>
  <c r="H68" i="17"/>
  <c r="L14" i="17"/>
  <c r="I67" i="17"/>
  <c r="H67" i="17"/>
  <c r="L12" i="17"/>
  <c r="J65" i="17"/>
  <c r="I65" i="17"/>
  <c r="H65" i="17"/>
  <c r="L11" i="17"/>
  <c r="J64" i="17"/>
  <c r="I64" i="17"/>
  <c r="H64" i="17"/>
  <c r="L10" i="17"/>
  <c r="L63" i="17" s="1"/>
  <c r="J63" i="17"/>
  <c r="I63" i="17"/>
  <c r="H63" i="17"/>
  <c r="L8" i="17"/>
  <c r="L7" i="17" s="1"/>
  <c r="I8" i="17"/>
  <c r="I61" i="17" s="1"/>
  <c r="H61" i="17"/>
  <c r="G27" i="17"/>
  <c r="G80" i="17" s="1"/>
  <c r="G79" i="17" s="1"/>
  <c r="G78" i="17"/>
  <c r="G77" i="17"/>
  <c r="G76" i="17"/>
  <c r="T6" i="16" s="1"/>
  <c r="V6" i="16" s="1"/>
  <c r="W6" i="16" s="1"/>
  <c r="X6" i="16" s="1"/>
  <c r="G73" i="17"/>
  <c r="G72" i="17"/>
  <c r="G70" i="17"/>
  <c r="G68" i="17"/>
  <c r="G67" i="17"/>
  <c r="G65" i="17"/>
  <c r="G64" i="17"/>
  <c r="G63" i="17"/>
  <c r="G8" i="17"/>
  <c r="G61" i="17" s="1"/>
  <c r="F27" i="17"/>
  <c r="F26" i="17" s="1"/>
  <c r="F24" i="17"/>
  <c r="F77" i="17" s="1"/>
  <c r="F23" i="17"/>
  <c r="F21" i="17"/>
  <c r="F74" i="17" s="1"/>
  <c r="F20" i="17"/>
  <c r="F73" i="17" s="1"/>
  <c r="F19" i="17"/>
  <c r="F18" i="17"/>
  <c r="F17" i="17"/>
  <c r="F70" i="17" s="1"/>
  <c r="F100" i="17" s="1"/>
  <c r="F16" i="17"/>
  <c r="F15" i="17"/>
  <c r="F68" i="17" s="1"/>
  <c r="F14" i="17"/>
  <c r="F12" i="17"/>
  <c r="F65" i="17" s="1"/>
  <c r="F11" i="17"/>
  <c r="F64" i="17" s="1"/>
  <c r="F10" i="17"/>
  <c r="F8" i="17"/>
  <c r="F61" i="17" s="1"/>
  <c r="F87" i="17" s="1"/>
  <c r="F89" i="17" s="1"/>
  <c r="J13" i="14"/>
  <c r="G13" i="14" s="1"/>
  <c r="H13" i="14" s="1"/>
  <c r="J12" i="14"/>
  <c r="G12" i="14" s="1"/>
  <c r="H12" i="14" s="1"/>
  <c r="J11" i="14"/>
  <c r="G11" i="14" s="1"/>
  <c r="H11" i="14" s="1"/>
  <c r="J10" i="14"/>
  <c r="G10" i="14" s="1"/>
  <c r="H10" i="14" s="1"/>
  <c r="J8" i="14"/>
  <c r="G8" i="14" s="1"/>
  <c r="H8" i="14" s="1"/>
  <c r="J7" i="14"/>
  <c r="G7" i="14" s="1"/>
  <c r="H7" i="14" s="1"/>
  <c r="Q211" i="1"/>
  <c r="R205" i="1"/>
  <c r="T205" i="1"/>
  <c r="U205" i="1"/>
  <c r="R197" i="1"/>
  <c r="Q195" i="1"/>
  <c r="R195" i="1"/>
  <c r="T195" i="1"/>
  <c r="U195" i="1"/>
  <c r="Q193" i="1"/>
  <c r="R193" i="1"/>
  <c r="T193" i="1"/>
  <c r="U193" i="1"/>
  <c r="Q187" i="1"/>
  <c r="R187" i="1"/>
  <c r="T187" i="1"/>
  <c r="U187" i="1"/>
  <c r="Q185" i="1"/>
  <c r="R185" i="1"/>
  <c r="T185" i="1"/>
  <c r="U185" i="1"/>
  <c r="S129" i="1"/>
  <c r="Q83" i="1"/>
  <c r="R83" i="1"/>
  <c r="U83" i="1"/>
  <c r="X135" i="1"/>
  <c r="X155" i="1"/>
  <c r="X162" i="1"/>
  <c r="X185" i="1"/>
  <c r="X187" i="1"/>
  <c r="X190" i="1"/>
  <c r="X193" i="1"/>
  <c r="X195" i="1"/>
  <c r="X197" i="1"/>
  <c r="W205" i="1"/>
  <c r="W207" i="1"/>
  <c r="W221" i="1"/>
  <c r="W135" i="1"/>
  <c r="W155" i="1"/>
  <c r="W162" i="1"/>
  <c r="W185" i="1"/>
  <c r="W187" i="1"/>
  <c r="W190" i="1"/>
  <c r="W193" i="1"/>
  <c r="W195" i="1"/>
  <c r="W197" i="1"/>
  <c r="X225" i="1"/>
  <c r="W225" i="1"/>
  <c r="X109" i="1"/>
  <c r="W109" i="1"/>
  <c r="W83" i="1"/>
  <c r="X78" i="1"/>
  <c r="W78" i="1"/>
  <c r="X69" i="1"/>
  <c r="W69" i="1"/>
  <c r="X47" i="1"/>
  <c r="W47" i="1"/>
  <c r="X37" i="1"/>
  <c r="W37" i="1"/>
  <c r="X32" i="1"/>
  <c r="W32" i="1"/>
  <c r="X14" i="1"/>
  <c r="W14" i="1"/>
  <c r="J4" i="5"/>
  <c r="I4" i="5"/>
  <c r="G4" i="5"/>
  <c r="G33" i="24"/>
  <c r="J33" i="24" s="1"/>
  <c r="M33" i="24" s="1"/>
  <c r="R33" i="23" s="1"/>
  <c r="V33" i="23" s="1"/>
  <c r="V109" i="1"/>
  <c r="V190" i="1"/>
  <c r="V193" i="1"/>
  <c r="V195" i="1"/>
  <c r="V197" i="1"/>
  <c r="T197" i="1"/>
  <c r="S197" i="1"/>
  <c r="Q197" i="1"/>
  <c r="O193" i="1"/>
  <c r="O195" i="1"/>
  <c r="O197" i="1"/>
  <c r="N190" i="1"/>
  <c r="N193" i="1"/>
  <c r="N195" i="1"/>
  <c r="N197" i="1"/>
  <c r="L190" i="1"/>
  <c r="L193" i="1"/>
  <c r="L195" i="1"/>
  <c r="L197" i="1"/>
  <c r="K190" i="1"/>
  <c r="K193" i="1"/>
  <c r="K195" i="1"/>
  <c r="K197" i="1"/>
  <c r="J190" i="1"/>
  <c r="J193" i="1"/>
  <c r="J195" i="1"/>
  <c r="J197" i="1"/>
  <c r="I190" i="1"/>
  <c r="I193" i="1"/>
  <c r="I195" i="1"/>
  <c r="I197" i="1"/>
  <c r="N109" i="1"/>
  <c r="L109" i="1"/>
  <c r="K109" i="1"/>
  <c r="J109" i="1"/>
  <c r="I109" i="1"/>
  <c r="T99" i="3"/>
  <c r="R99" i="3"/>
  <c r="Q99" i="3"/>
  <c r="O369" i="23"/>
  <c r="O370" i="23"/>
  <c r="O368" i="23"/>
  <c r="N99" i="3"/>
  <c r="L99" i="3"/>
  <c r="K99" i="3"/>
  <c r="J99" i="3"/>
  <c r="I99" i="3"/>
  <c r="H18" i="10"/>
  <c r="M18" i="11"/>
  <c r="AO18" i="11" s="1"/>
  <c r="M17" i="11"/>
  <c r="J23" i="11"/>
  <c r="M21" i="11"/>
  <c r="O21" i="11" s="1"/>
  <c r="M22" i="11"/>
  <c r="S22" i="11" s="1"/>
  <c r="M19" i="11"/>
  <c r="S19" i="11" s="1"/>
  <c r="H20" i="11"/>
  <c r="H23" i="11" s="1"/>
  <c r="L23" i="11"/>
  <c r="K23" i="11"/>
  <c r="I23" i="11"/>
  <c r="G23" i="11"/>
  <c r="M7" i="11"/>
  <c r="S7" i="11" s="1"/>
  <c r="X7" i="11" s="1"/>
  <c r="M8" i="11"/>
  <c r="S8" i="11" s="1"/>
  <c r="X8" i="11" s="1"/>
  <c r="M9" i="11"/>
  <c r="S9" i="11" s="1"/>
  <c r="M10" i="11"/>
  <c r="S10" i="11" s="1"/>
  <c r="X10" i="11" s="1"/>
  <c r="M11" i="11"/>
  <c r="S11" i="11" s="1"/>
  <c r="X11" i="11" s="1"/>
  <c r="G8" i="11"/>
  <c r="H17" i="10"/>
  <c r="I8" i="10"/>
  <c r="J8" i="10" s="1"/>
  <c r="F10" i="10"/>
  <c r="H10" i="10" s="1"/>
  <c r="H7" i="10"/>
  <c r="T6" i="3"/>
  <c r="T72" i="3"/>
  <c r="T82" i="3"/>
  <c r="T94" i="3"/>
  <c r="T113" i="3"/>
  <c r="T117" i="3"/>
  <c r="R6" i="3"/>
  <c r="R25" i="3"/>
  <c r="R36" i="3"/>
  <c r="R72" i="3"/>
  <c r="R82" i="3"/>
  <c r="R94" i="3"/>
  <c r="R109" i="3"/>
  <c r="R117" i="3"/>
  <c r="Q6" i="3"/>
  <c r="Q25" i="3"/>
  <c r="Q36" i="3"/>
  <c r="Q72" i="3"/>
  <c r="Q82" i="3"/>
  <c r="Q94" i="3"/>
  <c r="Q117" i="3"/>
  <c r="H57" i="8"/>
  <c r="H61" i="8" s="1"/>
  <c r="G57" i="8"/>
  <c r="G61" i="8" s="1"/>
  <c r="F57" i="8"/>
  <c r="F61" i="8" s="1"/>
  <c r="F36" i="8"/>
  <c r="F16" i="8"/>
  <c r="F11" i="8"/>
  <c r="F13" i="8" s="1"/>
  <c r="F14" i="8" s="1"/>
  <c r="J16" i="8" s="1"/>
  <c r="F30" i="8"/>
  <c r="F33" i="8" s="1"/>
  <c r="F31" i="8"/>
  <c r="F29" i="8"/>
  <c r="S112" i="3"/>
  <c r="Y112" i="3" s="1"/>
  <c r="AA112" i="3" s="1"/>
  <c r="S111" i="3"/>
  <c r="Y111" i="3" s="1"/>
  <c r="AA111" i="3" s="1"/>
  <c r="S110" i="3"/>
  <c r="Y110" i="3" s="1"/>
  <c r="AA110" i="3" s="1"/>
  <c r="S105" i="3"/>
  <c r="Y105" i="3" s="1"/>
  <c r="AA105" i="3" s="1"/>
  <c r="M150" i="22" s="1"/>
  <c r="S104" i="3"/>
  <c r="Y104" i="3" s="1"/>
  <c r="AA104" i="3" s="1"/>
  <c r="M142" i="22" s="1"/>
  <c r="S101" i="3"/>
  <c r="Y101" i="3" s="1"/>
  <c r="AA101" i="3" s="1"/>
  <c r="M146" i="22" s="1"/>
  <c r="S100" i="3"/>
  <c r="S96" i="3"/>
  <c r="S93" i="3"/>
  <c r="S91" i="3"/>
  <c r="S90" i="3"/>
  <c r="S89" i="3"/>
  <c r="S88" i="3"/>
  <c r="S87" i="3"/>
  <c r="S84" i="3"/>
  <c r="S83" i="3"/>
  <c r="Y83" i="3" s="1"/>
  <c r="AA83" i="3" s="1"/>
  <c r="S79" i="3"/>
  <c r="S78" i="3"/>
  <c r="S77" i="3"/>
  <c r="S76" i="3"/>
  <c r="S75" i="3"/>
  <c r="S74" i="3"/>
  <c r="S62" i="3"/>
  <c r="S61" i="3"/>
  <c r="S51" i="3"/>
  <c r="S45" i="3"/>
  <c r="S40" i="3"/>
  <c r="S38" i="3"/>
  <c r="S37" i="3"/>
  <c r="Y37" i="3" s="1"/>
  <c r="AA37" i="3" s="1"/>
  <c r="M94" i="22" s="1"/>
  <c r="S34" i="3"/>
  <c r="S33" i="3"/>
  <c r="S32" i="3"/>
  <c r="S31" i="3"/>
  <c r="S30" i="3"/>
  <c r="S29" i="3"/>
  <c r="S27" i="3"/>
  <c r="S26" i="3"/>
  <c r="S12" i="1"/>
  <c r="Y12" i="1" s="1"/>
  <c r="AA12" i="1" s="1"/>
  <c r="S13" i="1"/>
  <c r="Y13" i="1" s="1"/>
  <c r="AA13" i="1" s="1"/>
  <c r="S16" i="1"/>
  <c r="Y16" i="1" s="1"/>
  <c r="AA16" i="1" s="1"/>
  <c r="S18" i="1"/>
  <c r="Y18" i="1" s="1"/>
  <c r="AA18" i="1" s="1"/>
  <c r="S31" i="1"/>
  <c r="Y31" i="1" s="1"/>
  <c r="AA31" i="1" s="1"/>
  <c r="M51" i="22" s="1"/>
  <c r="S33" i="1"/>
  <c r="Y33" i="1" s="1"/>
  <c r="AA33" i="1" s="1"/>
  <c r="S34" i="1"/>
  <c r="Y34" i="1" s="1"/>
  <c r="AA34" i="1" s="1"/>
  <c r="M7" i="22" s="1"/>
  <c r="S35" i="1"/>
  <c r="Y35" i="1" s="1"/>
  <c r="AA35" i="1" s="1"/>
  <c r="S36" i="1"/>
  <c r="Y36" i="1" s="1"/>
  <c r="AA36" i="1" s="1"/>
  <c r="S38" i="1"/>
  <c r="Y38" i="1" s="1"/>
  <c r="AA38" i="1" s="1"/>
  <c r="M23" i="22" s="1"/>
  <c r="S39" i="1"/>
  <c r="Y39" i="1" s="1"/>
  <c r="AA39" i="1" s="1"/>
  <c r="M24" i="22" s="1"/>
  <c r="S41" i="1"/>
  <c r="Y41" i="1" s="1"/>
  <c r="AA41" i="1" s="1"/>
  <c r="M26" i="22" s="1"/>
  <c r="S42" i="1"/>
  <c r="Y42" i="1" s="1"/>
  <c r="AA42" i="1" s="1"/>
  <c r="M27" i="22" s="1"/>
  <c r="S43" i="1"/>
  <c r="Y43" i="1" s="1"/>
  <c r="AA43" i="1" s="1"/>
  <c r="M28" i="22" s="1"/>
  <c r="S44" i="1"/>
  <c r="Y44" i="1" s="1"/>
  <c r="AA44" i="1" s="1"/>
  <c r="M29" i="22" s="1"/>
  <c r="S45" i="1"/>
  <c r="Y45" i="1" s="1"/>
  <c r="AA45" i="1" s="1"/>
  <c r="M30" i="22" s="1"/>
  <c r="S46" i="1"/>
  <c r="Y46" i="1" s="1"/>
  <c r="AA46" i="1" s="1"/>
  <c r="S48" i="1"/>
  <c r="Y48" i="1" s="1"/>
  <c r="AA48" i="1" s="1"/>
  <c r="S49" i="1"/>
  <c r="Y49" i="1" s="1"/>
  <c r="AA49" i="1" s="1"/>
  <c r="S50" i="1"/>
  <c r="Y50" i="1" s="1"/>
  <c r="AA50" i="1" s="1"/>
  <c r="S51" i="1"/>
  <c r="Y51" i="1" s="1"/>
  <c r="AA51" i="1" s="1"/>
  <c r="S53" i="1"/>
  <c r="Y53" i="1" s="1"/>
  <c r="AA53" i="1" s="1"/>
  <c r="S54" i="1"/>
  <c r="Y54" i="1" s="1"/>
  <c r="AA54" i="1" s="1"/>
  <c r="S55" i="1"/>
  <c r="Y55" i="1" s="1"/>
  <c r="AA55" i="1" s="1"/>
  <c r="S56" i="1"/>
  <c r="Y56" i="1" s="1"/>
  <c r="AA56" i="1" s="1"/>
  <c r="M155" i="22" s="1"/>
  <c r="S57" i="1"/>
  <c r="Y57" i="1" s="1"/>
  <c r="AA57" i="1" s="1"/>
  <c r="S58" i="1"/>
  <c r="Y58" i="1" s="1"/>
  <c r="AA58" i="1" s="1"/>
  <c r="S59" i="1"/>
  <c r="Y59" i="1" s="1"/>
  <c r="AA59" i="1" s="1"/>
  <c r="S61" i="1"/>
  <c r="Y61" i="1" s="1"/>
  <c r="AA61" i="1" s="1"/>
  <c r="S63" i="1"/>
  <c r="Y63" i="1" s="1"/>
  <c r="AA63" i="1" s="1"/>
  <c r="S64" i="1"/>
  <c r="Y64" i="1" s="1"/>
  <c r="AA64" i="1" s="1"/>
  <c r="S66" i="1"/>
  <c r="Y66" i="1" s="1"/>
  <c r="AA66" i="1" s="1"/>
  <c r="S67" i="1"/>
  <c r="Y67" i="1" s="1"/>
  <c r="AA67" i="1" s="1"/>
  <c r="S70" i="1"/>
  <c r="Y70" i="1" s="1"/>
  <c r="AA70" i="1" s="1"/>
  <c r="S79" i="1"/>
  <c r="Y79" i="1" s="1"/>
  <c r="AA79" i="1" s="1"/>
  <c r="M53" i="22" s="1"/>
  <c r="S80" i="1"/>
  <c r="Y80" i="1" s="1"/>
  <c r="AA80" i="1" s="1"/>
  <c r="S81" i="1"/>
  <c r="Y81" i="1" s="1"/>
  <c r="AA81" i="1" s="1"/>
  <c r="S82" i="1"/>
  <c r="Y82" i="1" s="1"/>
  <c r="AA82" i="1" s="1"/>
  <c r="S84" i="1"/>
  <c r="S85" i="1"/>
  <c r="Y85" i="1" s="1"/>
  <c r="AA85" i="1" s="1"/>
  <c r="S87" i="1"/>
  <c r="Y87" i="1" s="1"/>
  <c r="AA87" i="1" s="1"/>
  <c r="M35" i="22" s="1"/>
  <c r="S88" i="1"/>
  <c r="Y88" i="1" s="1"/>
  <c r="AA88" i="1" s="1"/>
  <c r="M36" i="22" s="1"/>
  <c r="S89" i="1"/>
  <c r="Y89" i="1" s="1"/>
  <c r="AA89" i="1" s="1"/>
  <c r="M37" i="22" s="1"/>
  <c r="S90" i="1"/>
  <c r="Y90" i="1" s="1"/>
  <c r="AA90" i="1" s="1"/>
  <c r="M38" i="22" s="1"/>
  <c r="S91" i="1"/>
  <c r="Y91" i="1" s="1"/>
  <c r="AA91" i="1" s="1"/>
  <c r="M39" i="22" s="1"/>
  <c r="S92" i="1"/>
  <c r="Y92" i="1" s="1"/>
  <c r="AA92" i="1" s="1"/>
  <c r="S93" i="1"/>
  <c r="Y93" i="1" s="1"/>
  <c r="AA93" i="1" s="1"/>
  <c r="S94" i="1"/>
  <c r="Y94" i="1" s="1"/>
  <c r="AA94" i="1" s="1"/>
  <c r="S95" i="1"/>
  <c r="Y95" i="1" s="1"/>
  <c r="AA95" i="1" s="1"/>
  <c r="S96" i="1"/>
  <c r="Y96" i="1" s="1"/>
  <c r="AA96" i="1" s="1"/>
  <c r="S97" i="1"/>
  <c r="Y97" i="1" s="1"/>
  <c r="AA97" i="1" s="1"/>
  <c r="S98" i="1"/>
  <c r="Y98" i="1" s="1"/>
  <c r="AA98" i="1" s="1"/>
  <c r="S99" i="1"/>
  <c r="Y99" i="1" s="1"/>
  <c r="AA99" i="1" s="1"/>
  <c r="S100" i="1"/>
  <c r="Y100" i="1" s="1"/>
  <c r="AA100" i="1" s="1"/>
  <c r="S101" i="1"/>
  <c r="Y101" i="1" s="1"/>
  <c r="AA101" i="1" s="1"/>
  <c r="S102" i="1"/>
  <c r="Y102" i="1" s="1"/>
  <c r="AA102" i="1" s="1"/>
  <c r="S103" i="1"/>
  <c r="Y103" i="1" s="1"/>
  <c r="AA103" i="1" s="1"/>
  <c r="S104" i="1"/>
  <c r="Y104" i="1" s="1"/>
  <c r="AA104" i="1" s="1"/>
  <c r="M31" i="22" s="1"/>
  <c r="S105" i="1"/>
  <c r="Y105" i="1" s="1"/>
  <c r="AA105" i="1" s="1"/>
  <c r="M32" i="22" s="1"/>
  <c r="S106" i="1"/>
  <c r="Y106" i="1" s="1"/>
  <c r="AA106" i="1" s="1"/>
  <c r="M33" i="22" s="1"/>
  <c r="S107" i="1"/>
  <c r="Y107" i="1" s="1"/>
  <c r="AA107" i="1" s="1"/>
  <c r="M34" i="22" s="1"/>
  <c r="S110" i="1"/>
  <c r="S111" i="1"/>
  <c r="Y111" i="1" s="1"/>
  <c r="AA111" i="1" s="1"/>
  <c r="S112" i="1"/>
  <c r="Y112" i="1" s="1"/>
  <c r="AA112" i="1" s="1"/>
  <c r="S113" i="1"/>
  <c r="Y113" i="1" s="1"/>
  <c r="AA113" i="1" s="1"/>
  <c r="S114" i="1"/>
  <c r="Y114" i="1" s="1"/>
  <c r="AA114" i="1" s="1"/>
  <c r="S115" i="1"/>
  <c r="Y115" i="1" s="1"/>
  <c r="AA115" i="1" s="1"/>
  <c r="S116" i="1"/>
  <c r="Y116" i="1" s="1"/>
  <c r="AA116" i="1" s="1"/>
  <c r="S117" i="1"/>
  <c r="Y117" i="1" s="1"/>
  <c r="AA117" i="1" s="1"/>
  <c r="S118" i="1"/>
  <c r="Y118" i="1" s="1"/>
  <c r="AA118" i="1" s="1"/>
  <c r="S119" i="1"/>
  <c r="Y119" i="1" s="1"/>
  <c r="AA119" i="1" s="1"/>
  <c r="S120" i="1"/>
  <c r="Y120" i="1" s="1"/>
  <c r="AA120" i="1" s="1"/>
  <c r="S121" i="1"/>
  <c r="Y121" i="1" s="1"/>
  <c r="AA121" i="1" s="1"/>
  <c r="S122" i="1"/>
  <c r="Y122" i="1" s="1"/>
  <c r="AA122" i="1" s="1"/>
  <c r="S123" i="1"/>
  <c r="S124" i="1"/>
  <c r="Y124" i="1" s="1"/>
  <c r="AA124" i="1" s="1"/>
  <c r="S125" i="1"/>
  <c r="Y125" i="1" s="1"/>
  <c r="AA125" i="1" s="1"/>
  <c r="S126" i="1"/>
  <c r="Y126" i="1" s="1"/>
  <c r="AA126" i="1" s="1"/>
  <c r="S127" i="1"/>
  <c r="Y127" i="1" s="1"/>
  <c r="AA127" i="1" s="1"/>
  <c r="S128" i="1"/>
  <c r="Y128" i="1" s="1"/>
  <c r="AA128" i="1" s="1"/>
  <c r="S131" i="1"/>
  <c r="S130" i="1" s="1"/>
  <c r="S136" i="1"/>
  <c r="Y136" i="1" s="1"/>
  <c r="AA136" i="1" s="1"/>
  <c r="S138" i="1"/>
  <c r="Y138" i="1" s="1"/>
  <c r="AA138" i="1" s="1"/>
  <c r="S139" i="1"/>
  <c r="Y139" i="1" s="1"/>
  <c r="AA139" i="1" s="1"/>
  <c r="S140" i="1"/>
  <c r="Y140" i="1" s="1"/>
  <c r="AA140" i="1" s="1"/>
  <c r="S141" i="1"/>
  <c r="Y141" i="1" s="1"/>
  <c r="AA141" i="1" s="1"/>
  <c r="S142" i="1"/>
  <c r="Y142" i="1" s="1"/>
  <c r="AA142" i="1" s="1"/>
  <c r="S144" i="1"/>
  <c r="Y144" i="1" s="1"/>
  <c r="AA144" i="1" s="1"/>
  <c r="S145" i="1"/>
  <c r="Y145" i="1" s="1"/>
  <c r="AA145" i="1" s="1"/>
  <c r="S146" i="1"/>
  <c r="Y146" i="1" s="1"/>
  <c r="AA146" i="1" s="1"/>
  <c r="S147" i="1"/>
  <c r="Y147" i="1" s="1"/>
  <c r="AA147" i="1" s="1"/>
  <c r="S148" i="1"/>
  <c r="Y148" i="1" s="1"/>
  <c r="AA148" i="1" s="1"/>
  <c r="S150" i="1"/>
  <c r="Y150" i="1" s="1"/>
  <c r="AA150" i="1" s="1"/>
  <c r="S151" i="1"/>
  <c r="Y151" i="1" s="1"/>
  <c r="AA151" i="1" s="1"/>
  <c r="S152" i="1"/>
  <c r="Y152" i="1" s="1"/>
  <c r="AA152" i="1" s="1"/>
  <c r="S154" i="1"/>
  <c r="Y154" i="1" s="1"/>
  <c r="AA154" i="1" s="1"/>
  <c r="M58" i="22" s="1"/>
  <c r="S160" i="1"/>
  <c r="Y160" i="1" s="1"/>
  <c r="AA160" i="1" s="1"/>
  <c r="M63" i="22" s="1"/>
  <c r="S161" i="1"/>
  <c r="Y161" i="1" s="1"/>
  <c r="AA161" i="1" s="1"/>
  <c r="M64" i="22" s="1"/>
  <c r="S163" i="1"/>
  <c r="Y163" i="1" s="1"/>
  <c r="AA163" i="1" s="1"/>
  <c r="S164" i="1"/>
  <c r="Y164" i="1" s="1"/>
  <c r="AA164" i="1" s="1"/>
  <c r="S165" i="1"/>
  <c r="Y165" i="1" s="1"/>
  <c r="AA165" i="1" s="1"/>
  <c r="S166" i="1"/>
  <c r="Y166" i="1" s="1"/>
  <c r="AA166" i="1" s="1"/>
  <c r="S167" i="1"/>
  <c r="Y167" i="1" s="1"/>
  <c r="AA167" i="1" s="1"/>
  <c r="S168" i="1"/>
  <c r="Y168" i="1" s="1"/>
  <c r="AA168" i="1" s="1"/>
  <c r="S169" i="1"/>
  <c r="Y169" i="1" s="1"/>
  <c r="AA169" i="1" s="1"/>
  <c r="S170" i="1"/>
  <c r="Y170" i="1" s="1"/>
  <c r="AA170" i="1" s="1"/>
  <c r="S173" i="1"/>
  <c r="Y173" i="1" s="1"/>
  <c r="AA173" i="1" s="1"/>
  <c r="S174" i="1"/>
  <c r="Y174" i="1" s="1"/>
  <c r="AA174" i="1" s="1"/>
  <c r="S175" i="1"/>
  <c r="Y175" i="1" s="1"/>
  <c r="AA175" i="1" s="1"/>
  <c r="S176" i="1"/>
  <c r="Y176" i="1" s="1"/>
  <c r="AA176" i="1" s="1"/>
  <c r="S177" i="1"/>
  <c r="Y177" i="1" s="1"/>
  <c r="AA177" i="1" s="1"/>
  <c r="S178" i="1"/>
  <c r="Y178" i="1" s="1"/>
  <c r="AA178" i="1" s="1"/>
  <c r="S179" i="1"/>
  <c r="Y179" i="1" s="1"/>
  <c r="AA179" i="1" s="1"/>
  <c r="S180" i="1"/>
  <c r="Y180" i="1" s="1"/>
  <c r="AA180" i="1" s="1"/>
  <c r="S181" i="1"/>
  <c r="Y181" i="1" s="1"/>
  <c r="AA181" i="1" s="1"/>
  <c r="S182" i="1"/>
  <c r="Y182" i="1" s="1"/>
  <c r="AA182" i="1" s="1"/>
  <c r="M75" i="22" s="1"/>
  <c r="S183" i="1"/>
  <c r="Y183" i="1" s="1"/>
  <c r="AA183" i="1" s="1"/>
  <c r="M66" i="22" s="1"/>
  <c r="S184" i="1"/>
  <c r="Y184" i="1" s="1"/>
  <c r="AA184" i="1" s="1"/>
  <c r="S186" i="1"/>
  <c r="S188" i="1"/>
  <c r="S191" i="1"/>
  <c r="Y191" i="1" s="1"/>
  <c r="AA191" i="1" s="1"/>
  <c r="M69" i="22" s="1"/>
  <c r="S192" i="1"/>
  <c r="Y192" i="1" s="1"/>
  <c r="AA192" i="1" s="1"/>
  <c r="M70" i="22" s="1"/>
  <c r="S194" i="1"/>
  <c r="S196" i="1"/>
  <c r="S206" i="1"/>
  <c r="S208" i="1"/>
  <c r="S209" i="1"/>
  <c r="S210" i="1"/>
  <c r="S212" i="1"/>
  <c r="S213" i="1"/>
  <c r="S214" i="1"/>
  <c r="S215" i="1"/>
  <c r="S216" i="1"/>
  <c r="S217" i="1"/>
  <c r="S218" i="1"/>
  <c r="S219" i="1"/>
  <c r="S222" i="1"/>
  <c r="S223" i="1"/>
  <c r="S226" i="1"/>
  <c r="S225" i="1" s="1"/>
  <c r="F16" i="4"/>
  <c r="J4" i="4"/>
  <c r="I4" i="4"/>
  <c r="H4" i="4"/>
  <c r="G4" i="4"/>
  <c r="F13" i="4"/>
  <c r="F11" i="4"/>
  <c r="F8" i="4"/>
  <c r="O371" i="23"/>
  <c r="O7" i="3"/>
  <c r="N6" i="3"/>
  <c r="N25" i="3"/>
  <c r="N36" i="3"/>
  <c r="N72" i="3"/>
  <c r="N94" i="3"/>
  <c r="N109" i="3"/>
  <c r="N82" i="3"/>
  <c r="N117" i="3"/>
  <c r="L36" i="3"/>
  <c r="L25" i="3"/>
  <c r="L6" i="3"/>
  <c r="L82" i="3"/>
  <c r="L72" i="3"/>
  <c r="L94" i="3"/>
  <c r="L109" i="3"/>
  <c r="L117" i="3"/>
  <c r="K36" i="3"/>
  <c r="K25" i="3"/>
  <c r="K6" i="3"/>
  <c r="K82" i="3"/>
  <c r="K72" i="3"/>
  <c r="K94" i="3"/>
  <c r="K109" i="3"/>
  <c r="K117" i="3"/>
  <c r="J117" i="3"/>
  <c r="J72" i="3"/>
  <c r="J36" i="3"/>
  <c r="J25" i="3"/>
  <c r="J6" i="3"/>
  <c r="J82" i="3"/>
  <c r="J94" i="3"/>
  <c r="J109" i="3"/>
  <c r="H6" i="3"/>
  <c r="H35" i="3" s="1"/>
  <c r="H71" i="3" s="1"/>
  <c r="I82" i="3"/>
  <c r="I6" i="3"/>
  <c r="I25" i="3"/>
  <c r="I36" i="3"/>
  <c r="I72" i="3"/>
  <c r="I94" i="3"/>
  <c r="I109" i="3"/>
  <c r="I117" i="3"/>
  <c r="V205" i="1"/>
  <c r="V207" i="1"/>
  <c r="V221" i="1"/>
  <c r="V135" i="1"/>
  <c r="V155" i="1"/>
  <c r="V162" i="1"/>
  <c r="V185" i="1"/>
  <c r="V187" i="1"/>
  <c r="V225" i="1"/>
  <c r="U225" i="1"/>
  <c r="T225" i="1"/>
  <c r="R225" i="1"/>
  <c r="V83" i="1"/>
  <c r="V78" i="1"/>
  <c r="V69" i="1"/>
  <c r="V47" i="1"/>
  <c r="V37" i="1"/>
  <c r="V32" i="1"/>
  <c r="V14" i="1"/>
  <c r="Q225" i="1"/>
  <c r="O225" i="1"/>
  <c r="O211" i="1"/>
  <c r="O205" i="1"/>
  <c r="O187" i="1"/>
  <c r="O185" i="1"/>
  <c r="O86" i="1"/>
  <c r="N135" i="1"/>
  <c r="N155" i="1"/>
  <c r="N162" i="1"/>
  <c r="L135" i="1"/>
  <c r="L162" i="1"/>
  <c r="L155" i="1"/>
  <c r="K162" i="1"/>
  <c r="K135" i="1"/>
  <c r="K155" i="1"/>
  <c r="J135" i="1"/>
  <c r="J155" i="1"/>
  <c r="J162" i="1"/>
  <c r="I135" i="1"/>
  <c r="I155" i="1"/>
  <c r="I162" i="1"/>
  <c r="I221" i="1"/>
  <c r="J221" i="1"/>
  <c r="K221" i="1"/>
  <c r="L221" i="1"/>
  <c r="N221" i="1"/>
  <c r="N205" i="1"/>
  <c r="N207" i="1"/>
  <c r="N225" i="1"/>
  <c r="T11" i="15" s="1"/>
  <c r="U11" i="15" s="1"/>
  <c r="Q26" i="19" s="1"/>
  <c r="N83" i="1"/>
  <c r="N78" i="1"/>
  <c r="N69" i="1"/>
  <c r="N47" i="1"/>
  <c r="N37" i="1"/>
  <c r="N32" i="1"/>
  <c r="N14" i="1"/>
  <c r="L205" i="1"/>
  <c r="L207" i="1"/>
  <c r="K205" i="1"/>
  <c r="K207" i="1"/>
  <c r="J205" i="1"/>
  <c r="J207" i="1"/>
  <c r="I205" i="1"/>
  <c r="I207" i="1"/>
  <c r="L225" i="1"/>
  <c r="T9" i="15" s="1"/>
  <c r="K225" i="1"/>
  <c r="T8" i="15" s="1"/>
  <c r="J225" i="1"/>
  <c r="T7" i="15" s="1"/>
  <c r="I225" i="1"/>
  <c r="T6" i="15" s="1"/>
  <c r="J86" i="1"/>
  <c r="I86" i="1"/>
  <c r="L83" i="1"/>
  <c r="K83" i="1"/>
  <c r="J83" i="1"/>
  <c r="I83" i="1"/>
  <c r="L78" i="1"/>
  <c r="K78" i="1"/>
  <c r="J78" i="1"/>
  <c r="I78" i="1"/>
  <c r="L69" i="1"/>
  <c r="K69" i="1"/>
  <c r="J69" i="1"/>
  <c r="I69" i="1"/>
  <c r="L47" i="1"/>
  <c r="K47" i="1"/>
  <c r="J47" i="1"/>
  <c r="I47" i="1"/>
  <c r="L37" i="1"/>
  <c r="K37" i="1"/>
  <c r="J37" i="1"/>
  <c r="L32" i="1"/>
  <c r="K32" i="1"/>
  <c r="J32" i="1"/>
  <c r="I32" i="1"/>
  <c r="L14" i="1"/>
  <c r="K14" i="1"/>
  <c r="J14" i="1"/>
  <c r="I14" i="1"/>
  <c r="T5" i="15"/>
  <c r="K13" i="21"/>
  <c r="M9" i="22" l="1"/>
  <c r="M48" i="22"/>
  <c r="M47" i="22"/>
  <c r="M42" i="22"/>
  <c r="M74" i="22"/>
  <c r="M41" i="22"/>
  <c r="M6" i="22"/>
  <c r="M45" i="22"/>
  <c r="M40" i="22"/>
  <c r="M21" i="22"/>
  <c r="S21" i="22" s="1"/>
  <c r="M44" i="22"/>
  <c r="M59" i="22"/>
  <c r="M43" i="22"/>
  <c r="M153" i="22"/>
  <c r="M22" i="22"/>
  <c r="S22" i="22" s="1"/>
  <c r="K51" i="22"/>
  <c r="S51" i="22"/>
  <c r="X33" i="23"/>
  <c r="J15" i="8"/>
  <c r="J17" i="8"/>
  <c r="S55" i="3"/>
  <c r="Y55" i="3" s="1"/>
  <c r="AA55" i="3" s="1"/>
  <c r="M120" i="22" s="1"/>
  <c r="S59" i="3"/>
  <c r="Y59" i="3" s="1"/>
  <c r="AA59" i="3" s="1"/>
  <c r="M119" i="22" s="1"/>
  <c r="S63" i="3"/>
  <c r="Y63" i="3" s="1"/>
  <c r="AA63" i="3" s="1"/>
  <c r="M112" i="22" s="1"/>
  <c r="S67" i="3"/>
  <c r="Y67" i="3" s="1"/>
  <c r="AA67" i="3" s="1"/>
  <c r="M109" i="22" s="1"/>
  <c r="S95" i="3"/>
  <c r="Y95" i="3" s="1"/>
  <c r="AA95" i="3" s="1"/>
  <c r="M134" i="22" s="1"/>
  <c r="S44" i="3"/>
  <c r="Y44" i="3" s="1"/>
  <c r="AA44" i="3" s="1"/>
  <c r="M113" i="22" s="1"/>
  <c r="S52" i="3"/>
  <c r="Y52" i="3" s="1"/>
  <c r="AA52" i="3" s="1"/>
  <c r="S56" i="3"/>
  <c r="Y56" i="3" s="1"/>
  <c r="AA56" i="3" s="1"/>
  <c r="M122" i="22" s="1"/>
  <c r="S60" i="3"/>
  <c r="Y60" i="3" s="1"/>
  <c r="AA60" i="3" s="1"/>
  <c r="M118" i="22" s="1"/>
  <c r="S64" i="3"/>
  <c r="Y64" i="3" s="1"/>
  <c r="AA64" i="3" s="1"/>
  <c r="M123" i="22" s="1"/>
  <c r="S68" i="3"/>
  <c r="Y68" i="3" s="1"/>
  <c r="AA68" i="3" s="1"/>
  <c r="M125" i="22" s="1"/>
  <c r="S43" i="3"/>
  <c r="Y43" i="3" s="1"/>
  <c r="AA43" i="3" s="1"/>
  <c r="M98" i="22" s="1"/>
  <c r="S81" i="3"/>
  <c r="Y81" i="3" s="1"/>
  <c r="AA81" i="3" s="1"/>
  <c r="M133" i="22" s="1"/>
  <c r="S41" i="3"/>
  <c r="Y41" i="3" s="1"/>
  <c r="AA41" i="3" s="1"/>
  <c r="M97" i="22" s="1"/>
  <c r="S53" i="3"/>
  <c r="Y53" i="3" s="1"/>
  <c r="AA53" i="3" s="1"/>
  <c r="M108" i="22" s="1"/>
  <c r="S57" i="3"/>
  <c r="Y57" i="3" s="1"/>
  <c r="AA57" i="3" s="1"/>
  <c r="M114" i="22" s="1"/>
  <c r="S65" i="3"/>
  <c r="Y65" i="3" s="1"/>
  <c r="AA65" i="3" s="1"/>
  <c r="M121" i="22" s="1"/>
  <c r="S69" i="3"/>
  <c r="Y69" i="3" s="1"/>
  <c r="AA69" i="3" s="1"/>
  <c r="M126" i="22" s="1"/>
  <c r="S92" i="3"/>
  <c r="Y92" i="3" s="1"/>
  <c r="AA92" i="3" s="1"/>
  <c r="M141" i="22" s="1"/>
  <c r="S98" i="3"/>
  <c r="Y98" i="3" s="1"/>
  <c r="AA98" i="3" s="1"/>
  <c r="M136" i="22" s="1"/>
  <c r="S42" i="3"/>
  <c r="Y42" i="3" s="1"/>
  <c r="AA42" i="3" s="1"/>
  <c r="M111" i="22" s="1"/>
  <c r="S54" i="3"/>
  <c r="Y54" i="3" s="1"/>
  <c r="AA54" i="3" s="1"/>
  <c r="M110" i="22" s="1"/>
  <c r="S58" i="3"/>
  <c r="Y58" i="3" s="1"/>
  <c r="AA58" i="3" s="1"/>
  <c r="M115" i="22" s="1"/>
  <c r="S66" i="3"/>
  <c r="Y66" i="3" s="1"/>
  <c r="AA66" i="3" s="1"/>
  <c r="M124" i="22" s="1"/>
  <c r="S70" i="3"/>
  <c r="Y70" i="3" s="1"/>
  <c r="AA70" i="3" s="1"/>
  <c r="M127" i="22" s="1"/>
  <c r="S80" i="3"/>
  <c r="Y80" i="3" s="1"/>
  <c r="AA80" i="3" s="1"/>
  <c r="M132" i="22" s="1"/>
  <c r="S85" i="3"/>
  <c r="Y85" i="3" s="1"/>
  <c r="AA85" i="3" s="1"/>
  <c r="M138" i="22" s="1"/>
  <c r="AA86" i="1"/>
  <c r="O22" i="11"/>
  <c r="F4" i="4"/>
  <c r="M8" i="10"/>
  <c r="M17" i="10" s="1"/>
  <c r="O7" i="11"/>
  <c r="J7" i="10"/>
  <c r="J16" i="10" s="1"/>
  <c r="S7" i="3"/>
  <c r="Y7" i="3" s="1"/>
  <c r="Y6" i="3" s="1"/>
  <c r="H16" i="8"/>
  <c r="H15" i="8" s="1"/>
  <c r="I16" i="8"/>
  <c r="M20" i="11"/>
  <c r="S20" i="11" s="1"/>
  <c r="S15" i="1"/>
  <c r="Y15" i="1" s="1"/>
  <c r="AA15" i="1" s="1"/>
  <c r="M8" i="22" s="1"/>
  <c r="G66" i="24"/>
  <c r="M66" i="24" s="1"/>
  <c r="Q337" i="23"/>
  <c r="V337" i="23" s="1"/>
  <c r="Q199" i="23"/>
  <c r="S77" i="1"/>
  <c r="Y77" i="1" s="1"/>
  <c r="Y71" i="1"/>
  <c r="AA71" i="1" s="1"/>
  <c r="F20" i="24"/>
  <c r="G20" i="24" s="1"/>
  <c r="J20" i="24" s="1"/>
  <c r="M20" i="24" s="1"/>
  <c r="Q299" i="23" s="1"/>
  <c r="K354" i="23"/>
  <c r="K353" i="23" s="1"/>
  <c r="F22" i="24"/>
  <c r="G22" i="24" s="1"/>
  <c r="J22" i="24" s="1"/>
  <c r="L354" i="23"/>
  <c r="L353" i="23" s="1"/>
  <c r="S30" i="1"/>
  <c r="Y34" i="3"/>
  <c r="AA34" i="3" s="1"/>
  <c r="Y45" i="3"/>
  <c r="AA45" i="3" s="1"/>
  <c r="M99" i="22" s="1"/>
  <c r="Y75" i="3"/>
  <c r="AA75" i="3" s="1"/>
  <c r="Y84" i="3"/>
  <c r="AA84" i="3" s="1"/>
  <c r="M137" i="22" s="1"/>
  <c r="Y76" i="3"/>
  <c r="AA76" i="3" s="1"/>
  <c r="Y93" i="3"/>
  <c r="AA93" i="3" s="1"/>
  <c r="Y28" i="3"/>
  <c r="AA28" i="3" s="1"/>
  <c r="Y77" i="3"/>
  <c r="AA77" i="3" s="1"/>
  <c r="Y29" i="3"/>
  <c r="AA29" i="3" s="1"/>
  <c r="Y78" i="3"/>
  <c r="AA78" i="3" s="1"/>
  <c r="Y87" i="3"/>
  <c r="AA87" i="3" s="1"/>
  <c r="AC112" i="3"/>
  <c r="Y30" i="3"/>
  <c r="AA30" i="3" s="1"/>
  <c r="Y79" i="3"/>
  <c r="AA79" i="3" s="1"/>
  <c r="Y88" i="3"/>
  <c r="AA88" i="3" s="1"/>
  <c r="Y31" i="3"/>
  <c r="AA31" i="3" s="1"/>
  <c r="Y62" i="3"/>
  <c r="AA62" i="3" s="1"/>
  <c r="M116" i="22" s="1"/>
  <c r="Y89" i="3"/>
  <c r="AA89" i="3" s="1"/>
  <c r="Y32" i="3"/>
  <c r="AA32" i="3" s="1"/>
  <c r="Y90" i="3"/>
  <c r="AA90" i="3" s="1"/>
  <c r="Y33" i="3"/>
  <c r="AA33" i="3" s="1"/>
  <c r="Y74" i="3"/>
  <c r="AA74" i="3" s="1"/>
  <c r="Y91" i="3"/>
  <c r="AA91" i="3" s="1"/>
  <c r="I141" i="40"/>
  <c r="I140" i="40"/>
  <c r="I139" i="40"/>
  <c r="I143" i="40"/>
  <c r="I149" i="40"/>
  <c r="O8" i="11"/>
  <c r="H16" i="10"/>
  <c r="Q301" i="23"/>
  <c r="I150" i="40"/>
  <c r="K101" i="22"/>
  <c r="M7" i="16"/>
  <c r="P7" i="16" s="1"/>
  <c r="H105" i="17"/>
  <c r="H106" i="17" s="1"/>
  <c r="M10" i="16"/>
  <c r="P10" i="16" s="1"/>
  <c r="K105" i="17"/>
  <c r="K106" i="17" s="1"/>
  <c r="M8" i="16"/>
  <c r="P8" i="16" s="1"/>
  <c r="I105" i="17"/>
  <c r="I106" i="17" s="1"/>
  <c r="M5" i="16"/>
  <c r="F105" i="17"/>
  <c r="F106" i="17" s="1"/>
  <c r="H19" i="10"/>
  <c r="F59" i="8"/>
  <c r="F62" i="8" s="1"/>
  <c r="F63" i="8" s="1"/>
  <c r="H60" i="8"/>
  <c r="G60" i="8"/>
  <c r="G59" i="8" s="1"/>
  <c r="G62" i="8" s="1"/>
  <c r="G63" i="8" s="1"/>
  <c r="K8" i="10"/>
  <c r="K7" i="10" s="1"/>
  <c r="K16" i="10" s="1"/>
  <c r="J17" i="10"/>
  <c r="N8" i="10"/>
  <c r="N17" i="10" s="1"/>
  <c r="Y38" i="3"/>
  <c r="AA38" i="3" s="1"/>
  <c r="M95" i="22" s="1"/>
  <c r="G54" i="24"/>
  <c r="J54" i="24" s="1"/>
  <c r="M54" i="24" s="1"/>
  <c r="R82" i="23" s="1"/>
  <c r="V82" i="23" s="1"/>
  <c r="I17" i="10"/>
  <c r="O10" i="11"/>
  <c r="O19" i="11"/>
  <c r="Y40" i="3"/>
  <c r="AA40" i="3" s="1"/>
  <c r="M96" i="22" s="1"/>
  <c r="Y96" i="3"/>
  <c r="AA96" i="3" s="1"/>
  <c r="M135" i="22" s="1"/>
  <c r="O11" i="11"/>
  <c r="O20" i="11"/>
  <c r="M23" i="11"/>
  <c r="F18" i="9" s="1"/>
  <c r="F19" i="9" s="1"/>
  <c r="AD18" i="11"/>
  <c r="S18" i="11"/>
  <c r="X18" i="11" s="1"/>
  <c r="Y61" i="3"/>
  <c r="AA61" i="3" s="1"/>
  <c r="M117" i="22" s="1"/>
  <c r="S114" i="3"/>
  <c r="Y114" i="3" s="1"/>
  <c r="Z11" i="11"/>
  <c r="AD11" i="11"/>
  <c r="AI11" i="11" s="1"/>
  <c r="AD20" i="11"/>
  <c r="X20" i="11"/>
  <c r="Z20" i="11" s="1"/>
  <c r="S118" i="3"/>
  <c r="Z10" i="11"/>
  <c r="AD10" i="11"/>
  <c r="AI10" i="11" s="1"/>
  <c r="X9" i="11"/>
  <c r="AD9" i="11" s="1"/>
  <c r="AI9" i="11" s="1"/>
  <c r="AD19" i="11"/>
  <c r="AO19" i="11" s="1"/>
  <c r="X19" i="11"/>
  <c r="Z19" i="11" s="1"/>
  <c r="I7" i="10"/>
  <c r="I16" i="10" s="1"/>
  <c r="AD8" i="11"/>
  <c r="AI8" i="11" s="1"/>
  <c r="AO8" i="11" s="1"/>
  <c r="AT8" i="11" s="1"/>
  <c r="Z8" i="11"/>
  <c r="AD22" i="11"/>
  <c r="X22" i="11"/>
  <c r="Z22" i="11" s="1"/>
  <c r="I9" i="10"/>
  <c r="I10" i="10" s="1"/>
  <c r="I19" i="10" s="1"/>
  <c r="Z7" i="11"/>
  <c r="AD7" i="11"/>
  <c r="AI7" i="11" s="1"/>
  <c r="AO7" i="11" s="1"/>
  <c r="S21" i="11"/>
  <c r="O11" i="15"/>
  <c r="O9" i="11"/>
  <c r="O18" i="11"/>
  <c r="K189" i="1"/>
  <c r="N8" i="1"/>
  <c r="G74" i="17"/>
  <c r="J74" i="17"/>
  <c r="V189" i="1"/>
  <c r="W189" i="1"/>
  <c r="N189" i="1"/>
  <c r="O109" i="1"/>
  <c r="I189" i="1"/>
  <c r="S195" i="1"/>
  <c r="Y196" i="1"/>
  <c r="AA196" i="1" s="1"/>
  <c r="M68" i="22" s="1"/>
  <c r="S193" i="1"/>
  <c r="Y194" i="1"/>
  <c r="AA194" i="1" s="1"/>
  <c r="M71" i="22" s="1"/>
  <c r="S187" i="1"/>
  <c r="Y188" i="1"/>
  <c r="AA188" i="1" s="1"/>
  <c r="M60" i="22" s="1"/>
  <c r="S185" i="1"/>
  <c r="Y186" i="1"/>
  <c r="AA186" i="1" s="1"/>
  <c r="M65" i="22" s="1"/>
  <c r="Y131" i="1"/>
  <c r="X189" i="1"/>
  <c r="S32" i="1"/>
  <c r="L189" i="1"/>
  <c r="J189" i="1"/>
  <c r="K134" i="1"/>
  <c r="L22" i="17"/>
  <c r="L134" i="1"/>
  <c r="L8" i="1"/>
  <c r="O83" i="1"/>
  <c r="I8" i="1"/>
  <c r="O190" i="1"/>
  <c r="O189" i="1" s="1"/>
  <c r="O32" i="1"/>
  <c r="J8" i="1"/>
  <c r="O52" i="1"/>
  <c r="K8" i="1"/>
  <c r="O37" i="1"/>
  <c r="S205" i="1"/>
  <c r="F76" i="17"/>
  <c r="T5" i="16" s="1"/>
  <c r="F17" i="8"/>
  <c r="F18" i="8" s="1"/>
  <c r="F12" i="8" s="1"/>
  <c r="F34" i="8"/>
  <c r="G16" i="8"/>
  <c r="T37" i="1"/>
  <c r="T52" i="1"/>
  <c r="S40" i="1"/>
  <c r="Y40" i="1" s="1"/>
  <c r="AA40" i="1" s="1"/>
  <c r="M25" i="22" s="1"/>
  <c r="E79" i="24"/>
  <c r="G79" i="24" s="1"/>
  <c r="J79" i="24" s="1"/>
  <c r="M79" i="24" s="1"/>
  <c r="S61" i="23" s="1"/>
  <c r="S73" i="3"/>
  <c r="E78" i="24"/>
  <c r="R190" i="1"/>
  <c r="R189" i="1" s="1"/>
  <c r="O117" i="3"/>
  <c r="O372" i="23"/>
  <c r="J204" i="1"/>
  <c r="F7" i="15" s="1"/>
  <c r="K7" i="15" s="1"/>
  <c r="M7" i="15" s="1"/>
  <c r="S7" i="15" s="1"/>
  <c r="U7" i="15" s="1"/>
  <c r="Q22" i="19" s="1"/>
  <c r="I204" i="1"/>
  <c r="I203" i="1" s="1"/>
  <c r="E25" i="24"/>
  <c r="I354" i="23"/>
  <c r="I353" i="23" s="1"/>
  <c r="F18" i="24"/>
  <c r="G18" i="24" s="1"/>
  <c r="J18" i="24" s="1"/>
  <c r="O207" i="1"/>
  <c r="O355" i="23"/>
  <c r="O354" i="23" s="1"/>
  <c r="O353" i="23" s="1"/>
  <c r="F17" i="24"/>
  <c r="H354" i="23"/>
  <c r="H353" i="23" s="1"/>
  <c r="S17" i="1"/>
  <c r="Y17" i="1" s="1"/>
  <c r="AA17" i="1" s="1"/>
  <c r="M10" i="22" s="1"/>
  <c r="G65" i="24"/>
  <c r="M65" i="24" s="1"/>
  <c r="S156" i="1"/>
  <c r="Y156" i="1" s="1"/>
  <c r="AA156" i="1" s="1"/>
  <c r="G67" i="24"/>
  <c r="M67" i="24" s="1"/>
  <c r="S127" i="23" s="1"/>
  <c r="S137" i="1"/>
  <c r="Y137" i="1" s="1"/>
  <c r="AA137" i="1" s="1"/>
  <c r="M55" i="22" s="1"/>
  <c r="G70" i="24"/>
  <c r="M70" i="24" s="1"/>
  <c r="S144" i="23" s="1"/>
  <c r="G73" i="24"/>
  <c r="M73" i="24" s="1"/>
  <c r="S145" i="23" s="1"/>
  <c r="I20" i="40"/>
  <c r="S143" i="1"/>
  <c r="Y143" i="1" s="1"/>
  <c r="AA143" i="1" s="1"/>
  <c r="M57" i="22" s="1"/>
  <c r="G71" i="24"/>
  <c r="M71" i="24" s="1"/>
  <c r="S148" i="23" s="1"/>
  <c r="S60" i="1"/>
  <c r="Y60" i="1" s="1"/>
  <c r="AA60" i="1" s="1"/>
  <c r="M20" i="22" s="1"/>
  <c r="G69" i="24"/>
  <c r="M69" i="24" s="1"/>
  <c r="S129" i="23" s="1"/>
  <c r="S149" i="1"/>
  <c r="Y149" i="1" s="1"/>
  <c r="AA149" i="1" s="1"/>
  <c r="M61" i="22" s="1"/>
  <c r="G72" i="24"/>
  <c r="M72" i="24" s="1"/>
  <c r="S149" i="23" s="1"/>
  <c r="G68" i="24"/>
  <c r="M68" i="24" s="1"/>
  <c r="S128" i="23" s="1"/>
  <c r="N35" i="3"/>
  <c r="N71" i="3" s="1"/>
  <c r="U207" i="1"/>
  <c r="U14" i="1"/>
  <c r="U69" i="1"/>
  <c r="Y26" i="3"/>
  <c r="AA26" i="3" s="1"/>
  <c r="M91" i="22" s="1"/>
  <c r="U190" i="1"/>
  <c r="AC86" i="3"/>
  <c r="S211" i="1"/>
  <c r="Q221" i="1"/>
  <c r="Q190" i="1"/>
  <c r="Q189" i="1" s="1"/>
  <c r="T190" i="1"/>
  <c r="T189" i="1" s="1"/>
  <c r="T211" i="1"/>
  <c r="T207" i="1"/>
  <c r="R211" i="1"/>
  <c r="R69" i="1"/>
  <c r="O78" i="1"/>
  <c r="T32" i="1"/>
  <c r="J62" i="17"/>
  <c r="J98" i="17" s="1"/>
  <c r="J70" i="17"/>
  <c r="T155" i="1"/>
  <c r="F69" i="17"/>
  <c r="G69" i="17"/>
  <c r="H69" i="17"/>
  <c r="H73" i="17"/>
  <c r="K26" i="17"/>
  <c r="F72" i="17"/>
  <c r="J71" i="17"/>
  <c r="K72" i="17"/>
  <c r="H70" i="17"/>
  <c r="R109" i="1"/>
  <c r="R135" i="1"/>
  <c r="F7" i="17"/>
  <c r="G26" i="17"/>
  <c r="J80" i="17"/>
  <c r="J79" i="17" s="1"/>
  <c r="T47" i="1"/>
  <c r="F71" i="17"/>
  <c r="R207" i="1"/>
  <c r="U78" i="1"/>
  <c r="L64" i="17"/>
  <c r="S99" i="3"/>
  <c r="S109" i="3"/>
  <c r="S83" i="1"/>
  <c r="S78" i="1"/>
  <c r="G74" i="24"/>
  <c r="M74" i="24" s="1"/>
  <c r="S25" i="3"/>
  <c r="R78" i="1"/>
  <c r="I35" i="3"/>
  <c r="I71" i="3" s="1"/>
  <c r="L35" i="3"/>
  <c r="L71" i="3" s="1"/>
  <c r="S190" i="1"/>
  <c r="U94" i="3"/>
  <c r="U109" i="3"/>
  <c r="I68" i="1"/>
  <c r="Y226" i="1"/>
  <c r="AA226" i="1" s="1"/>
  <c r="L65" i="17"/>
  <c r="J134" i="1"/>
  <c r="N134" i="1"/>
  <c r="G71" i="17"/>
  <c r="L77" i="17"/>
  <c r="L80" i="17"/>
  <c r="L79" i="17" s="1"/>
  <c r="K69" i="17"/>
  <c r="O155" i="1"/>
  <c r="W134" i="1"/>
  <c r="S207" i="1"/>
  <c r="K7" i="17"/>
  <c r="K68" i="1"/>
  <c r="N204" i="1"/>
  <c r="N203" i="1" s="1"/>
  <c r="O162" i="1"/>
  <c r="I134" i="1"/>
  <c r="O69" i="1"/>
  <c r="R37" i="1"/>
  <c r="T86" i="1"/>
  <c r="T109" i="1"/>
  <c r="T162" i="1"/>
  <c r="L69" i="17"/>
  <c r="L73" i="17"/>
  <c r="K204" i="1"/>
  <c r="F8" i="15" s="1"/>
  <c r="K8" i="15" s="1"/>
  <c r="M8" i="15" s="1"/>
  <c r="S8" i="15" s="1"/>
  <c r="U8" i="15" s="1"/>
  <c r="Q23" i="19" s="1"/>
  <c r="H8" i="1"/>
  <c r="L68" i="1"/>
  <c r="W8" i="1"/>
  <c r="L204" i="1"/>
  <c r="F9" i="15" s="1"/>
  <c r="K9" i="15" s="1"/>
  <c r="M9" i="15" s="1"/>
  <c r="N68" i="1"/>
  <c r="W204" i="1"/>
  <c r="W203" i="1" s="1"/>
  <c r="T12" i="15"/>
  <c r="J68" i="1"/>
  <c r="W9" i="16"/>
  <c r="X9" i="16" s="1"/>
  <c r="W68" i="1"/>
  <c r="U32" i="1"/>
  <c r="S109" i="1"/>
  <c r="U162" i="1"/>
  <c r="T83" i="1"/>
  <c r="H71" i="17"/>
  <c r="R9" i="1"/>
  <c r="I19" i="40"/>
  <c r="S47" i="1"/>
  <c r="U47" i="1"/>
  <c r="I51" i="40"/>
  <c r="I70" i="40"/>
  <c r="U86" i="1"/>
  <c r="W7" i="16"/>
  <c r="X7" i="16" s="1"/>
  <c r="U155" i="1"/>
  <c r="J13" i="17"/>
  <c r="J69" i="17"/>
  <c r="J73" i="17"/>
  <c r="W8" i="16"/>
  <c r="X8" i="16" s="1"/>
  <c r="K70" i="17"/>
  <c r="O14" i="1"/>
  <c r="O47" i="1"/>
  <c r="U37" i="1"/>
  <c r="T78" i="1"/>
  <c r="S86" i="1"/>
  <c r="U135" i="1"/>
  <c r="H9" i="17"/>
  <c r="J22" i="17"/>
  <c r="I80" i="40"/>
  <c r="I88" i="40"/>
  <c r="I114" i="40"/>
  <c r="H72" i="17"/>
  <c r="T69" i="1"/>
  <c r="I72" i="17"/>
  <c r="I26" i="17"/>
  <c r="X134" i="1"/>
  <c r="J35" i="3"/>
  <c r="J71" i="3" s="1"/>
  <c r="O94" i="3"/>
  <c r="K35" i="3"/>
  <c r="K71" i="3" s="1"/>
  <c r="O82" i="3"/>
  <c r="AC23" i="3"/>
  <c r="I93" i="40"/>
  <c r="I17" i="40"/>
  <c r="I81" i="40"/>
  <c r="I115" i="40"/>
  <c r="I128" i="40"/>
  <c r="I136" i="40"/>
  <c r="I156" i="40"/>
  <c r="R32" i="1"/>
  <c r="I129" i="40"/>
  <c r="I137" i="40"/>
  <c r="I57" i="40"/>
  <c r="I134" i="40"/>
  <c r="I162" i="40"/>
  <c r="R14" i="1"/>
  <c r="I84" i="40"/>
  <c r="R47" i="1"/>
  <c r="I104" i="40"/>
  <c r="R155" i="1"/>
  <c r="I35" i="40"/>
  <c r="I31" i="40"/>
  <c r="O99" i="3"/>
  <c r="O6" i="3"/>
  <c r="O25" i="3"/>
  <c r="O72" i="3"/>
  <c r="O36" i="3"/>
  <c r="X369" i="23"/>
  <c r="AC46" i="3"/>
  <c r="AC24" i="3"/>
  <c r="AC19" i="3"/>
  <c r="AC20" i="3"/>
  <c r="AC21" i="3"/>
  <c r="AC22" i="3"/>
  <c r="U25" i="3"/>
  <c r="U6" i="3"/>
  <c r="U82" i="3"/>
  <c r="U113" i="3"/>
  <c r="U72" i="3"/>
  <c r="X8" i="1"/>
  <c r="V204" i="1"/>
  <c r="V203" i="1" s="1"/>
  <c r="X216" i="1"/>
  <c r="Y216" i="1" s="1"/>
  <c r="AA216" i="1" s="1"/>
  <c r="X210" i="1"/>
  <c r="Y210" i="1" s="1"/>
  <c r="AA210" i="1" s="1"/>
  <c r="M78" i="22" s="1"/>
  <c r="V134" i="1"/>
  <c r="V68" i="1"/>
  <c r="V8" i="1"/>
  <c r="Q207" i="1"/>
  <c r="Q35" i="3"/>
  <c r="Q71" i="3" s="1"/>
  <c r="Q32" i="1"/>
  <c r="Q155" i="1"/>
  <c r="I59" i="40"/>
  <c r="I106" i="40"/>
  <c r="I22" i="40"/>
  <c r="Q14" i="1"/>
  <c r="Q47" i="1"/>
  <c r="I61" i="40"/>
  <c r="I107" i="40"/>
  <c r="I165" i="40"/>
  <c r="I130" i="40"/>
  <c r="Q86" i="1"/>
  <c r="I164" i="40"/>
  <c r="I127" i="40"/>
  <c r="I83" i="40"/>
  <c r="I89" i="40"/>
  <c r="I157" i="40"/>
  <c r="O109" i="3"/>
  <c r="Q109" i="3"/>
  <c r="R35" i="3"/>
  <c r="R71" i="3" s="1"/>
  <c r="R116" i="3" s="1"/>
  <c r="R119" i="3" s="1"/>
  <c r="T109" i="3"/>
  <c r="Q135" i="1"/>
  <c r="Q37" i="1"/>
  <c r="Q205" i="1"/>
  <c r="Q109" i="1"/>
  <c r="Q9" i="1"/>
  <c r="I24" i="40"/>
  <c r="I71" i="40"/>
  <c r="I78" i="40"/>
  <c r="I87" i="40"/>
  <c r="I116" i="40"/>
  <c r="I171" i="40"/>
  <c r="L67" i="17"/>
  <c r="H75" i="17"/>
  <c r="I23" i="40"/>
  <c r="I30" i="40"/>
  <c r="I32" i="40"/>
  <c r="I42" i="40"/>
  <c r="I47" i="40"/>
  <c r="I53" i="40"/>
  <c r="I54" i="40"/>
  <c r="Y110" i="1"/>
  <c r="AA110" i="1" s="1"/>
  <c r="M46" i="22" s="1"/>
  <c r="I109" i="40"/>
  <c r="I110" i="40"/>
  <c r="I155" i="40"/>
  <c r="I158" i="40"/>
  <c r="I167" i="40"/>
  <c r="I168" i="40"/>
  <c r="K13" i="17"/>
  <c r="I40" i="40"/>
  <c r="I86" i="40"/>
  <c r="I133" i="40"/>
  <c r="F9" i="17"/>
  <c r="G9" i="17"/>
  <c r="J72" i="17"/>
  <c r="L76" i="17"/>
  <c r="L78" i="17"/>
  <c r="K22" i="17"/>
  <c r="Q69" i="1"/>
  <c r="Q162" i="1"/>
  <c r="I52" i="40"/>
  <c r="I82" i="40"/>
  <c r="I91" i="40"/>
  <c r="I92" i="40"/>
  <c r="I103" i="40"/>
  <c r="I112" i="40"/>
  <c r="I135" i="40"/>
  <c r="I161" i="40"/>
  <c r="I170" i="40"/>
  <c r="G62" i="17"/>
  <c r="G98" i="17" s="1"/>
  <c r="H13" i="17"/>
  <c r="L68" i="17"/>
  <c r="L72" i="17"/>
  <c r="L74" i="17"/>
  <c r="K75" i="17"/>
  <c r="K115" i="17" s="1"/>
  <c r="T9" i="1"/>
  <c r="I50" i="40"/>
  <c r="I79" i="40"/>
  <c r="I108" i="40"/>
  <c r="I117" i="40"/>
  <c r="I118" i="40"/>
  <c r="I163" i="40"/>
  <c r="I166" i="40"/>
  <c r="I22" i="17"/>
  <c r="J26" i="17"/>
  <c r="Q78" i="1"/>
  <c r="T135" i="1"/>
  <c r="S9" i="1"/>
  <c r="I14" i="40"/>
  <c r="I18" i="40"/>
  <c r="I60" i="40"/>
  <c r="I72" i="40"/>
  <c r="I85" i="40"/>
  <c r="I105" i="40"/>
  <c r="I154" i="40"/>
  <c r="I179" i="40"/>
  <c r="F13" i="17"/>
  <c r="I71" i="17"/>
  <c r="J75" i="17"/>
  <c r="L26" i="17"/>
  <c r="U9" i="1"/>
  <c r="I58" i="40"/>
  <c r="I90" i="40"/>
  <c r="I101" i="40"/>
  <c r="I102" i="40"/>
  <c r="I111" i="40"/>
  <c r="I159" i="40"/>
  <c r="I160" i="40"/>
  <c r="K62" i="17"/>
  <c r="K98" i="17" s="1"/>
  <c r="K71" i="17"/>
  <c r="O9" i="1"/>
  <c r="I27" i="40"/>
  <c r="I38" i="40"/>
  <c r="H62" i="17"/>
  <c r="H98" i="17" s="1"/>
  <c r="G75" i="17"/>
  <c r="I62" i="17"/>
  <c r="I98" i="17" s="1"/>
  <c r="I75" i="17"/>
  <c r="F60" i="17"/>
  <c r="F90" i="17" s="1"/>
  <c r="G60" i="17"/>
  <c r="G90" i="17" s="1"/>
  <c r="I37" i="40"/>
  <c r="H60" i="17"/>
  <c r="H90" i="17" s="1"/>
  <c r="I39" i="40"/>
  <c r="I46" i="40"/>
  <c r="I60" i="17"/>
  <c r="I90" i="17" s="1"/>
  <c r="H7" i="17"/>
  <c r="I9" i="17"/>
  <c r="I13" i="17"/>
  <c r="J61" i="17"/>
  <c r="J67" i="17"/>
  <c r="G13" i="17"/>
  <c r="I7" i="17"/>
  <c r="J9" i="17"/>
  <c r="K9" i="17"/>
  <c r="L61" i="17"/>
  <c r="L60" i="17" s="1"/>
  <c r="L90" i="17" s="1"/>
  <c r="F80" i="17"/>
  <c r="F79" i="17" s="1"/>
  <c r="G22" i="17"/>
  <c r="L9" i="17"/>
  <c r="L13" i="17"/>
  <c r="F63" i="17"/>
  <c r="G7" i="17"/>
  <c r="H22" i="17"/>
  <c r="H26" i="17"/>
  <c r="F67" i="17"/>
  <c r="M140" i="22" l="1"/>
  <c r="AA131" i="1"/>
  <c r="Y130" i="1"/>
  <c r="M93" i="22"/>
  <c r="M139" i="22"/>
  <c r="M130" i="22"/>
  <c r="M131" i="22"/>
  <c r="H17" i="8"/>
  <c r="H18" i="8" s="1"/>
  <c r="H8" i="9"/>
  <c r="I212" i="40"/>
  <c r="I211" i="40" s="1"/>
  <c r="V299" i="23"/>
  <c r="V241" i="23" s="1"/>
  <c r="Q241" i="23"/>
  <c r="Z15" i="23"/>
  <c r="V323" i="23"/>
  <c r="AI22" i="11"/>
  <c r="AK22" i="11" s="1"/>
  <c r="AO22" i="11"/>
  <c r="AT22" i="11" s="1"/>
  <c r="AV8" i="11"/>
  <c r="AT19" i="11"/>
  <c r="H20" i="10"/>
  <c r="AI20" i="11"/>
  <c r="AK20" i="11" s="1"/>
  <c r="AO20" i="11"/>
  <c r="AT20" i="11" s="1"/>
  <c r="G8" i="9"/>
  <c r="J18" i="8"/>
  <c r="E10" i="43"/>
  <c r="AK11" i="11"/>
  <c r="AO11" i="11"/>
  <c r="AT11" i="11" s="1"/>
  <c r="AV11" i="11" s="1"/>
  <c r="AK9" i="11"/>
  <c r="AO9" i="11"/>
  <c r="AT9" i="11" s="1"/>
  <c r="AV9" i="11" s="1"/>
  <c r="I36" i="8"/>
  <c r="J36" i="8"/>
  <c r="E41" i="24" s="1"/>
  <c r="AK10" i="11"/>
  <c r="AO10" i="11"/>
  <c r="AT10" i="11" s="1"/>
  <c r="AV10" i="11" s="1"/>
  <c r="X367" i="23"/>
  <c r="AC53" i="3"/>
  <c r="Y30" i="1"/>
  <c r="AA30" i="1" s="1"/>
  <c r="M19" i="22" s="1"/>
  <c r="N116" i="3"/>
  <c r="N119" i="3" s="1"/>
  <c r="I116" i="3"/>
  <c r="I119" i="3" s="1"/>
  <c r="J116" i="3"/>
  <c r="J119" i="3" s="1"/>
  <c r="S6" i="3"/>
  <c r="S35" i="3" s="1"/>
  <c r="AA114" i="3"/>
  <c r="AD114" i="3" s="1"/>
  <c r="K116" i="3"/>
  <c r="K119" i="3" s="1"/>
  <c r="L116" i="3"/>
  <c r="L119" i="3" s="1"/>
  <c r="I65" i="40"/>
  <c r="AA76" i="1"/>
  <c r="I66" i="40" s="1"/>
  <c r="AA77" i="1"/>
  <c r="I67" i="40" s="1"/>
  <c r="Y155" i="1"/>
  <c r="E55" i="24"/>
  <c r="AC93" i="3"/>
  <c r="AC84" i="3"/>
  <c r="AC89" i="3"/>
  <c r="AC91" i="3"/>
  <c r="AC88" i="3"/>
  <c r="AC77" i="3"/>
  <c r="AC74" i="3"/>
  <c r="AC79" i="3"/>
  <c r="AC30" i="3"/>
  <c r="AC32" i="3"/>
  <c r="AC33" i="3"/>
  <c r="AC34" i="3"/>
  <c r="S23" i="11"/>
  <c r="S69" i="1"/>
  <c r="S68" i="1" s="1"/>
  <c r="AK7" i="11"/>
  <c r="AI18" i="11"/>
  <c r="AK8" i="11"/>
  <c r="AI19" i="11"/>
  <c r="AK19" i="11" s="1"/>
  <c r="I17" i="8"/>
  <c r="I15" i="8"/>
  <c r="I37" i="8"/>
  <c r="I38" i="8" s="1"/>
  <c r="I35" i="8"/>
  <c r="S126" i="23"/>
  <c r="Q323" i="23"/>
  <c r="Q300" i="23" s="1"/>
  <c r="V199" i="23"/>
  <c r="Q182" i="23"/>
  <c r="AC45" i="3"/>
  <c r="AC76" i="3"/>
  <c r="AC31" i="3"/>
  <c r="Y73" i="3"/>
  <c r="AA73" i="3" s="1"/>
  <c r="M129" i="22" s="1"/>
  <c r="I138" i="40"/>
  <c r="I11" i="40"/>
  <c r="Y113" i="3"/>
  <c r="I131" i="40"/>
  <c r="S146" i="22"/>
  <c r="S150" i="22"/>
  <c r="X375" i="23"/>
  <c r="G36" i="8"/>
  <c r="G35" i="8" s="1"/>
  <c r="H36" i="8"/>
  <c r="AC85" i="3"/>
  <c r="AC52" i="3"/>
  <c r="X376" i="23"/>
  <c r="N7" i="1"/>
  <c r="X368" i="23"/>
  <c r="AC54" i="3"/>
  <c r="AC96" i="3"/>
  <c r="S94" i="3"/>
  <c r="P5" i="16"/>
  <c r="Q5" i="16" s="1"/>
  <c r="R5" i="16" s="1"/>
  <c r="I41" i="40"/>
  <c r="I94" i="40"/>
  <c r="I10" i="40"/>
  <c r="I13" i="40"/>
  <c r="S134" i="22"/>
  <c r="S91" i="22"/>
  <c r="I29" i="40"/>
  <c r="I28" i="40" s="1"/>
  <c r="G9" i="26"/>
  <c r="I97" i="40"/>
  <c r="I125" i="40"/>
  <c r="I145" i="40"/>
  <c r="I144" i="40" s="1"/>
  <c r="G24" i="26"/>
  <c r="I95" i="40"/>
  <c r="I173" i="40"/>
  <c r="I172" i="40" s="1"/>
  <c r="G26" i="26"/>
  <c r="I96" i="40"/>
  <c r="I169" i="40"/>
  <c r="I44" i="40"/>
  <c r="I34" i="40"/>
  <c r="I175" i="40"/>
  <c r="I174" i="40" s="1"/>
  <c r="G27" i="26"/>
  <c r="I69" i="40"/>
  <c r="I68" i="40" s="1"/>
  <c r="G15" i="26"/>
  <c r="AC226" i="1"/>
  <c r="I29" i="38"/>
  <c r="Z9" i="11"/>
  <c r="M11" i="16"/>
  <c r="P11" i="16" s="1"/>
  <c r="Q11" i="16" s="1"/>
  <c r="R11" i="16" s="1"/>
  <c r="L105" i="17"/>
  <c r="L106" i="17" s="1"/>
  <c r="M9" i="16"/>
  <c r="J105" i="17"/>
  <c r="J106" i="17" s="1"/>
  <c r="M6" i="16"/>
  <c r="P6" i="16" s="1"/>
  <c r="Q6" i="16" s="1"/>
  <c r="R6" i="16" s="1"/>
  <c r="G105" i="17"/>
  <c r="G106" i="17" s="1"/>
  <c r="F62" i="17"/>
  <c r="F93" i="17"/>
  <c r="F97" i="17" s="1"/>
  <c r="H59" i="8"/>
  <c r="H62" i="8" s="1"/>
  <c r="AD21" i="11"/>
  <c r="AO21" i="11" s="1"/>
  <c r="T21" i="11"/>
  <c r="X21" i="11" s="1"/>
  <c r="Z21" i="11" s="1"/>
  <c r="S117" i="3"/>
  <c r="S113" i="3"/>
  <c r="G53" i="24"/>
  <c r="J53" i="24" s="1"/>
  <c r="M53" i="24" s="1"/>
  <c r="R81" i="23" s="1"/>
  <c r="I133" i="1"/>
  <c r="I227" i="1" s="1"/>
  <c r="K17" i="10"/>
  <c r="L8" i="10"/>
  <c r="O8" i="10"/>
  <c r="O17" i="10" s="1"/>
  <c r="I8" i="9" s="1"/>
  <c r="S36" i="3"/>
  <c r="J9" i="10"/>
  <c r="I18" i="10"/>
  <c r="M9" i="10"/>
  <c r="M18" i="10" s="1"/>
  <c r="Z18" i="11"/>
  <c r="K7" i="1"/>
  <c r="F6" i="15"/>
  <c r="K6" i="15" s="1"/>
  <c r="M6" i="15" s="1"/>
  <c r="S6" i="15" s="1"/>
  <c r="U6" i="15" s="1"/>
  <c r="Q21" i="19" s="1"/>
  <c r="K133" i="1"/>
  <c r="K227" i="1" s="1"/>
  <c r="S189" i="1"/>
  <c r="L7" i="1"/>
  <c r="T14" i="1"/>
  <c r="T8" i="1" s="1"/>
  <c r="S162" i="1"/>
  <c r="S52" i="1"/>
  <c r="J203" i="1"/>
  <c r="N8" i="23"/>
  <c r="N7" i="23" s="1"/>
  <c r="N360" i="23" s="1"/>
  <c r="S155" i="1"/>
  <c r="S82" i="3"/>
  <c r="L133" i="1"/>
  <c r="L227" i="1" s="1"/>
  <c r="L203" i="1"/>
  <c r="J7" i="1"/>
  <c r="G66" i="17"/>
  <c r="I7" i="1"/>
  <c r="H66" i="17"/>
  <c r="H107" i="17" s="1"/>
  <c r="V5" i="16"/>
  <c r="W5" i="16" s="1"/>
  <c r="T12" i="16"/>
  <c r="L62" i="17"/>
  <c r="L98" i="17" s="1"/>
  <c r="F66" i="17"/>
  <c r="F107" i="17" s="1"/>
  <c r="AA7" i="3"/>
  <c r="M86" i="22" s="1"/>
  <c r="F37" i="8"/>
  <c r="F38" i="8" s="1"/>
  <c r="G37" i="8"/>
  <c r="G38" i="8" s="1"/>
  <c r="F58" i="8"/>
  <c r="G42" i="24"/>
  <c r="J42" i="24" s="1"/>
  <c r="M42" i="24" s="1"/>
  <c r="R14" i="23" s="1"/>
  <c r="G10" i="26"/>
  <c r="G15" i="8"/>
  <c r="G17" i="8"/>
  <c r="G18" i="8" s="1"/>
  <c r="S37" i="1"/>
  <c r="S72" i="3"/>
  <c r="G116" i="24"/>
  <c r="J116" i="24" s="1"/>
  <c r="V61" i="23"/>
  <c r="X61" i="23" s="1"/>
  <c r="S10" i="23"/>
  <c r="G78" i="24"/>
  <c r="J78" i="24" s="1"/>
  <c r="E85" i="24"/>
  <c r="S14" i="1"/>
  <c r="H7" i="1"/>
  <c r="O8" i="1"/>
  <c r="X366" i="23"/>
  <c r="O134" i="1"/>
  <c r="O133" i="1" s="1"/>
  <c r="F25" i="24"/>
  <c r="G17" i="24"/>
  <c r="J17" i="24" s="1"/>
  <c r="Q355" i="23" s="1"/>
  <c r="K12" i="32"/>
  <c r="L12" i="32" s="1"/>
  <c r="V144" i="23"/>
  <c r="V129" i="23"/>
  <c r="V128" i="23"/>
  <c r="V149" i="23"/>
  <c r="V148" i="23"/>
  <c r="V145" i="23"/>
  <c r="AC55" i="3"/>
  <c r="S224" i="1"/>
  <c r="S135" i="1"/>
  <c r="Y94" i="3"/>
  <c r="Y82" i="3"/>
  <c r="T134" i="1"/>
  <c r="T133" i="1" s="1"/>
  <c r="R68" i="1"/>
  <c r="F11" i="15"/>
  <c r="K11" i="15" s="1"/>
  <c r="N133" i="1"/>
  <c r="N227" i="1" s="1"/>
  <c r="J133" i="1"/>
  <c r="J227" i="1" s="1"/>
  <c r="K66" i="17"/>
  <c r="J6" i="17"/>
  <c r="J5" i="17" s="1"/>
  <c r="I66" i="17"/>
  <c r="O68" i="1"/>
  <c r="T68" i="1"/>
  <c r="K6" i="17"/>
  <c r="K5" i="17" s="1"/>
  <c r="K28" i="17" s="1"/>
  <c r="L75" i="17"/>
  <c r="L115" i="17" s="1"/>
  <c r="U134" i="1"/>
  <c r="W133" i="1"/>
  <c r="W227" i="1" s="1"/>
  <c r="AC64" i="3"/>
  <c r="AC78" i="3"/>
  <c r="AC108" i="3"/>
  <c r="AC70" i="3"/>
  <c r="R8" i="1"/>
  <c r="AC59" i="3"/>
  <c r="AC42" i="3"/>
  <c r="AC66" i="3"/>
  <c r="AC56" i="3"/>
  <c r="AC105" i="3"/>
  <c r="AC28" i="3"/>
  <c r="AC68" i="3"/>
  <c r="AC58" i="3"/>
  <c r="AC75" i="3"/>
  <c r="AC92" i="3"/>
  <c r="AC104" i="3"/>
  <c r="AC60" i="3"/>
  <c r="AC63" i="3"/>
  <c r="AC101" i="3"/>
  <c r="AC43" i="3"/>
  <c r="AC18" i="3"/>
  <c r="AC41" i="3"/>
  <c r="AC44" i="3"/>
  <c r="AC90" i="3"/>
  <c r="AC81" i="3"/>
  <c r="AC12" i="3"/>
  <c r="AC69" i="3"/>
  <c r="AC67" i="3"/>
  <c r="AC57" i="3"/>
  <c r="AC80" i="3"/>
  <c r="AC87" i="3"/>
  <c r="AC98" i="3"/>
  <c r="AA187" i="1"/>
  <c r="Y185" i="1"/>
  <c r="Y187" i="1"/>
  <c r="Y225" i="1"/>
  <c r="Q116" i="3"/>
  <c r="Q119" i="3" s="1"/>
  <c r="Q120" i="3" s="1"/>
  <c r="K203" i="1"/>
  <c r="U8" i="1"/>
  <c r="W7" i="1"/>
  <c r="L66" i="17"/>
  <c r="R134" i="1"/>
  <c r="R133" i="1" s="1"/>
  <c r="X206" i="1"/>
  <c r="X133" i="1"/>
  <c r="I196" i="40"/>
  <c r="Y9" i="1"/>
  <c r="O35" i="3"/>
  <c r="O71" i="3" s="1"/>
  <c r="AA225" i="1"/>
  <c r="AC225" i="1" s="1"/>
  <c r="R120" i="3"/>
  <c r="V133" i="1"/>
  <c r="V227" i="1" s="1"/>
  <c r="AC95" i="3"/>
  <c r="AC26" i="3"/>
  <c r="U35" i="3"/>
  <c r="X214" i="1"/>
  <c r="Y214" i="1" s="1"/>
  <c r="AA214" i="1" s="1"/>
  <c r="X218" i="1"/>
  <c r="Y218" i="1" s="1"/>
  <c r="AA218" i="1" s="1"/>
  <c r="X217" i="1"/>
  <c r="Y217" i="1" s="1"/>
  <c r="AA217" i="1" s="1"/>
  <c r="X215" i="1"/>
  <c r="Y215" i="1" s="1"/>
  <c r="AA215" i="1" s="1"/>
  <c r="M84" i="22" s="1"/>
  <c r="X223" i="1"/>
  <c r="X213" i="1"/>
  <c r="Y213" i="1" s="1"/>
  <c r="AA213" i="1" s="1"/>
  <c r="M80" i="22" s="1"/>
  <c r="X209" i="1"/>
  <c r="AA185" i="1"/>
  <c r="V7" i="1"/>
  <c r="AA32" i="1"/>
  <c r="Y86" i="1"/>
  <c r="Q8" i="1"/>
  <c r="Y109" i="3"/>
  <c r="Q8" i="16"/>
  <c r="R8" i="16" s="1"/>
  <c r="Q7" i="16"/>
  <c r="R7" i="16" s="1"/>
  <c r="Q10" i="16"/>
  <c r="R10" i="16" s="1"/>
  <c r="Q134" i="1"/>
  <c r="Q133" i="1" s="1"/>
  <c r="AA78" i="1"/>
  <c r="Y190" i="1"/>
  <c r="I6" i="17"/>
  <c r="I5" i="17" s="1"/>
  <c r="Y69" i="1"/>
  <c r="Y195" i="1"/>
  <c r="Y32" i="1"/>
  <c r="L6" i="17"/>
  <c r="L5" i="17" s="1"/>
  <c r="L28" i="17" s="1"/>
  <c r="J66" i="17"/>
  <c r="Q68" i="1"/>
  <c r="Y193" i="1"/>
  <c r="Y78" i="1"/>
  <c r="Q204" i="1"/>
  <c r="I55" i="40"/>
  <c r="J60" i="17"/>
  <c r="J90" i="17" s="1"/>
  <c r="Y47" i="1"/>
  <c r="G6" i="17"/>
  <c r="G5" i="17" s="1"/>
  <c r="G28" i="17" s="1"/>
  <c r="H6" i="17"/>
  <c r="H5" i="17" s="1"/>
  <c r="M54" i="22" l="1"/>
  <c r="AA130" i="1"/>
  <c r="M52" i="22"/>
  <c r="M116" i="24"/>
  <c r="U126" i="23" s="1"/>
  <c r="U127" i="23"/>
  <c r="V127" i="23" s="1"/>
  <c r="K133" i="22"/>
  <c r="S133" i="22"/>
  <c r="K126" i="22"/>
  <c r="S126" i="22"/>
  <c r="K124" i="22"/>
  <c r="S124" i="22"/>
  <c r="K122" i="22"/>
  <c r="S122" i="22"/>
  <c r="K112" i="22"/>
  <c r="S112" i="22"/>
  <c r="K118" i="22"/>
  <c r="S118" i="22"/>
  <c r="K114" i="22"/>
  <c r="S114" i="22"/>
  <c r="K132" i="22"/>
  <c r="S132" i="22"/>
  <c r="K125" i="22"/>
  <c r="S125" i="22"/>
  <c r="K141" i="22"/>
  <c r="S141" i="22"/>
  <c r="K110" i="22"/>
  <c r="S110" i="22"/>
  <c r="K97" i="22"/>
  <c r="S97" i="22"/>
  <c r="K138" i="22"/>
  <c r="S138" i="22"/>
  <c r="K111" i="22"/>
  <c r="S111" i="22"/>
  <c r="K108" i="22"/>
  <c r="S108" i="22"/>
  <c r="K116" i="22"/>
  <c r="S116" i="22"/>
  <c r="K120" i="22"/>
  <c r="S120" i="22"/>
  <c r="K142" i="22"/>
  <c r="S142" i="22"/>
  <c r="K99" i="22"/>
  <c r="S99" i="22"/>
  <c r="K98" i="22"/>
  <c r="S98" i="22"/>
  <c r="K113" i="22"/>
  <c r="S113" i="22"/>
  <c r="K127" i="22"/>
  <c r="S127" i="22"/>
  <c r="K109" i="22"/>
  <c r="S109" i="22"/>
  <c r="K119" i="22"/>
  <c r="S119" i="22"/>
  <c r="K115" i="22"/>
  <c r="S115" i="22"/>
  <c r="K123" i="22"/>
  <c r="S123" i="22"/>
  <c r="K136" i="22"/>
  <c r="S136" i="22"/>
  <c r="K37" i="22"/>
  <c r="S37" i="22"/>
  <c r="K44" i="22"/>
  <c r="S44" i="22"/>
  <c r="K66" i="22"/>
  <c r="S66" i="22"/>
  <c r="K74" i="22"/>
  <c r="S74" i="22"/>
  <c r="K53" i="22"/>
  <c r="S53" i="22"/>
  <c r="K33" i="22"/>
  <c r="S33" i="22"/>
  <c r="K43" i="22"/>
  <c r="S43" i="22"/>
  <c r="K48" i="22"/>
  <c r="S48" i="22"/>
  <c r="K59" i="22"/>
  <c r="S59" i="22"/>
  <c r="K41" i="22"/>
  <c r="S41" i="22"/>
  <c r="K70" i="22"/>
  <c r="S70" i="22"/>
  <c r="K63" i="22"/>
  <c r="S63" i="22"/>
  <c r="K34" i="22"/>
  <c r="S34" i="22"/>
  <c r="K31" i="22"/>
  <c r="S31" i="22"/>
  <c r="K40" i="22"/>
  <c r="S40" i="22"/>
  <c r="K39" i="22"/>
  <c r="S39" i="22"/>
  <c r="K23" i="22"/>
  <c r="S23" i="22"/>
  <c r="K28" i="22"/>
  <c r="S28" i="22"/>
  <c r="K26" i="22"/>
  <c r="S26" i="22"/>
  <c r="K65" i="22"/>
  <c r="S65" i="22"/>
  <c r="K64" i="22"/>
  <c r="S64" i="22"/>
  <c r="K27" i="22"/>
  <c r="S27" i="22"/>
  <c r="K36" i="22"/>
  <c r="S36" i="22"/>
  <c r="K62" i="22"/>
  <c r="S62" i="22"/>
  <c r="K24" i="22"/>
  <c r="S24" i="22"/>
  <c r="K30" i="22"/>
  <c r="S30" i="22"/>
  <c r="K42" i="22"/>
  <c r="S42" i="22"/>
  <c r="K38" i="22"/>
  <c r="S38" i="22"/>
  <c r="K155" i="22"/>
  <c r="S155" i="22"/>
  <c r="K56" i="22"/>
  <c r="S56" i="22"/>
  <c r="K8" i="22"/>
  <c r="S8" i="22"/>
  <c r="K32" i="22"/>
  <c r="S32" i="22"/>
  <c r="K7" i="22"/>
  <c r="S7" i="22"/>
  <c r="K60" i="22"/>
  <c r="S60" i="22"/>
  <c r="K47" i="22"/>
  <c r="S47" i="22"/>
  <c r="K45" i="22"/>
  <c r="S45" i="22"/>
  <c r="K29" i="22"/>
  <c r="S29" i="22"/>
  <c r="K75" i="22"/>
  <c r="S75" i="22"/>
  <c r="K146" i="22"/>
  <c r="K100" i="22"/>
  <c r="K150" i="22"/>
  <c r="Q181" i="23"/>
  <c r="Q361" i="23" s="1"/>
  <c r="J35" i="8"/>
  <c r="T223" i="1" s="1"/>
  <c r="J37" i="8"/>
  <c r="T27" i="3"/>
  <c r="Y27" i="3" s="1"/>
  <c r="AA27" i="3" s="1"/>
  <c r="M92" i="22" s="1"/>
  <c r="AV19" i="11"/>
  <c r="AX19" i="11"/>
  <c r="AO23" i="11"/>
  <c r="AV22" i="11"/>
  <c r="AX22" i="11"/>
  <c r="AV20" i="11"/>
  <c r="AX20" i="11"/>
  <c r="I26" i="40"/>
  <c r="V5" i="1"/>
  <c r="W5" i="1"/>
  <c r="J120" i="3"/>
  <c r="H109" i="17" s="1"/>
  <c r="H114" i="17" s="1"/>
  <c r="H115" i="17" s="1"/>
  <c r="J9" i="23"/>
  <c r="J8" i="23" s="1"/>
  <c r="J7" i="23" s="1"/>
  <c r="J349" i="23" s="1"/>
  <c r="J5" i="23" s="1"/>
  <c r="I120" i="3"/>
  <c r="I122" i="3"/>
  <c r="I8" i="23"/>
  <c r="I7" i="23" s="1"/>
  <c r="I360" i="23" s="1"/>
  <c r="N120" i="3"/>
  <c r="N121" i="3" s="1"/>
  <c r="I109" i="17"/>
  <c r="I114" i="17" s="1"/>
  <c r="I115" i="17" s="1"/>
  <c r="S137" i="22"/>
  <c r="L122" i="3"/>
  <c r="L5" i="1"/>
  <c r="AC62" i="3"/>
  <c r="AC111" i="3"/>
  <c r="S131" i="22"/>
  <c r="G12" i="33"/>
  <c r="S140" i="22"/>
  <c r="G55" i="24"/>
  <c r="J55" i="24" s="1"/>
  <c r="E59" i="24"/>
  <c r="AC29" i="3"/>
  <c r="I5" i="1"/>
  <c r="I15" i="40"/>
  <c r="I25" i="40"/>
  <c r="G9" i="9"/>
  <c r="G14" i="9" s="1"/>
  <c r="G15" i="9" s="1"/>
  <c r="I18" i="8"/>
  <c r="L107" i="17"/>
  <c r="AA94" i="3"/>
  <c r="Q362" i="23"/>
  <c r="M78" i="24"/>
  <c r="S110" i="23" s="1"/>
  <c r="S74" i="23" s="1"/>
  <c r="T20" i="23"/>
  <c r="Y72" i="3"/>
  <c r="K91" i="22"/>
  <c r="S6" i="22"/>
  <c r="G7" i="26"/>
  <c r="AC114" i="3"/>
  <c r="AC113" i="3" s="1"/>
  <c r="AC73" i="3"/>
  <c r="AC72" i="3" s="1"/>
  <c r="S129" i="22"/>
  <c r="G11" i="33"/>
  <c r="AA72" i="3"/>
  <c r="I7" i="40"/>
  <c r="J28" i="17"/>
  <c r="F32" i="8"/>
  <c r="S95" i="22"/>
  <c r="S135" i="22"/>
  <c r="H59" i="17"/>
  <c r="H58" i="17" s="1"/>
  <c r="G13" i="33"/>
  <c r="H35" i="8"/>
  <c r="G41" i="24"/>
  <c r="J41" i="24" s="1"/>
  <c r="M41" i="24" s="1"/>
  <c r="R135" i="23" s="1"/>
  <c r="H37" i="8"/>
  <c r="H38" i="8" s="1"/>
  <c r="J107" i="17"/>
  <c r="I28" i="17"/>
  <c r="M12" i="16"/>
  <c r="AC40" i="3"/>
  <c r="AC38" i="3"/>
  <c r="AC61" i="3"/>
  <c r="K134" i="22"/>
  <c r="F98" i="17"/>
  <c r="J109" i="17"/>
  <c r="J114" i="17" s="1"/>
  <c r="J115" i="17" s="1"/>
  <c r="I183" i="40"/>
  <c r="I182" i="40" s="1"/>
  <c r="G33" i="26"/>
  <c r="I21" i="38"/>
  <c r="J21" i="38" s="1"/>
  <c r="M21" i="38" s="1"/>
  <c r="I204" i="40"/>
  <c r="I49" i="40"/>
  <c r="I75" i="40"/>
  <c r="G16" i="26"/>
  <c r="I64" i="40"/>
  <c r="I63" i="40" s="1"/>
  <c r="G14" i="26"/>
  <c r="S55" i="22"/>
  <c r="I126" i="40"/>
  <c r="I132" i="40"/>
  <c r="I152" i="40"/>
  <c r="K22" i="22"/>
  <c r="I45" i="40"/>
  <c r="I43" i="40" s="1"/>
  <c r="S71" i="3"/>
  <c r="S116" i="3" s="1"/>
  <c r="S119" i="3" s="1"/>
  <c r="S120" i="3" s="1"/>
  <c r="AC110" i="3"/>
  <c r="G23" i="26"/>
  <c r="I77" i="40"/>
  <c r="I76" i="40" s="1"/>
  <c r="G17" i="26"/>
  <c r="I100" i="40"/>
  <c r="I20" i="38"/>
  <c r="J20" i="38" s="1"/>
  <c r="M20" i="38" s="1"/>
  <c r="I203" i="40"/>
  <c r="S94" i="22"/>
  <c r="I178" i="40"/>
  <c r="I177" i="40" s="1"/>
  <c r="G31" i="26"/>
  <c r="I36" i="40"/>
  <c r="I33" i="40" s="1"/>
  <c r="I16" i="40"/>
  <c r="I181" i="40"/>
  <c r="I180" i="40" s="1"/>
  <c r="G32" i="26"/>
  <c r="S86" i="22"/>
  <c r="G6" i="33"/>
  <c r="I121" i="40"/>
  <c r="I120" i="40" s="1"/>
  <c r="G19" i="26"/>
  <c r="G11" i="26"/>
  <c r="N349" i="23"/>
  <c r="N5" i="23" s="1"/>
  <c r="M9" i="14"/>
  <c r="I13" i="38"/>
  <c r="J13" i="38" s="1"/>
  <c r="M13" i="38" s="1"/>
  <c r="I28" i="38"/>
  <c r="J29" i="38"/>
  <c r="J28" i="38" s="1"/>
  <c r="I59" i="17"/>
  <c r="I58" i="17" s="1"/>
  <c r="I107" i="17"/>
  <c r="K59" i="17"/>
  <c r="K58" i="17" s="1"/>
  <c r="K107" i="17"/>
  <c r="G59" i="17"/>
  <c r="G58" i="17" s="1"/>
  <c r="G107" i="17"/>
  <c r="T23" i="11"/>
  <c r="AE21" i="11"/>
  <c r="K9" i="10"/>
  <c r="J18" i="10"/>
  <c r="N9" i="10"/>
  <c r="N18" i="10" s="1"/>
  <c r="H9" i="9" s="1"/>
  <c r="H14" i="9" s="1"/>
  <c r="H15" i="9" s="1"/>
  <c r="J10" i="10"/>
  <c r="J19" i="10" s="1"/>
  <c r="V12" i="16"/>
  <c r="AD23" i="11"/>
  <c r="X23" i="11"/>
  <c r="G18" i="9" s="1"/>
  <c r="G19" i="9" s="1"/>
  <c r="AK18" i="11"/>
  <c r="P8" i="10"/>
  <c r="P17" i="10" s="1"/>
  <c r="J8" i="9" s="1"/>
  <c r="E31" i="24" s="1"/>
  <c r="L17" i="10"/>
  <c r="F8" i="9" s="1"/>
  <c r="L7" i="10"/>
  <c r="V81" i="23"/>
  <c r="R74" i="23"/>
  <c r="I20" i="10"/>
  <c r="M15" i="14"/>
  <c r="AC217" i="1"/>
  <c r="M16" i="14"/>
  <c r="AC218" i="1"/>
  <c r="AA109" i="3"/>
  <c r="Q122" i="3"/>
  <c r="Q229" i="1"/>
  <c r="F11" i="19"/>
  <c r="J11" i="19" s="1"/>
  <c r="N11" i="19" s="1"/>
  <c r="G24" i="19" s="1"/>
  <c r="P24" i="19" s="1"/>
  <c r="R221" i="1"/>
  <c r="R204" i="1" s="1"/>
  <c r="R203" i="1" s="1"/>
  <c r="R121" i="3"/>
  <c r="AC37" i="3"/>
  <c r="Y135" i="1"/>
  <c r="T36" i="3"/>
  <c r="H63" i="8"/>
  <c r="Y209" i="1"/>
  <c r="AA209" i="1" s="1"/>
  <c r="M79" i="22" s="1"/>
  <c r="F4" i="5"/>
  <c r="S134" i="1"/>
  <c r="S133" i="1" s="1"/>
  <c r="S8" i="1"/>
  <c r="S7" i="1" s="1"/>
  <c r="AC7" i="3"/>
  <c r="AC6" i="3" s="1"/>
  <c r="AA6" i="3"/>
  <c r="Y37" i="1"/>
  <c r="O7" i="1"/>
  <c r="L59" i="17"/>
  <c r="L58" i="17" s="1"/>
  <c r="S221" i="1"/>
  <c r="K21" i="22"/>
  <c r="E48" i="24"/>
  <c r="V14" i="23"/>
  <c r="X14" i="23" s="1"/>
  <c r="S9" i="23"/>
  <c r="Z61" i="23"/>
  <c r="Y52" i="1"/>
  <c r="S58" i="22"/>
  <c r="R7" i="1"/>
  <c r="L8" i="23"/>
  <c r="L7" i="23" s="1"/>
  <c r="L360" i="23" s="1"/>
  <c r="Y162" i="1"/>
  <c r="Y14" i="1"/>
  <c r="V355" i="23"/>
  <c r="Q354" i="23"/>
  <c r="Q353" i="23" s="1"/>
  <c r="S125" i="23"/>
  <c r="F10" i="19"/>
  <c r="J10" i="19" s="1"/>
  <c r="N10" i="19" s="1"/>
  <c r="G23" i="19" s="1"/>
  <c r="P23" i="19" s="1"/>
  <c r="K8" i="23"/>
  <c r="K7" i="23" s="1"/>
  <c r="T7" i="1"/>
  <c r="AC83" i="3"/>
  <c r="AC82" i="3" s="1"/>
  <c r="I202" i="40"/>
  <c r="AA82" i="3"/>
  <c r="AC94" i="3"/>
  <c r="Q121" i="3"/>
  <c r="AA9" i="1"/>
  <c r="J59" i="17"/>
  <c r="J58" i="17" s="1"/>
  <c r="X205" i="1"/>
  <c r="Y206" i="1"/>
  <c r="AA206" i="1" s="1"/>
  <c r="M76" i="22" s="1"/>
  <c r="X5" i="16"/>
  <c r="X12" i="16" s="1"/>
  <c r="W12" i="16"/>
  <c r="K19" i="14" s="1"/>
  <c r="X212" i="1"/>
  <c r="AA195" i="1"/>
  <c r="AA193" i="1"/>
  <c r="AA190" i="1"/>
  <c r="AA155" i="1"/>
  <c r="AA135" i="1"/>
  <c r="AA69" i="1"/>
  <c r="AA47" i="1"/>
  <c r="AA37" i="1"/>
  <c r="Q7" i="1"/>
  <c r="Q203" i="1"/>
  <c r="Q227" i="1"/>
  <c r="U125" i="23" l="1"/>
  <c r="F9" i="19"/>
  <c r="J9" i="19" s="1"/>
  <c r="N9" i="19" s="1"/>
  <c r="G22" i="19" s="1"/>
  <c r="P22" i="19" s="1"/>
  <c r="V126" i="23"/>
  <c r="K139" i="22"/>
  <c r="S139" i="22"/>
  <c r="K93" i="22"/>
  <c r="S93" i="22"/>
  <c r="K117" i="22"/>
  <c r="S117" i="22"/>
  <c r="K96" i="22"/>
  <c r="S96" i="22"/>
  <c r="K130" i="22"/>
  <c r="S130" i="22"/>
  <c r="K143" i="22"/>
  <c r="S143" i="22"/>
  <c r="K9" i="22"/>
  <c r="S9" i="22"/>
  <c r="K46" i="22"/>
  <c r="S46" i="22"/>
  <c r="K19" i="22"/>
  <c r="S19" i="22"/>
  <c r="K68" i="22"/>
  <c r="S68" i="22"/>
  <c r="K20" i="22"/>
  <c r="S20" i="22"/>
  <c r="K78" i="22"/>
  <c r="S78" i="22"/>
  <c r="K52" i="22"/>
  <c r="S52" i="22"/>
  <c r="K25" i="22"/>
  <c r="S25" i="22"/>
  <c r="K35" i="22"/>
  <c r="S35" i="22"/>
  <c r="K16" i="22"/>
  <c r="S16" i="22"/>
  <c r="K54" i="22"/>
  <c r="S54" i="22"/>
  <c r="K71" i="22"/>
  <c r="S71" i="22"/>
  <c r="K61" i="22"/>
  <c r="S61" i="22"/>
  <c r="K69" i="22"/>
  <c r="S69" i="22"/>
  <c r="K57" i="22"/>
  <c r="S57" i="22"/>
  <c r="G109" i="17"/>
  <c r="G114" i="17" s="1"/>
  <c r="G115" i="17" s="1"/>
  <c r="K140" i="22"/>
  <c r="O58" i="31"/>
  <c r="K131" i="22"/>
  <c r="K135" i="22"/>
  <c r="K95" i="22"/>
  <c r="K129" i="22"/>
  <c r="M55" i="24"/>
  <c r="Q349" i="23"/>
  <c r="Q5" i="23" s="1"/>
  <c r="G84" i="30"/>
  <c r="F15" i="25"/>
  <c r="Z14" i="23"/>
  <c r="I349" i="23"/>
  <c r="I5" i="23" s="1"/>
  <c r="U51" i="3"/>
  <c r="J20" i="10"/>
  <c r="AE23" i="11"/>
  <c r="AP21" i="11"/>
  <c r="J38" i="8"/>
  <c r="T224" i="1"/>
  <c r="AC109" i="3"/>
  <c r="Q5" i="1"/>
  <c r="H10" i="5"/>
  <c r="F13" i="19"/>
  <c r="J13" i="19" s="1"/>
  <c r="N13" i="19" s="1"/>
  <c r="G26" i="19" s="1"/>
  <c r="P26" i="19" s="1"/>
  <c r="I228" i="1"/>
  <c r="F8" i="19"/>
  <c r="J8" i="19" s="1"/>
  <c r="N8" i="19" s="1"/>
  <c r="G21" i="19" s="1"/>
  <c r="P21" i="19" s="1"/>
  <c r="G19" i="14"/>
  <c r="H19" i="14" s="1"/>
  <c r="K137" i="22"/>
  <c r="AA14" i="1"/>
  <c r="G8" i="26"/>
  <c r="I153" i="40"/>
  <c r="I151" i="40" s="1"/>
  <c r="M86" i="24"/>
  <c r="V110" i="23"/>
  <c r="S122" i="3"/>
  <c r="T10" i="23"/>
  <c r="T7" i="23" s="1"/>
  <c r="T360" i="23" s="1"/>
  <c r="K6" i="22"/>
  <c r="O309" i="31"/>
  <c r="AA52" i="1"/>
  <c r="G25" i="26"/>
  <c r="H22" i="26" s="1"/>
  <c r="AA162" i="1"/>
  <c r="AA134" i="1" s="1"/>
  <c r="G12" i="26"/>
  <c r="K55" i="22"/>
  <c r="I56" i="40"/>
  <c r="I48" i="40" s="1"/>
  <c r="S92" i="22"/>
  <c r="G7" i="33"/>
  <c r="F21" i="25"/>
  <c r="K86" i="22"/>
  <c r="K94" i="22"/>
  <c r="K122" i="31"/>
  <c r="L122" i="31" s="1"/>
  <c r="M122" i="31" s="1"/>
  <c r="X371" i="23"/>
  <c r="K58" i="31"/>
  <c r="L58" i="31" s="1"/>
  <c r="K12" i="31"/>
  <c r="L12" i="31" s="1"/>
  <c r="M12" i="31" s="1"/>
  <c r="I124" i="40"/>
  <c r="I12" i="40"/>
  <c r="I17" i="38"/>
  <c r="J17" i="38" s="1"/>
  <c r="M17" i="38" s="1"/>
  <c r="I200" i="40"/>
  <c r="I16" i="38"/>
  <c r="J16" i="38" s="1"/>
  <c r="M16" i="38" s="1"/>
  <c r="I199" i="40"/>
  <c r="I12" i="38"/>
  <c r="J12" i="38" s="1"/>
  <c r="M12" i="38" s="1"/>
  <c r="I195" i="40"/>
  <c r="M14" i="14"/>
  <c r="I19" i="38"/>
  <c r="J19" i="38" s="1"/>
  <c r="M19" i="38" s="1"/>
  <c r="O7" i="9"/>
  <c r="L16" i="10"/>
  <c r="F7" i="9" s="1"/>
  <c r="M7" i="10"/>
  <c r="M16" i="10" s="1"/>
  <c r="G7" i="9" s="1"/>
  <c r="N7" i="10"/>
  <c r="N16" i="10" s="1"/>
  <c r="O7" i="10"/>
  <c r="O16" i="10" s="1"/>
  <c r="P7" i="10"/>
  <c r="O9" i="10"/>
  <c r="O18" i="10" s="1"/>
  <c r="I9" i="9" s="1"/>
  <c r="L9" i="10"/>
  <c r="K18" i="10"/>
  <c r="K10" i="10"/>
  <c r="K19" i="10" s="1"/>
  <c r="AI21" i="11"/>
  <c r="K58" i="22"/>
  <c r="X365" i="23"/>
  <c r="R227" i="1"/>
  <c r="R5" i="1" s="1"/>
  <c r="M12" i="14"/>
  <c r="AC214" i="1"/>
  <c r="M11" i="14"/>
  <c r="AC213" i="1"/>
  <c r="M8" i="14"/>
  <c r="AC209" i="1"/>
  <c r="J360" i="23"/>
  <c r="Y134" i="1"/>
  <c r="S229" i="1"/>
  <c r="S121" i="3"/>
  <c r="O121" i="3"/>
  <c r="L349" i="23"/>
  <c r="L5" i="23" s="1"/>
  <c r="S204" i="1"/>
  <c r="V135" i="23"/>
  <c r="R125" i="23"/>
  <c r="S8" i="23"/>
  <c r="S7" i="23" s="1"/>
  <c r="S360" i="23" s="1"/>
  <c r="Y8" i="1"/>
  <c r="V354" i="23"/>
  <c r="V353" i="23" s="1"/>
  <c r="X355" i="23"/>
  <c r="K349" i="23"/>
  <c r="K5" i="23" s="1"/>
  <c r="K360" i="23"/>
  <c r="I201" i="40"/>
  <c r="Y212" i="1"/>
  <c r="AA212" i="1" s="1"/>
  <c r="M81" i="22" s="1"/>
  <c r="X208" i="1"/>
  <c r="Y205" i="1"/>
  <c r="K79" i="22" l="1"/>
  <c r="S79" i="22"/>
  <c r="K153" i="22"/>
  <c r="S153" i="22"/>
  <c r="K10" i="22"/>
  <c r="S10" i="22"/>
  <c r="K80" i="22"/>
  <c r="S80" i="22"/>
  <c r="P58" i="31"/>
  <c r="F14" i="30"/>
  <c r="R20" i="23"/>
  <c r="V20" i="23" s="1"/>
  <c r="X20" i="23" s="1"/>
  <c r="K20" i="31" s="1"/>
  <c r="L20" i="31" s="1"/>
  <c r="M20" i="31" s="1"/>
  <c r="F21" i="30"/>
  <c r="K20" i="10"/>
  <c r="Z355" i="23"/>
  <c r="V74" i="23"/>
  <c r="E11" i="43"/>
  <c r="P16" i="10"/>
  <c r="J7" i="9" s="1"/>
  <c r="AP23" i="11"/>
  <c r="AT21" i="11"/>
  <c r="I7" i="9"/>
  <c r="U36" i="3"/>
  <c r="U71" i="3" s="1"/>
  <c r="Y51" i="3"/>
  <c r="H11" i="5"/>
  <c r="H4" i="5" s="1"/>
  <c r="AA8" i="1"/>
  <c r="H6" i="26"/>
  <c r="I14" i="9"/>
  <c r="H7" i="9"/>
  <c r="K92" i="22"/>
  <c r="I6" i="40"/>
  <c r="I123" i="40"/>
  <c r="G8" i="33"/>
  <c r="J8" i="33" s="1"/>
  <c r="K309" i="31"/>
  <c r="L309" i="31" s="1"/>
  <c r="I9" i="38"/>
  <c r="I8" i="38" s="1"/>
  <c r="I192" i="40"/>
  <c r="I191" i="40" s="1"/>
  <c r="G38" i="26"/>
  <c r="AC215" i="1"/>
  <c r="I18" i="38"/>
  <c r="J18" i="38" s="1"/>
  <c r="M18" i="38" s="1"/>
  <c r="S121" i="22"/>
  <c r="G31" i="24"/>
  <c r="J31" i="24" s="1"/>
  <c r="AC65" i="3"/>
  <c r="AK21" i="11"/>
  <c r="AI23" i="11"/>
  <c r="I18" i="9" s="1"/>
  <c r="P9" i="10"/>
  <c r="P18" i="10" s="1"/>
  <c r="J9" i="9" s="1"/>
  <c r="E32" i="24" s="1"/>
  <c r="L18" i="10"/>
  <c r="F9" i="9" s="1"/>
  <c r="L10" i="10"/>
  <c r="M6" i="14"/>
  <c r="AC206" i="1"/>
  <c r="M13" i="14"/>
  <c r="X222" i="1"/>
  <c r="Y222" i="1" s="1"/>
  <c r="AA222" i="1" s="1"/>
  <c r="M85" i="22" s="1"/>
  <c r="S76" i="22"/>
  <c r="S203" i="1"/>
  <c r="S227" i="1"/>
  <c r="S5" i="1" s="1"/>
  <c r="V125" i="23"/>
  <c r="S349" i="23"/>
  <c r="S5" i="23" s="1"/>
  <c r="M58" i="31"/>
  <c r="X354" i="23"/>
  <c r="X353" i="23" s="1"/>
  <c r="AA205" i="1"/>
  <c r="Y208" i="1"/>
  <c r="AA208" i="1" s="1"/>
  <c r="M77" i="22" s="1"/>
  <c r="X207" i="1"/>
  <c r="K84" i="22" l="1"/>
  <c r="S84" i="22"/>
  <c r="Z20" i="23"/>
  <c r="E27" i="39"/>
  <c r="E29" i="39" s="1"/>
  <c r="P10" i="10"/>
  <c r="P19" i="10" s="1"/>
  <c r="J10" i="9" s="1"/>
  <c r="U198" i="1" s="1"/>
  <c r="U118" i="3"/>
  <c r="U117" i="3" s="1"/>
  <c r="J14" i="9"/>
  <c r="E12" i="43"/>
  <c r="E13" i="43" s="1"/>
  <c r="E16" i="43" s="1"/>
  <c r="AQ7" i="11" s="1"/>
  <c r="AQ18" i="11" s="1"/>
  <c r="AV21" i="11"/>
  <c r="AX21" i="11"/>
  <c r="U129" i="1"/>
  <c r="Y129" i="1" s="1"/>
  <c r="AA129" i="1" s="1"/>
  <c r="M49" i="22" s="1"/>
  <c r="AA51" i="3"/>
  <c r="M107" i="22" s="1"/>
  <c r="Y36" i="3"/>
  <c r="H46" i="26"/>
  <c r="F14" i="9"/>
  <c r="F15" i="9" s="1"/>
  <c r="I15" i="9"/>
  <c r="I19" i="9"/>
  <c r="K76" i="22"/>
  <c r="AI27" i="11"/>
  <c r="L308" i="31"/>
  <c r="L307" i="31" s="1"/>
  <c r="P309" i="31"/>
  <c r="K121" i="22"/>
  <c r="J9" i="38"/>
  <c r="M9" i="38" s="1"/>
  <c r="I198" i="40"/>
  <c r="AC212" i="1"/>
  <c r="I15" i="38"/>
  <c r="L19" i="10"/>
  <c r="F10" i="9" s="1"/>
  <c r="G13" i="9" s="1"/>
  <c r="O10" i="10"/>
  <c r="O19" i="10" s="1"/>
  <c r="N10" i="10"/>
  <c r="N19" i="10" s="1"/>
  <c r="M10" i="10"/>
  <c r="M19" i="10" s="1"/>
  <c r="G10" i="9" s="1"/>
  <c r="M31" i="24"/>
  <c r="R12" i="23" s="1"/>
  <c r="M10" i="14"/>
  <c r="K308" i="31"/>
  <c r="K307" i="31" s="1"/>
  <c r="M309" i="31"/>
  <c r="M308" i="31" s="1"/>
  <c r="M307" i="31" s="1"/>
  <c r="Y207" i="1"/>
  <c r="K81" i="22" l="1"/>
  <c r="S81" i="22"/>
  <c r="I119" i="40"/>
  <c r="Y118" i="3"/>
  <c r="AA118" i="3" s="1"/>
  <c r="M151" i="22" s="1"/>
  <c r="U4" i="3"/>
  <c r="AT7" i="11"/>
  <c r="G9" i="33"/>
  <c r="AA36" i="3"/>
  <c r="S107" i="22"/>
  <c r="AC51" i="3"/>
  <c r="AC36" i="3" s="1"/>
  <c r="J15" i="9"/>
  <c r="I10" i="9"/>
  <c r="P20" i="10"/>
  <c r="H10" i="9"/>
  <c r="O20" i="10"/>
  <c r="J8" i="38"/>
  <c r="I208" i="40"/>
  <c r="I11" i="38"/>
  <c r="J11" i="38" s="1"/>
  <c r="I194" i="40"/>
  <c r="I193" i="40" s="1"/>
  <c r="G39" i="26"/>
  <c r="M19" i="14"/>
  <c r="I25" i="38"/>
  <c r="J15" i="38"/>
  <c r="V12" i="23"/>
  <c r="X12" i="23" s="1"/>
  <c r="M20" i="10"/>
  <c r="G11" i="9" s="1"/>
  <c r="G4" i="9" s="1"/>
  <c r="L20" i="10"/>
  <c r="N20" i="10"/>
  <c r="G32" i="24"/>
  <c r="J32" i="24" s="1"/>
  <c r="E37" i="24"/>
  <c r="M7" i="14"/>
  <c r="AC208" i="1"/>
  <c r="Y84" i="1"/>
  <c r="AA84" i="1" s="1"/>
  <c r="S77" i="22"/>
  <c r="AA207" i="1"/>
  <c r="X83" i="1"/>
  <c r="X68" i="1" s="1"/>
  <c r="X7" i="1" s="1"/>
  <c r="K85" i="22" l="1"/>
  <c r="S85" i="22"/>
  <c r="K49" i="22"/>
  <c r="S49" i="22"/>
  <c r="F27" i="39"/>
  <c r="F29" i="39" s="1"/>
  <c r="K107" i="22"/>
  <c r="Y117" i="3"/>
  <c r="G10" i="33"/>
  <c r="J11" i="9"/>
  <c r="AV7" i="11"/>
  <c r="AT18" i="11"/>
  <c r="AX18" i="11" s="1"/>
  <c r="E18" i="43"/>
  <c r="J25" i="9"/>
  <c r="E115" i="24" s="1"/>
  <c r="AQ23" i="11"/>
  <c r="AC118" i="3"/>
  <c r="AC117" i="3" s="1"/>
  <c r="S151" i="22"/>
  <c r="G17" i="33"/>
  <c r="AA117" i="3"/>
  <c r="H11" i="9"/>
  <c r="H13" i="9" s="1"/>
  <c r="H4" i="9" s="1"/>
  <c r="I11" i="9"/>
  <c r="F11" i="9"/>
  <c r="K77" i="22"/>
  <c r="Y83" i="1"/>
  <c r="I74" i="40"/>
  <c r="I73" i="40" s="1"/>
  <c r="I10" i="38"/>
  <c r="M11" i="38"/>
  <c r="J10" i="38"/>
  <c r="M15" i="38"/>
  <c r="J25" i="38"/>
  <c r="O8" i="9"/>
  <c r="M32" i="24"/>
  <c r="R62" i="23" s="1"/>
  <c r="V62" i="23" s="1"/>
  <c r="X62" i="23" s="1"/>
  <c r="R9" i="23"/>
  <c r="F13" i="25"/>
  <c r="J10" i="33" l="1"/>
  <c r="F12" i="30"/>
  <c r="G115" i="24"/>
  <c r="J115" i="24" s="1"/>
  <c r="E120" i="24"/>
  <c r="J27" i="9"/>
  <c r="J26" i="9"/>
  <c r="U100" i="3"/>
  <c r="AV18" i="11"/>
  <c r="O9" i="15"/>
  <c r="AT23" i="11"/>
  <c r="J13" i="9"/>
  <c r="U219" i="1"/>
  <c r="F13" i="9"/>
  <c r="F4" i="9" s="1"/>
  <c r="L11" i="9"/>
  <c r="O9" i="16" s="1"/>
  <c r="P9" i="16" s="1"/>
  <c r="K151" i="22"/>
  <c r="I13" i="9"/>
  <c r="K10" i="31"/>
  <c r="L10" i="31" s="1"/>
  <c r="M5" i="14"/>
  <c r="AC84" i="1"/>
  <c r="M25" i="38"/>
  <c r="O9" i="9"/>
  <c r="O6" i="9" s="1"/>
  <c r="P6" i="9" s="1"/>
  <c r="Y198" i="1"/>
  <c r="AA198" i="1" s="1"/>
  <c r="M72" i="22" s="1"/>
  <c r="U197" i="1"/>
  <c r="U189" i="1" s="1"/>
  <c r="U133" i="1" s="1"/>
  <c r="R8" i="23"/>
  <c r="R10" i="23"/>
  <c r="AA83" i="1"/>
  <c r="U72" i="23" l="1"/>
  <c r="M115" i="24"/>
  <c r="U9" i="23" s="1"/>
  <c r="Y100" i="3"/>
  <c r="U99" i="3"/>
  <c r="U116" i="3" s="1"/>
  <c r="U119" i="3" s="1"/>
  <c r="J28" i="9"/>
  <c r="U224" i="1"/>
  <c r="J18" i="9"/>
  <c r="AT27" i="11"/>
  <c r="O12" i="15"/>
  <c r="P9" i="15"/>
  <c r="I4" i="9"/>
  <c r="R7" i="23"/>
  <c r="R360" i="23" s="1"/>
  <c r="P12" i="16"/>
  <c r="Q9" i="16"/>
  <c r="Z62" i="23"/>
  <c r="O12" i="16"/>
  <c r="U211" i="1"/>
  <c r="M10" i="31"/>
  <c r="Y197" i="1"/>
  <c r="Y189" i="1" s="1"/>
  <c r="Y133" i="1" s="1"/>
  <c r="G50" i="8"/>
  <c r="G49" i="8" s="1"/>
  <c r="T221" i="1"/>
  <c r="T204" i="1" s="1"/>
  <c r="T25" i="3"/>
  <c r="T35" i="3" s="1"/>
  <c r="T71" i="3" s="1"/>
  <c r="T116" i="3" s="1"/>
  <c r="T119" i="3" s="1"/>
  <c r="U8" i="23" l="1"/>
  <c r="V9" i="23"/>
  <c r="V8" i="23" s="1"/>
  <c r="V72" i="23"/>
  <c r="U10" i="23"/>
  <c r="R9" i="15"/>
  <c r="P12" i="15"/>
  <c r="AA100" i="3"/>
  <c r="M144" i="22" s="1"/>
  <c r="Y99" i="3"/>
  <c r="U120" i="3"/>
  <c r="U123" i="1"/>
  <c r="J19" i="9"/>
  <c r="U223" i="1" s="1"/>
  <c r="G51" i="8"/>
  <c r="G52" i="8" s="1"/>
  <c r="F10" i="25"/>
  <c r="K59" i="31"/>
  <c r="L59" i="31" s="1"/>
  <c r="R349" i="23"/>
  <c r="R5" i="23" s="1"/>
  <c r="I185" i="40"/>
  <c r="I184" i="40" s="1"/>
  <c r="I176" i="40" s="1"/>
  <c r="I122" i="40" s="1"/>
  <c r="G34" i="26"/>
  <c r="H28" i="26" s="1"/>
  <c r="H35" i="26" s="1"/>
  <c r="S72" i="22"/>
  <c r="AA197" i="1"/>
  <c r="AA189" i="1" s="1"/>
  <c r="AA133" i="1" s="1"/>
  <c r="R9" i="16"/>
  <c r="Q12" i="16"/>
  <c r="X372" i="23"/>
  <c r="T120" i="3"/>
  <c r="T203" i="1"/>
  <c r="T227" i="1"/>
  <c r="T5" i="1" s="1"/>
  <c r="F46" i="8"/>
  <c r="Y120" i="3" l="1"/>
  <c r="U122" i="3"/>
  <c r="U7" i="23"/>
  <c r="X72" i="23"/>
  <c r="V10" i="23"/>
  <c r="V7" i="23" s="1"/>
  <c r="V360" i="23" s="1"/>
  <c r="U121" i="3"/>
  <c r="U229" i="1"/>
  <c r="Y123" i="1"/>
  <c r="U109" i="1"/>
  <c r="U68" i="1" s="1"/>
  <c r="U7" i="1" s="1"/>
  <c r="AC100" i="3"/>
  <c r="AC99" i="3" s="1"/>
  <c r="AA99" i="3"/>
  <c r="S144" i="22"/>
  <c r="G14" i="33"/>
  <c r="X370" i="23"/>
  <c r="J4" i="9"/>
  <c r="R12" i="15"/>
  <c r="S9" i="15"/>
  <c r="K17" i="14"/>
  <c r="G17" i="14" s="1"/>
  <c r="H17" i="14" s="1"/>
  <c r="F9" i="30"/>
  <c r="R12" i="16"/>
  <c r="M59" i="31"/>
  <c r="K72" i="22"/>
  <c r="T121" i="3"/>
  <c r="T122" i="3"/>
  <c r="T229" i="1"/>
  <c r="Y25" i="3"/>
  <c r="F25" i="25" l="1"/>
  <c r="K33" i="31"/>
  <c r="L33" i="31" s="1"/>
  <c r="M33" i="31" s="1"/>
  <c r="U360" i="23"/>
  <c r="U349" i="23"/>
  <c r="U5" i="23" s="1"/>
  <c r="Y121" i="3"/>
  <c r="U9" i="15"/>
  <c r="AA123" i="1"/>
  <c r="M50" i="22" s="1"/>
  <c r="Y109" i="1"/>
  <c r="Y68" i="1" s="1"/>
  <c r="Y7" i="1" s="1"/>
  <c r="K144" i="22"/>
  <c r="O7" i="31"/>
  <c r="X219" i="1"/>
  <c r="X211" i="1" s="1"/>
  <c r="Y35" i="3"/>
  <c r="Y71" i="3" s="1"/>
  <c r="Y116" i="3" s="1"/>
  <c r="Y119" i="3" s="1"/>
  <c r="AA25" i="3"/>
  <c r="AC27" i="3"/>
  <c r="AC25" i="3" s="1"/>
  <c r="AC35" i="3" s="1"/>
  <c r="AC71" i="3" s="1"/>
  <c r="AC116" i="3" s="1"/>
  <c r="AC119" i="3" s="1"/>
  <c r="F25" i="30" l="1"/>
  <c r="Q24" i="19"/>
  <c r="AT28" i="11"/>
  <c r="G18" i="26"/>
  <c r="H13" i="26" s="1"/>
  <c r="H20" i="26" s="1"/>
  <c r="I113" i="40"/>
  <c r="I99" i="40" s="1"/>
  <c r="I62" i="40" s="1"/>
  <c r="I5" i="40" s="1"/>
  <c r="AA109" i="1"/>
  <c r="AA68" i="1" s="1"/>
  <c r="AA7" i="1" s="1"/>
  <c r="Y219" i="1"/>
  <c r="AA219" i="1" s="1"/>
  <c r="M82" i="22" s="1"/>
  <c r="AA35" i="3"/>
  <c r="AC120" i="3"/>
  <c r="AC121" i="3" s="1"/>
  <c r="K50" i="22" l="1"/>
  <c r="S50" i="22"/>
  <c r="AA71" i="3"/>
  <c r="G33" i="33"/>
  <c r="I22" i="38"/>
  <c r="J22" i="38" s="1"/>
  <c r="I205" i="40"/>
  <c r="I197" i="40" s="1"/>
  <c r="G40" i="26"/>
  <c r="Y211" i="1"/>
  <c r="AA211" i="1"/>
  <c r="S82" i="22"/>
  <c r="M17" i="14"/>
  <c r="U221" i="1"/>
  <c r="U204" i="1" s="1"/>
  <c r="G27" i="39" l="1"/>
  <c r="K82" i="22"/>
  <c r="I14" i="38"/>
  <c r="G34" i="33"/>
  <c r="L22" i="38"/>
  <c r="G20" i="39"/>
  <c r="J14" i="38"/>
  <c r="U227" i="1"/>
  <c r="U5" i="1" s="1"/>
  <c r="U203" i="1"/>
  <c r="Y223" i="1"/>
  <c r="AA223" i="1" s="1"/>
  <c r="M83" i="22" s="1"/>
  <c r="M22" i="38" l="1"/>
  <c r="Q14" i="16"/>
  <c r="Q15" i="16" s="1"/>
  <c r="G17" i="39"/>
  <c r="G24" i="39" s="1"/>
  <c r="G29" i="39" s="1"/>
  <c r="I20" i="39"/>
  <c r="K20" i="39" s="1"/>
  <c r="G25" i="33" l="1"/>
  <c r="G21" i="33" s="1"/>
  <c r="J21" i="33" s="1"/>
  <c r="I26" i="38"/>
  <c r="I209" i="40"/>
  <c r="M20" i="14"/>
  <c r="M3" i="22" l="1"/>
  <c r="S83" i="22"/>
  <c r="J26" i="38"/>
  <c r="K83" i="22"/>
  <c r="K3" i="22" l="1"/>
  <c r="O37" i="31"/>
  <c r="P37" i="31" s="1"/>
  <c r="O38" i="31"/>
  <c r="P38" i="31" s="1"/>
  <c r="O34" i="31"/>
  <c r="P34" i="31" s="1"/>
  <c r="O45" i="31"/>
  <c r="P45" i="31" s="1"/>
  <c r="O88" i="31"/>
  <c r="O89" i="31"/>
  <c r="O85" i="31"/>
  <c r="O12" i="31"/>
  <c r="P12" i="31" s="1"/>
  <c r="O40" i="31"/>
  <c r="P40" i="31" s="1"/>
  <c r="O65" i="31"/>
  <c r="O32" i="31"/>
  <c r="P32" i="31" s="1"/>
  <c r="O67" i="31"/>
  <c r="P67" i="31" s="1"/>
  <c r="O63" i="31"/>
  <c r="O64" i="31"/>
  <c r="O76" i="31"/>
  <c r="O26" i="31"/>
  <c r="P26" i="31" s="1"/>
  <c r="O39" i="31"/>
  <c r="P39" i="31" s="1"/>
  <c r="O18" i="31"/>
  <c r="P18" i="31" s="1"/>
  <c r="O68" i="31"/>
  <c r="O71" i="31"/>
  <c r="O92" i="31"/>
  <c r="O103" i="31"/>
  <c r="O94" i="31"/>
  <c r="O11" i="31"/>
  <c r="P11" i="31" s="1"/>
  <c r="O82" i="31"/>
  <c r="O101" i="31"/>
  <c r="O36" i="31"/>
  <c r="P36" i="31" s="1"/>
  <c r="O57" i="31"/>
  <c r="P57" i="31" s="1"/>
  <c r="O28" i="31"/>
  <c r="P28" i="31" s="1"/>
  <c r="O95" i="31"/>
  <c r="O31" i="31"/>
  <c r="P31" i="31" s="1"/>
  <c r="O80" i="31"/>
  <c r="O22" i="31"/>
  <c r="P22" i="31" s="1"/>
  <c r="O102" i="31"/>
  <c r="O14" i="31"/>
  <c r="P14" i="31" s="1"/>
  <c r="O105" i="31"/>
  <c r="O48" i="31"/>
  <c r="P48" i="31" s="1"/>
  <c r="O21" i="31"/>
  <c r="P21" i="31" s="1"/>
  <c r="O66" i="31"/>
  <c r="P66" i="31" s="1"/>
  <c r="O10" i="31"/>
  <c r="P10" i="31" s="1"/>
  <c r="O49" i="31"/>
  <c r="P49" i="31" s="1"/>
  <c r="O15" i="31"/>
  <c r="P15" i="31" s="1"/>
  <c r="O81" i="31"/>
  <c r="O27" i="31"/>
  <c r="P27" i="31" s="1"/>
  <c r="O51" i="31"/>
  <c r="P51" i="31" s="1"/>
  <c r="O33" i="31"/>
  <c r="P33" i="31" s="1"/>
  <c r="O42" i="31"/>
  <c r="P42" i="31" s="1"/>
  <c r="O24" i="31"/>
  <c r="P24" i="31" s="1"/>
  <c r="O25" i="31"/>
  <c r="P25" i="31" s="1"/>
  <c r="O50" i="31"/>
  <c r="P50" i="31" s="1"/>
  <c r="O93" i="31"/>
  <c r="O78" i="31"/>
  <c r="O79" i="31"/>
  <c r="O43" i="31"/>
  <c r="P43" i="31" s="1"/>
  <c r="O55" i="31"/>
  <c r="P55" i="31" s="1"/>
  <c r="O56" i="31"/>
  <c r="P56" i="31" s="1"/>
  <c r="O84" i="31"/>
  <c r="O83" i="31"/>
  <c r="O74" i="31"/>
  <c r="O54" i="31"/>
  <c r="P54" i="31" s="1"/>
  <c r="O13" i="31"/>
  <c r="P13" i="31" s="1"/>
  <c r="O73" i="31"/>
  <c r="O90" i="31"/>
  <c r="O104" i="31"/>
  <c r="O30" i="31"/>
  <c r="P30" i="31" s="1"/>
  <c r="O75" i="31"/>
  <c r="O87" i="31"/>
  <c r="O44" i="31"/>
  <c r="P44" i="31" s="1"/>
  <c r="O99" i="31"/>
  <c r="O52" i="31"/>
  <c r="P52" i="31" s="1"/>
  <c r="O91" i="31"/>
  <c r="O86" i="31"/>
  <c r="O96" i="31"/>
  <c r="O97" i="31"/>
  <c r="O41" i="31"/>
  <c r="P41" i="31" s="1"/>
  <c r="O23" i="31"/>
  <c r="P23" i="31" s="1"/>
  <c r="O29" i="31"/>
  <c r="P29" i="31" s="1"/>
  <c r="O100" i="31"/>
  <c r="O72" i="31"/>
  <c r="O19" i="31"/>
  <c r="P19" i="31" s="1"/>
  <c r="O98" i="31"/>
  <c r="O60" i="31"/>
  <c r="P60" i="31" s="1"/>
  <c r="O16" i="31"/>
  <c r="P16" i="31" s="1"/>
  <c r="O17" i="31"/>
  <c r="P17" i="31" s="1"/>
  <c r="O61" i="31"/>
  <c r="P61" i="31" s="1"/>
  <c r="O53" i="31"/>
  <c r="P53" i="31" s="1"/>
  <c r="O59" i="31"/>
  <c r="P59" i="31" s="1"/>
  <c r="O20" i="31"/>
  <c r="P20" i="31" s="1"/>
  <c r="O35" i="31"/>
  <c r="P35" i="31" s="1"/>
  <c r="O46" i="31"/>
  <c r="P46" i="31" s="1"/>
  <c r="O47" i="31"/>
  <c r="P47" i="31" s="1"/>
  <c r="O77" i="31"/>
  <c r="M26" i="38"/>
  <c r="X278" i="23" l="1"/>
  <c r="X269" i="23"/>
  <c r="X277" i="23"/>
  <c r="X129" i="23"/>
  <c r="X148" i="23"/>
  <c r="X145" i="23"/>
  <c r="X147" i="23"/>
  <c r="X76" i="23"/>
  <c r="X83" i="23"/>
  <c r="X84" i="23"/>
  <c r="X143" i="23"/>
  <c r="X154" i="23"/>
  <c r="X184" i="23"/>
  <c r="X218" i="23"/>
  <c r="X221" i="23"/>
  <c r="X243" i="23"/>
  <c r="X246" i="23"/>
  <c r="X248" i="23"/>
  <c r="X249" i="23"/>
  <c r="X256" i="23"/>
  <c r="X290" i="23"/>
  <c r="X342" i="23"/>
  <c r="Z246" i="23" l="1"/>
  <c r="X338" i="23"/>
  <c r="X283" i="23"/>
  <c r="X217" i="23"/>
  <c r="X95" i="23"/>
  <c r="X337" i="23"/>
  <c r="X327" i="23"/>
  <c r="X316" i="23"/>
  <c r="X308" i="23"/>
  <c r="X293" i="23"/>
  <c r="X281" i="23"/>
  <c r="X267" i="23"/>
  <c r="X259" i="23"/>
  <c r="X251" i="23"/>
  <c r="X235" i="23"/>
  <c r="X224" i="23"/>
  <c r="X216" i="23"/>
  <c r="X205" i="23"/>
  <c r="X197" i="23"/>
  <c r="X187" i="23"/>
  <c r="X167" i="23"/>
  <c r="X157" i="23"/>
  <c r="X141" i="23"/>
  <c r="X111" i="23"/>
  <c r="X102" i="23"/>
  <c r="X94" i="23"/>
  <c r="X150" i="23"/>
  <c r="X317" i="23"/>
  <c r="X252" i="23"/>
  <c r="X206" i="23"/>
  <c r="X168" i="23"/>
  <c r="X142" i="23"/>
  <c r="X336" i="23"/>
  <c r="X291" i="23"/>
  <c r="X280" i="23"/>
  <c r="X258" i="23"/>
  <c r="X234" i="23"/>
  <c r="X223" i="23"/>
  <c r="X215" i="23"/>
  <c r="X204" i="23"/>
  <c r="X196" i="23"/>
  <c r="X186" i="23"/>
  <c r="X166" i="23"/>
  <c r="X156" i="23"/>
  <c r="X140" i="23"/>
  <c r="X109" i="23"/>
  <c r="X101" i="23"/>
  <c r="X93" i="23"/>
  <c r="X294" i="23"/>
  <c r="X112" i="23"/>
  <c r="X266" i="23"/>
  <c r="X335" i="23"/>
  <c r="X325" i="23"/>
  <c r="X314" i="23"/>
  <c r="X306" i="23"/>
  <c r="X279" i="23"/>
  <c r="X265" i="23"/>
  <c r="X257" i="23"/>
  <c r="X233" i="23"/>
  <c r="X222" i="23"/>
  <c r="X211" i="23"/>
  <c r="X203" i="23"/>
  <c r="X195" i="23"/>
  <c r="X185" i="23"/>
  <c r="X165" i="23"/>
  <c r="X155" i="23"/>
  <c r="X136" i="23"/>
  <c r="X108" i="23"/>
  <c r="X100" i="23"/>
  <c r="X92" i="23"/>
  <c r="X82" i="23"/>
  <c r="X146" i="23"/>
  <c r="X268" i="23"/>
  <c r="X305" i="23"/>
  <c r="X276" i="23"/>
  <c r="X264" i="23"/>
  <c r="X247" i="23"/>
  <c r="X232" i="23"/>
  <c r="X210" i="23"/>
  <c r="X202" i="23"/>
  <c r="X194" i="23"/>
  <c r="X162" i="23"/>
  <c r="X132" i="23"/>
  <c r="X107" i="23"/>
  <c r="X99" i="23"/>
  <c r="X90" i="23"/>
  <c r="X81" i="23"/>
  <c r="X282" i="23"/>
  <c r="X309" i="23"/>
  <c r="X227" i="23"/>
  <c r="X85" i="23"/>
  <c r="X307" i="23"/>
  <c r="X313" i="23"/>
  <c r="X320" i="23"/>
  <c r="X275" i="23"/>
  <c r="X231" i="23"/>
  <c r="X220" i="23"/>
  <c r="X209" i="23"/>
  <c r="X201" i="23"/>
  <c r="X193" i="23"/>
  <c r="X180" i="23"/>
  <c r="X161" i="23"/>
  <c r="X153" i="23"/>
  <c r="X130" i="23"/>
  <c r="X106" i="23"/>
  <c r="X98" i="23"/>
  <c r="X88" i="23"/>
  <c r="X79" i="23"/>
  <c r="X149" i="23"/>
  <c r="X260" i="23"/>
  <c r="X131" i="23"/>
  <c r="X334" i="23"/>
  <c r="X289" i="23"/>
  <c r="X333" i="23"/>
  <c r="X312" i="23"/>
  <c r="X288" i="23"/>
  <c r="X263" i="23"/>
  <c r="X330" i="23"/>
  <c r="X319" i="23"/>
  <c r="X311" i="23"/>
  <c r="X303" i="23"/>
  <c r="X285" i="23"/>
  <c r="X274" i="23"/>
  <c r="X262" i="23"/>
  <c r="X254" i="23"/>
  <c r="X245" i="23"/>
  <c r="X230" i="23"/>
  <c r="X219" i="23"/>
  <c r="X208" i="23"/>
  <c r="X200" i="23"/>
  <c r="X192" i="23"/>
  <c r="X170" i="23"/>
  <c r="X160" i="23"/>
  <c r="X152" i="23"/>
  <c r="X128" i="23"/>
  <c r="X105" i="23"/>
  <c r="X97" i="23"/>
  <c r="X87" i="23"/>
  <c r="X78" i="23"/>
  <c r="X328" i="23"/>
  <c r="X188" i="23"/>
  <c r="X158" i="23"/>
  <c r="X103" i="23"/>
  <c r="X326" i="23"/>
  <c r="X322" i="23"/>
  <c r="X304" i="23"/>
  <c r="X255" i="23"/>
  <c r="X341" i="23"/>
  <c r="X340" i="23"/>
  <c r="X329" i="23"/>
  <c r="X318" i="23"/>
  <c r="X310" i="23"/>
  <c r="X299" i="23"/>
  <c r="X284" i="23"/>
  <c r="X270" i="23"/>
  <c r="X261" i="23"/>
  <c r="X253" i="23"/>
  <c r="X244" i="23"/>
  <c r="X228" i="23"/>
  <c r="X207" i="23"/>
  <c r="X199" i="23"/>
  <c r="X189" i="23"/>
  <c r="X169" i="23"/>
  <c r="X159" i="23"/>
  <c r="X124" i="23"/>
  <c r="X104" i="23"/>
  <c r="X96" i="23"/>
  <c r="X86" i="23"/>
  <c r="X77" i="23"/>
  <c r="X134" i="23"/>
  <c r="K250" i="31"/>
  <c r="L250" i="31" s="1"/>
  <c r="M250" i="31" s="1"/>
  <c r="F71" i="25"/>
  <c r="K169" i="31"/>
  <c r="L169" i="31" s="1"/>
  <c r="M169" i="31" s="1"/>
  <c r="K209" i="31"/>
  <c r="L209" i="31" s="1"/>
  <c r="M209" i="31" s="1"/>
  <c r="F67" i="25"/>
  <c r="K76" i="31"/>
  <c r="L76" i="31" s="1"/>
  <c r="K75" i="31"/>
  <c r="L75" i="31" s="1"/>
  <c r="K238" i="31"/>
  <c r="L238" i="31" s="1"/>
  <c r="M238" i="31" s="1"/>
  <c r="K234" i="31"/>
  <c r="L234" i="31" s="1"/>
  <c r="X242" i="23"/>
  <c r="K155" i="31"/>
  <c r="L155" i="31" s="1"/>
  <c r="M155" i="31" s="1"/>
  <c r="F61" i="25"/>
  <c r="K212" i="31"/>
  <c r="L212" i="31" s="1"/>
  <c r="M212" i="31" s="1"/>
  <c r="F68" i="25"/>
  <c r="E103" i="24"/>
  <c r="K187" i="31"/>
  <c r="L187" i="31" s="1"/>
  <c r="M187" i="31" s="1"/>
  <c r="F62" i="25"/>
  <c r="X183" i="23"/>
  <c r="H182" i="23"/>
  <c r="F46" i="25"/>
  <c r="K120" i="31"/>
  <c r="L120" i="31" s="1"/>
  <c r="M120" i="31" s="1"/>
  <c r="F88" i="25"/>
  <c r="K296" i="31"/>
  <c r="L296" i="31" s="1"/>
  <c r="M296" i="31" s="1"/>
  <c r="K219" i="31"/>
  <c r="L219" i="31" s="1"/>
  <c r="M219" i="31" s="1"/>
  <c r="F70" i="25"/>
  <c r="K211" i="31"/>
  <c r="L211" i="31" s="1"/>
  <c r="M211" i="31" s="1"/>
  <c r="K145" i="31"/>
  <c r="L145" i="31" s="1"/>
  <c r="K110" i="31"/>
  <c r="L110" i="31" s="1"/>
  <c r="M110" i="31" s="1"/>
  <c r="X179" i="23"/>
  <c r="X127" i="23"/>
  <c r="K232" i="31"/>
  <c r="L232" i="31" s="1"/>
  <c r="M232" i="31" s="1"/>
  <c r="X302" i="23"/>
  <c r="H301" i="23"/>
  <c r="X178" i="23"/>
  <c r="K125" i="31"/>
  <c r="L125" i="31" s="1"/>
  <c r="M125" i="31" s="1"/>
  <c r="X177" i="23"/>
  <c r="X144" i="23"/>
  <c r="X339" i="23"/>
  <c r="K190" i="31"/>
  <c r="L190" i="31" s="1"/>
  <c r="M190" i="31" s="1"/>
  <c r="F63" i="25"/>
  <c r="X176" i="23"/>
  <c r="K130" i="31"/>
  <c r="L130" i="31" s="1"/>
  <c r="M130" i="31" s="1"/>
  <c r="H379" i="23"/>
  <c r="X91" i="23"/>
  <c r="F34" i="25"/>
  <c r="L64" i="31"/>
  <c r="X135" i="23"/>
  <c r="K239" i="31"/>
  <c r="L239" i="31" s="1"/>
  <c r="M239" i="31" s="1"/>
  <c r="F73" i="25"/>
  <c r="K206" i="31"/>
  <c r="L206" i="31" s="1"/>
  <c r="X80" i="23"/>
  <c r="X292" i="23"/>
  <c r="F44" i="30" l="1"/>
  <c r="F64" i="30"/>
  <c r="F65" i="30"/>
  <c r="F63" i="30"/>
  <c r="F57" i="30"/>
  <c r="F79" i="30"/>
  <c r="F32" i="30"/>
  <c r="F62" i="30"/>
  <c r="F56" i="30"/>
  <c r="K114" i="31"/>
  <c r="L114" i="31" s="1"/>
  <c r="M114" i="31" s="1"/>
  <c r="K160" i="31"/>
  <c r="L160" i="31" s="1"/>
  <c r="M160" i="31" s="1"/>
  <c r="K245" i="31"/>
  <c r="L245" i="31" s="1"/>
  <c r="M245" i="31" s="1"/>
  <c r="Z304" i="23"/>
  <c r="K79" i="31"/>
  <c r="L79" i="31" s="1"/>
  <c r="M79" i="31" s="1"/>
  <c r="K171" i="31"/>
  <c r="L171" i="31" s="1"/>
  <c r="M171" i="31" s="1"/>
  <c r="K246" i="31"/>
  <c r="L246" i="31" s="1"/>
  <c r="M246" i="31" s="1"/>
  <c r="K287" i="31"/>
  <c r="L287" i="31" s="1"/>
  <c r="M287" i="31" s="1"/>
  <c r="K90" i="31"/>
  <c r="L90" i="31" s="1"/>
  <c r="P90" i="31" s="1"/>
  <c r="K180" i="31"/>
  <c r="L180" i="31" s="1"/>
  <c r="M180" i="31" s="1"/>
  <c r="K195" i="31"/>
  <c r="L195" i="31" s="1"/>
  <c r="M195" i="31" s="1"/>
  <c r="K138" i="31"/>
  <c r="L138" i="31" s="1"/>
  <c r="M138" i="31" s="1"/>
  <c r="K261" i="31"/>
  <c r="L261" i="31" s="1"/>
  <c r="M261" i="31" s="1"/>
  <c r="K131" i="31"/>
  <c r="L131" i="31" s="1"/>
  <c r="M131" i="31" s="1"/>
  <c r="K220" i="31"/>
  <c r="L220" i="31" s="1"/>
  <c r="M220" i="31" s="1"/>
  <c r="K104" i="31"/>
  <c r="L104" i="31" s="1"/>
  <c r="M104" i="31" s="1"/>
  <c r="K157" i="31"/>
  <c r="L157" i="31" s="1"/>
  <c r="M157" i="31" s="1"/>
  <c r="K251" i="31"/>
  <c r="L251" i="31" s="1"/>
  <c r="M251" i="31" s="1"/>
  <c r="K86" i="31"/>
  <c r="L86" i="31" s="1"/>
  <c r="M86" i="31" s="1"/>
  <c r="K176" i="31"/>
  <c r="L176" i="31" s="1"/>
  <c r="M176" i="31" s="1"/>
  <c r="K253" i="31"/>
  <c r="L253" i="31" s="1"/>
  <c r="M253" i="31" s="1"/>
  <c r="K292" i="31"/>
  <c r="L292" i="31" s="1"/>
  <c r="M292" i="31" s="1"/>
  <c r="K65" i="31"/>
  <c r="L65" i="31" s="1"/>
  <c r="M65" i="31" s="1"/>
  <c r="F76" i="25"/>
  <c r="K255" i="31"/>
  <c r="L255" i="31" s="1"/>
  <c r="M255" i="31" s="1"/>
  <c r="K277" i="31"/>
  <c r="L277" i="31" s="1"/>
  <c r="M277" i="31" s="1"/>
  <c r="K89" i="31"/>
  <c r="L89" i="31" s="1"/>
  <c r="M89" i="31" s="1"/>
  <c r="K179" i="31"/>
  <c r="L179" i="31" s="1"/>
  <c r="M179" i="31" s="1"/>
  <c r="K259" i="31"/>
  <c r="L259" i="31" s="1"/>
  <c r="M259" i="31" s="1"/>
  <c r="K249" i="31"/>
  <c r="L249" i="31" s="1"/>
  <c r="M249" i="31" s="1"/>
  <c r="K98" i="31"/>
  <c r="L98" i="31" s="1"/>
  <c r="P98" i="31" s="1"/>
  <c r="K189" i="31"/>
  <c r="L189" i="31" s="1"/>
  <c r="M189" i="31" s="1"/>
  <c r="K265" i="31"/>
  <c r="L265" i="31" s="1"/>
  <c r="M265" i="31" s="1"/>
  <c r="K164" i="31"/>
  <c r="L164" i="31" s="1"/>
  <c r="M164" i="31" s="1"/>
  <c r="K231" i="31"/>
  <c r="L231" i="31" s="1"/>
  <c r="M231" i="31" s="1"/>
  <c r="K139" i="31"/>
  <c r="L139" i="31" s="1"/>
  <c r="M139" i="31" s="1"/>
  <c r="K228" i="31"/>
  <c r="L228" i="31" s="1"/>
  <c r="M228" i="31" s="1"/>
  <c r="K254" i="31"/>
  <c r="L254" i="31" s="1"/>
  <c r="M254" i="31" s="1"/>
  <c r="K167" i="31"/>
  <c r="L167" i="31" s="1"/>
  <c r="M167" i="31" s="1"/>
  <c r="K290" i="31"/>
  <c r="L290" i="31" s="1"/>
  <c r="M290" i="31" s="1"/>
  <c r="K94" i="31"/>
  <c r="L94" i="31" s="1"/>
  <c r="M94" i="31" s="1"/>
  <c r="K185" i="31"/>
  <c r="L185" i="31" s="1"/>
  <c r="M185" i="31" s="1"/>
  <c r="K264" i="31"/>
  <c r="L264" i="31" s="1"/>
  <c r="M264" i="31" s="1"/>
  <c r="K78" i="31"/>
  <c r="L78" i="31" s="1"/>
  <c r="M78" i="31" s="1"/>
  <c r="K178" i="31"/>
  <c r="L178" i="31" s="1"/>
  <c r="M178" i="31" s="1"/>
  <c r="K266" i="31"/>
  <c r="L266" i="31" s="1"/>
  <c r="M266" i="31" s="1"/>
  <c r="K281" i="31"/>
  <c r="L281" i="31" s="1"/>
  <c r="M281" i="31" s="1"/>
  <c r="K97" i="31"/>
  <c r="L97" i="31" s="1"/>
  <c r="M97" i="31" s="1"/>
  <c r="K188" i="31"/>
  <c r="L188" i="31" s="1"/>
  <c r="M188" i="31" s="1"/>
  <c r="K267" i="31"/>
  <c r="L267" i="31" s="1"/>
  <c r="M267" i="31" s="1"/>
  <c r="K288" i="31"/>
  <c r="L288" i="31" s="1"/>
  <c r="M288" i="31" s="1"/>
  <c r="K111" i="31"/>
  <c r="L111" i="31" s="1"/>
  <c r="M111" i="31" s="1"/>
  <c r="K198" i="31"/>
  <c r="L198" i="31" s="1"/>
  <c r="M198" i="31" s="1"/>
  <c r="F78" i="25"/>
  <c r="K173" i="31"/>
  <c r="L173" i="31" s="1"/>
  <c r="M173" i="31" s="1"/>
  <c r="K123" i="31"/>
  <c r="L123" i="31" s="1"/>
  <c r="M123" i="31" s="1"/>
  <c r="K156" i="31"/>
  <c r="L156" i="31" s="1"/>
  <c r="M156" i="31" s="1"/>
  <c r="K240" i="31"/>
  <c r="L240" i="31" s="1"/>
  <c r="M240" i="31" s="1"/>
  <c r="K85" i="31"/>
  <c r="L85" i="31" s="1"/>
  <c r="M85" i="31" s="1"/>
  <c r="K175" i="31"/>
  <c r="L175" i="31" s="1"/>
  <c r="M175" i="31" s="1"/>
  <c r="K119" i="31"/>
  <c r="L119" i="31" s="1"/>
  <c r="M119" i="31" s="1"/>
  <c r="K103" i="31"/>
  <c r="L103" i="31" s="1"/>
  <c r="P103" i="31" s="1"/>
  <c r="K193" i="31"/>
  <c r="L193" i="31" s="1"/>
  <c r="M193" i="31" s="1"/>
  <c r="K272" i="31"/>
  <c r="L272" i="31" s="1"/>
  <c r="M272" i="31" s="1"/>
  <c r="K88" i="31"/>
  <c r="L88" i="31" s="1"/>
  <c r="M88" i="31" s="1"/>
  <c r="K196" i="31"/>
  <c r="L196" i="31" s="1"/>
  <c r="M196" i="31" s="1"/>
  <c r="K274" i="31"/>
  <c r="L274" i="31" s="1"/>
  <c r="M274" i="31" s="1"/>
  <c r="K95" i="31"/>
  <c r="L95" i="31" s="1"/>
  <c r="M95" i="31" s="1"/>
  <c r="K109" i="31"/>
  <c r="L109" i="31" s="1"/>
  <c r="M109" i="31" s="1"/>
  <c r="K197" i="31"/>
  <c r="L197" i="31" s="1"/>
  <c r="M197" i="31" s="1"/>
  <c r="K275" i="31"/>
  <c r="L275" i="31" s="1"/>
  <c r="M275" i="31" s="1"/>
  <c r="K112" i="31"/>
  <c r="L112" i="31" s="1"/>
  <c r="M112" i="31" s="1"/>
  <c r="K129" i="31"/>
  <c r="L129" i="31" s="1"/>
  <c r="M129" i="31" s="1"/>
  <c r="K236" i="31"/>
  <c r="L236" i="31" s="1"/>
  <c r="M236" i="31" s="1"/>
  <c r="K73" i="31"/>
  <c r="L73" i="31" s="1"/>
  <c r="M73" i="31" s="1"/>
  <c r="K181" i="31"/>
  <c r="L181" i="31" s="1"/>
  <c r="M181" i="31" s="1"/>
  <c r="K74" i="31"/>
  <c r="L74" i="31" s="1"/>
  <c r="M74" i="31" s="1"/>
  <c r="K165" i="31"/>
  <c r="L165" i="31" s="1"/>
  <c r="M165" i="31" s="1"/>
  <c r="K262" i="31"/>
  <c r="L262" i="31" s="1"/>
  <c r="M262" i="31" s="1"/>
  <c r="K93" i="31"/>
  <c r="L93" i="31" s="1"/>
  <c r="P93" i="31" s="1"/>
  <c r="K184" i="31"/>
  <c r="L184" i="31" s="1"/>
  <c r="M184" i="31" s="1"/>
  <c r="K142" i="31"/>
  <c r="L142" i="31" s="1"/>
  <c r="M142" i="31" s="1"/>
  <c r="K202" i="31"/>
  <c r="L202" i="31" s="1"/>
  <c r="M202" i="31" s="1"/>
  <c r="K282" i="31"/>
  <c r="L282" i="31" s="1"/>
  <c r="M282" i="31" s="1"/>
  <c r="K96" i="31"/>
  <c r="L96" i="31" s="1"/>
  <c r="M96" i="31" s="1"/>
  <c r="K207" i="31"/>
  <c r="L207" i="31" s="1"/>
  <c r="M207" i="31" s="1"/>
  <c r="K284" i="31"/>
  <c r="L284" i="31" s="1"/>
  <c r="M284" i="31" s="1"/>
  <c r="K134" i="31"/>
  <c r="L134" i="31" s="1"/>
  <c r="M134" i="31" s="1"/>
  <c r="K128" i="31"/>
  <c r="L128" i="31" s="1"/>
  <c r="M128" i="31" s="1"/>
  <c r="K208" i="31"/>
  <c r="L208" i="31" s="1"/>
  <c r="M208" i="31" s="1"/>
  <c r="K285" i="31"/>
  <c r="L285" i="31" s="1"/>
  <c r="M285" i="31" s="1"/>
  <c r="K223" i="31"/>
  <c r="L223" i="31" s="1"/>
  <c r="M223" i="31" s="1"/>
  <c r="K137" i="31"/>
  <c r="L137" i="31" s="1"/>
  <c r="M137" i="31" s="1"/>
  <c r="K276" i="31"/>
  <c r="L276" i="31" s="1"/>
  <c r="M276" i="31" s="1"/>
  <c r="K82" i="31"/>
  <c r="L82" i="31" s="1"/>
  <c r="P82" i="31" s="1"/>
  <c r="K199" i="31"/>
  <c r="L199" i="31" s="1"/>
  <c r="M199" i="31" s="1"/>
  <c r="K84" i="31"/>
  <c r="L84" i="31" s="1"/>
  <c r="M84" i="31" s="1"/>
  <c r="K174" i="31"/>
  <c r="L174" i="31" s="1"/>
  <c r="M174" i="31" s="1"/>
  <c r="K270" i="31"/>
  <c r="L270" i="31" s="1"/>
  <c r="M270" i="31" s="1"/>
  <c r="K101" i="31"/>
  <c r="L101" i="31" s="1"/>
  <c r="P101" i="31" s="1"/>
  <c r="K192" i="31"/>
  <c r="L192" i="31" s="1"/>
  <c r="M192" i="31" s="1"/>
  <c r="K177" i="31"/>
  <c r="L177" i="31" s="1"/>
  <c r="M177" i="31" s="1"/>
  <c r="K133" i="31"/>
  <c r="L133" i="31" s="1"/>
  <c r="M133" i="31" s="1"/>
  <c r="K213" i="31"/>
  <c r="L213" i="31" s="1"/>
  <c r="M213" i="31" s="1"/>
  <c r="K291" i="31"/>
  <c r="L291" i="31" s="1"/>
  <c r="M291" i="31" s="1"/>
  <c r="K105" i="31"/>
  <c r="L105" i="31" s="1"/>
  <c r="M105" i="31" s="1"/>
  <c r="K215" i="31"/>
  <c r="L215" i="31" s="1"/>
  <c r="M215" i="31" s="1"/>
  <c r="K294" i="31"/>
  <c r="L294" i="31" s="1"/>
  <c r="M294" i="31" s="1"/>
  <c r="K159" i="31"/>
  <c r="L159" i="31" s="1"/>
  <c r="M159" i="31" s="1"/>
  <c r="K136" i="31"/>
  <c r="L136" i="31" s="1"/>
  <c r="M136" i="31" s="1"/>
  <c r="K216" i="31"/>
  <c r="L216" i="31" s="1"/>
  <c r="M216" i="31" s="1"/>
  <c r="K226" i="31"/>
  <c r="L226" i="31" s="1"/>
  <c r="M226" i="31" s="1"/>
  <c r="K126" i="31"/>
  <c r="L126" i="31" s="1"/>
  <c r="M126" i="31" s="1"/>
  <c r="K151" i="31"/>
  <c r="L151" i="31" s="1"/>
  <c r="M151" i="31" s="1"/>
  <c r="K269" i="31"/>
  <c r="L269" i="31" s="1"/>
  <c r="M269" i="31" s="1"/>
  <c r="K91" i="31"/>
  <c r="L91" i="31" s="1"/>
  <c r="M91" i="31" s="1"/>
  <c r="K210" i="31"/>
  <c r="L210" i="31" s="1"/>
  <c r="M210" i="31" s="1"/>
  <c r="K92" i="31"/>
  <c r="L92" i="31" s="1"/>
  <c r="M92" i="31" s="1"/>
  <c r="K182" i="31"/>
  <c r="L182" i="31" s="1"/>
  <c r="M182" i="31" s="1"/>
  <c r="K280" i="31"/>
  <c r="L280" i="31" s="1"/>
  <c r="M280" i="31" s="1"/>
  <c r="K117" i="31"/>
  <c r="L117" i="31" s="1"/>
  <c r="M117" i="31" s="1"/>
  <c r="K201" i="31"/>
  <c r="L201" i="31" s="1"/>
  <c r="M201" i="31" s="1"/>
  <c r="K214" i="31"/>
  <c r="L214" i="31" s="1"/>
  <c r="M214" i="31" s="1"/>
  <c r="K141" i="31"/>
  <c r="L141" i="31" s="1"/>
  <c r="M141" i="31" s="1"/>
  <c r="K222" i="31"/>
  <c r="L222" i="31" s="1"/>
  <c r="M222" i="31" s="1"/>
  <c r="K87" i="31"/>
  <c r="L87" i="31" s="1"/>
  <c r="M87" i="31" s="1"/>
  <c r="K135" i="31"/>
  <c r="L135" i="31" s="1"/>
  <c r="M135" i="31" s="1"/>
  <c r="K224" i="31"/>
  <c r="L224" i="31" s="1"/>
  <c r="M224" i="31" s="1"/>
  <c r="K295" i="31"/>
  <c r="L295" i="31" s="1"/>
  <c r="M295" i="31" s="1"/>
  <c r="K283" i="31"/>
  <c r="L283" i="31" s="1"/>
  <c r="M283" i="31" s="1"/>
  <c r="K144" i="31"/>
  <c r="L144" i="31" s="1"/>
  <c r="M144" i="31" s="1"/>
  <c r="K225" i="31"/>
  <c r="L225" i="31" s="1"/>
  <c r="M225" i="31" s="1"/>
  <c r="K248" i="31"/>
  <c r="L248" i="31" s="1"/>
  <c r="M248" i="31" s="1"/>
  <c r="K71" i="31"/>
  <c r="L71" i="31" s="1"/>
  <c r="M71" i="31" s="1"/>
  <c r="K163" i="31"/>
  <c r="L163" i="31" s="1"/>
  <c r="M163" i="31" s="1"/>
  <c r="K263" i="31"/>
  <c r="L263" i="31" s="1"/>
  <c r="M263" i="31" s="1"/>
  <c r="K99" i="31"/>
  <c r="L99" i="31" s="1"/>
  <c r="M99" i="31" s="1"/>
  <c r="K227" i="31"/>
  <c r="L227" i="31" s="1"/>
  <c r="M227" i="31" s="1"/>
  <c r="K100" i="31"/>
  <c r="L100" i="31" s="1"/>
  <c r="M100" i="31" s="1"/>
  <c r="K191" i="31"/>
  <c r="L191" i="31" s="1"/>
  <c r="M191" i="31" s="1"/>
  <c r="K289" i="31"/>
  <c r="L289" i="31" s="1"/>
  <c r="M289" i="31" s="1"/>
  <c r="K132" i="31"/>
  <c r="L132" i="31" s="1"/>
  <c r="M132" i="31" s="1"/>
  <c r="K221" i="31"/>
  <c r="L221" i="31" s="1"/>
  <c r="M221" i="31" s="1"/>
  <c r="K273" i="31"/>
  <c r="L273" i="31" s="1"/>
  <c r="M273" i="31" s="1"/>
  <c r="K158" i="31"/>
  <c r="L158" i="31" s="1"/>
  <c r="M158" i="31" s="1"/>
  <c r="K230" i="31"/>
  <c r="L230" i="31" s="1"/>
  <c r="M230" i="31" s="1"/>
  <c r="K186" i="31"/>
  <c r="L186" i="31" s="1"/>
  <c r="M186" i="31" s="1"/>
  <c r="K143" i="31"/>
  <c r="L143" i="31" s="1"/>
  <c r="M143" i="31" s="1"/>
  <c r="K233" i="31"/>
  <c r="L233" i="31" s="1"/>
  <c r="M233" i="31" s="1"/>
  <c r="K218" i="31"/>
  <c r="L218" i="31" s="1"/>
  <c r="M218" i="31" s="1"/>
  <c r="K68" i="31"/>
  <c r="L68" i="31" s="1"/>
  <c r="M68" i="31" s="1"/>
  <c r="K162" i="31"/>
  <c r="L162" i="31" s="1"/>
  <c r="M162" i="31" s="1"/>
  <c r="K235" i="31"/>
  <c r="L235" i="31" s="1"/>
  <c r="M235" i="31" s="1"/>
  <c r="K268" i="31"/>
  <c r="L268" i="31" s="1"/>
  <c r="M268" i="31" s="1"/>
  <c r="K80" i="31"/>
  <c r="L80" i="31" s="1"/>
  <c r="P80" i="31" s="1"/>
  <c r="K172" i="31"/>
  <c r="L172" i="31" s="1"/>
  <c r="M172" i="31" s="1"/>
  <c r="K77" i="31"/>
  <c r="L77" i="31" s="1"/>
  <c r="P77" i="31" s="1"/>
  <c r="K113" i="31"/>
  <c r="L113" i="31" s="1"/>
  <c r="M113" i="31" s="1"/>
  <c r="K237" i="31"/>
  <c r="L237" i="31" s="1"/>
  <c r="M237" i="31" s="1"/>
  <c r="K116" i="31"/>
  <c r="L116" i="31" s="1"/>
  <c r="M116" i="31" s="1"/>
  <c r="K200" i="31"/>
  <c r="L200" i="31" s="1"/>
  <c r="M200" i="31" s="1"/>
  <c r="K229" i="31"/>
  <c r="L229" i="31" s="1"/>
  <c r="M229" i="31" s="1"/>
  <c r="K140" i="31"/>
  <c r="L140" i="31" s="1"/>
  <c r="M140" i="31" s="1"/>
  <c r="K241" i="31"/>
  <c r="L241" i="31" s="1"/>
  <c r="M241" i="31" s="1"/>
  <c r="K127" i="31"/>
  <c r="L127" i="31" s="1"/>
  <c r="M127" i="31" s="1"/>
  <c r="K168" i="31"/>
  <c r="L168" i="31" s="1"/>
  <c r="M168" i="31" s="1"/>
  <c r="K242" i="31"/>
  <c r="L242" i="31" s="1"/>
  <c r="M242" i="31" s="1"/>
  <c r="K244" i="31"/>
  <c r="L244" i="31" s="1"/>
  <c r="M244" i="31" s="1"/>
  <c r="K118" i="31"/>
  <c r="L118" i="31" s="1"/>
  <c r="M118" i="31" s="1"/>
  <c r="F45" i="25"/>
  <c r="F32" i="25"/>
  <c r="F77" i="25"/>
  <c r="F75" i="25"/>
  <c r="K260" i="31"/>
  <c r="L260" i="31" s="1"/>
  <c r="M260" i="31" s="1"/>
  <c r="F83" i="25"/>
  <c r="F49" i="25"/>
  <c r="K243" i="31"/>
  <c r="L243" i="31" s="1"/>
  <c r="M243" i="31" s="1"/>
  <c r="F51" i="25"/>
  <c r="F43" i="25"/>
  <c r="K170" i="31"/>
  <c r="L170" i="31" s="1"/>
  <c r="M170" i="31" s="1"/>
  <c r="F48" i="25"/>
  <c r="P86" i="31"/>
  <c r="M90" i="31"/>
  <c r="M234" i="31"/>
  <c r="M75" i="31"/>
  <c r="P75" i="31"/>
  <c r="M76" i="31"/>
  <c r="P76" i="31"/>
  <c r="H175" i="23"/>
  <c r="H378" i="23"/>
  <c r="X89" i="23"/>
  <c r="O379" i="23"/>
  <c r="K149" i="31"/>
  <c r="L149" i="31" s="1"/>
  <c r="M149" i="31" s="1"/>
  <c r="F53" i="25"/>
  <c r="F54" i="25"/>
  <c r="K150" i="31"/>
  <c r="L150" i="31" s="1"/>
  <c r="F60" i="30"/>
  <c r="O175" i="23"/>
  <c r="M206" i="31"/>
  <c r="K115" i="31"/>
  <c r="L115" i="31" s="1"/>
  <c r="F44" i="25"/>
  <c r="K148" i="31"/>
  <c r="L148" i="31" s="1"/>
  <c r="M148" i="31" s="1"/>
  <c r="F52" i="25"/>
  <c r="H373" i="23"/>
  <c r="X110" i="23"/>
  <c r="O11" i="23"/>
  <c r="H10" i="23"/>
  <c r="O301" i="23"/>
  <c r="O182" i="23"/>
  <c r="P64" i="31"/>
  <c r="M64" i="31"/>
  <c r="F87" i="25"/>
  <c r="K293" i="31"/>
  <c r="L293" i="31" s="1"/>
  <c r="M293" i="31" s="1"/>
  <c r="X126" i="23"/>
  <c r="H125" i="23"/>
  <c r="H374" i="23"/>
  <c r="X75" i="23"/>
  <c r="H74" i="23"/>
  <c r="F56" i="25"/>
  <c r="O377" i="23"/>
  <c r="X324" i="23"/>
  <c r="H323" i="23"/>
  <c r="H300" i="23" s="1"/>
  <c r="H362" i="23" s="1"/>
  <c r="K121" i="31"/>
  <c r="L121" i="31" s="1"/>
  <c r="M121" i="31" s="1"/>
  <c r="F47" i="25"/>
  <c r="K108" i="31"/>
  <c r="L108" i="31" s="1"/>
  <c r="M108" i="31" s="1"/>
  <c r="F42" i="25"/>
  <c r="H241" i="23"/>
  <c r="F79" i="25"/>
  <c r="K252" i="31"/>
  <c r="L252" i="31" s="1"/>
  <c r="M252" i="31" s="1"/>
  <c r="G103" i="24"/>
  <c r="J103" i="24" s="1"/>
  <c r="E108" i="24"/>
  <c r="O241" i="23"/>
  <c r="P94" i="31" l="1"/>
  <c r="P89" i="31"/>
  <c r="P88" i="31"/>
  <c r="P105" i="31"/>
  <c r="P85" i="31"/>
  <c r="P84" i="31"/>
  <c r="F53" i="30"/>
  <c r="P97" i="31"/>
  <c r="M93" i="31"/>
  <c r="P74" i="31"/>
  <c r="P73" i="31"/>
  <c r="P104" i="31"/>
  <c r="P78" i="31"/>
  <c r="P79" i="31"/>
  <c r="P95" i="31"/>
  <c r="M101" i="31"/>
  <c r="M77" i="31"/>
  <c r="P99" i="31"/>
  <c r="M98" i="31"/>
  <c r="M82" i="31"/>
  <c r="P65" i="31"/>
  <c r="P68" i="31"/>
  <c r="P87" i="31"/>
  <c r="P71" i="31"/>
  <c r="M103" i="31"/>
  <c r="P92" i="31"/>
  <c r="M80" i="31"/>
  <c r="P96" i="31"/>
  <c r="P100" i="31"/>
  <c r="P91" i="31"/>
  <c r="F49" i="30"/>
  <c r="F41" i="30"/>
  <c r="F68" i="30"/>
  <c r="F51" i="30"/>
  <c r="F30" i="30"/>
  <c r="F69" i="30"/>
  <c r="F40" i="30"/>
  <c r="F43" i="30"/>
  <c r="F48" i="30"/>
  <c r="F70" i="30"/>
  <c r="F78" i="30"/>
  <c r="F46" i="30"/>
  <c r="F47" i="30"/>
  <c r="F50" i="30"/>
  <c r="F67" i="30"/>
  <c r="F42" i="30"/>
  <c r="F45" i="30"/>
  <c r="F66" i="30"/>
  <c r="Z324" i="23"/>
  <c r="K72" i="31"/>
  <c r="L72" i="31" s="1"/>
  <c r="X377" i="23"/>
  <c r="H181" i="23"/>
  <c r="H361" i="23" s="1"/>
  <c r="O323" i="23"/>
  <c r="O300" i="23" s="1"/>
  <c r="O362" i="23" s="1"/>
  <c r="K154" i="31"/>
  <c r="K147" i="31"/>
  <c r="X175" i="23"/>
  <c r="O74" i="23"/>
  <c r="O374" i="23"/>
  <c r="O181" i="23"/>
  <c r="O361" i="23" s="1"/>
  <c r="X345" i="23"/>
  <c r="H344" i="23"/>
  <c r="H343" i="23" s="1"/>
  <c r="K205" i="31"/>
  <c r="X241" i="23"/>
  <c r="F39" i="25"/>
  <c r="O125" i="23"/>
  <c r="K258" i="31"/>
  <c r="F82" i="25"/>
  <c r="F65" i="25"/>
  <c r="F55" i="25" s="1"/>
  <c r="M115" i="31"/>
  <c r="F37" i="25"/>
  <c r="K83" i="31"/>
  <c r="L83" i="31" s="1"/>
  <c r="X379" i="23"/>
  <c r="M150" i="31"/>
  <c r="O378" i="23"/>
  <c r="X11" i="23"/>
  <c r="O10" i="23"/>
  <c r="T240" i="23"/>
  <c r="M103" i="24"/>
  <c r="T315" i="23" s="1"/>
  <c r="O373" i="23"/>
  <c r="F59" i="30" l="1"/>
  <c r="F35" i="30"/>
  <c r="F81" i="25"/>
  <c r="X10" i="23"/>
  <c r="F37" i="30"/>
  <c r="F36" i="30"/>
  <c r="M109" i="24"/>
  <c r="F74" i="30"/>
  <c r="L205" i="31"/>
  <c r="K204" i="31"/>
  <c r="L258" i="31"/>
  <c r="M258" i="31" s="1"/>
  <c r="K107" i="31"/>
  <c r="F41" i="25"/>
  <c r="X125" i="23"/>
  <c r="O344" i="23"/>
  <c r="O343" i="23" s="1"/>
  <c r="L147" i="31"/>
  <c r="K146" i="31"/>
  <c r="F36" i="25"/>
  <c r="K81" i="31"/>
  <c r="L81" i="31" s="1"/>
  <c r="X378" i="23"/>
  <c r="L154" i="31"/>
  <c r="M83" i="31"/>
  <c r="P83" i="31"/>
  <c r="F12" i="25"/>
  <c r="K9" i="31"/>
  <c r="F30" i="25"/>
  <c r="K102" i="31"/>
  <c r="L102" i="31" s="1"/>
  <c r="X373" i="23"/>
  <c r="M72" i="31"/>
  <c r="P72" i="31"/>
  <c r="K279" i="31"/>
  <c r="F86" i="25"/>
  <c r="X323" i="23"/>
  <c r="T301" i="23"/>
  <c r="T300" i="23" s="1"/>
  <c r="T362" i="23" s="1"/>
  <c r="V315" i="23"/>
  <c r="X315" i="23" s="1"/>
  <c r="V240" i="23"/>
  <c r="X240" i="23" s="1"/>
  <c r="T182" i="23"/>
  <c r="T181" i="23" s="1"/>
  <c r="T361" i="23" s="1"/>
  <c r="F31" i="25"/>
  <c r="K63" i="31"/>
  <c r="X374" i="23"/>
  <c r="X74" i="23"/>
  <c r="F73" i="30" l="1"/>
  <c r="G52" i="30"/>
  <c r="J52" i="30" s="1"/>
  <c r="F29" i="30"/>
  <c r="F28" i="30"/>
  <c r="F34" i="30"/>
  <c r="L63" i="31"/>
  <c r="K62" i="31"/>
  <c r="O62" i="31" s="1"/>
  <c r="L107" i="31"/>
  <c r="K106" i="31"/>
  <c r="F11" i="30"/>
  <c r="F9" i="25"/>
  <c r="I9" i="25" s="1"/>
  <c r="T349" i="23"/>
  <c r="T5" i="23" s="1"/>
  <c r="L9" i="31"/>
  <c r="K8" i="31"/>
  <c r="L279" i="31"/>
  <c r="K278" i="31"/>
  <c r="V182" i="23"/>
  <c r="V181" i="23" s="1"/>
  <c r="V361" i="23" s="1"/>
  <c r="M147" i="31"/>
  <c r="M146" i="31" s="1"/>
  <c r="L146" i="31"/>
  <c r="V301" i="23"/>
  <c r="V300" i="23" s="1"/>
  <c r="V362" i="23" s="1"/>
  <c r="K299" i="31"/>
  <c r="F91" i="25"/>
  <c r="X344" i="23"/>
  <c r="X343" i="23" s="1"/>
  <c r="M102" i="31"/>
  <c r="P102" i="31"/>
  <c r="M154" i="31"/>
  <c r="M205" i="31"/>
  <c r="M204" i="31" s="1"/>
  <c r="L204" i="31"/>
  <c r="F77" i="30"/>
  <c r="F84" i="25"/>
  <c r="F80" i="25" s="1"/>
  <c r="F39" i="30"/>
  <c r="F40" i="25"/>
  <c r="I40" i="25" s="1"/>
  <c r="M81" i="31"/>
  <c r="P81" i="31"/>
  <c r="F38" i="30" l="1"/>
  <c r="F75" i="30"/>
  <c r="F8" i="30"/>
  <c r="Z125" i="23"/>
  <c r="G82" i="30"/>
  <c r="K203" i="31"/>
  <c r="X182" i="23"/>
  <c r="X181" i="23" s="1"/>
  <c r="M107" i="31"/>
  <c r="M106" i="31" s="1"/>
  <c r="L106" i="31"/>
  <c r="V349" i="23"/>
  <c r="V5" i="23" s="1"/>
  <c r="M63" i="31"/>
  <c r="M62" i="31" s="1"/>
  <c r="P63" i="31"/>
  <c r="L62" i="31"/>
  <c r="K271" i="31"/>
  <c r="X301" i="23"/>
  <c r="X300" i="23" s="1"/>
  <c r="M9" i="31"/>
  <c r="M8" i="31" s="1"/>
  <c r="P9" i="31"/>
  <c r="L8" i="31"/>
  <c r="L299" i="31"/>
  <c r="K298" i="31"/>
  <c r="K297" i="31" s="1"/>
  <c r="M279" i="31"/>
  <c r="M278" i="31" s="1"/>
  <c r="L278" i="31"/>
  <c r="J8" i="30" l="1"/>
  <c r="G72" i="30"/>
  <c r="J72" i="30" s="1"/>
  <c r="I55" i="25"/>
  <c r="X362" i="23"/>
  <c r="I80" i="25"/>
  <c r="X361" i="23"/>
  <c r="L203" i="31"/>
  <c r="K153" i="31"/>
  <c r="K152" i="31" s="1"/>
  <c r="L271" i="31"/>
  <c r="K257" i="31"/>
  <c r="K256" i="31" s="1"/>
  <c r="L298" i="31"/>
  <c r="L297" i="31" s="1"/>
  <c r="M299" i="31"/>
  <c r="M298" i="31" s="1"/>
  <c r="M297" i="31" s="1"/>
  <c r="L257" i="31" l="1"/>
  <c r="L256" i="31" s="1"/>
  <c r="M271" i="31"/>
  <c r="M257" i="31" s="1"/>
  <c r="M256" i="31" s="1"/>
  <c r="M203" i="31"/>
  <c r="M153" i="31" s="1"/>
  <c r="M152" i="31" s="1"/>
  <c r="L153" i="31"/>
  <c r="L152" i="31" s="1"/>
  <c r="H26" i="33" l="1"/>
  <c r="K28" i="33" s="1"/>
  <c r="K26" i="33" l="1"/>
  <c r="H113" i="3" l="1"/>
  <c r="O115" i="3"/>
  <c r="H116" i="3"/>
  <c r="H119" i="3" s="1"/>
  <c r="AA115" i="3" l="1"/>
  <c r="O113" i="3"/>
  <c r="O116" i="3"/>
  <c r="O119" i="3" s="1"/>
  <c r="AA113" i="3" l="1"/>
  <c r="AA116" i="3" s="1"/>
  <c r="AA119" i="3" s="1"/>
  <c r="G15" i="33"/>
  <c r="G16" i="33" s="1"/>
  <c r="J16" i="33" l="1"/>
  <c r="G18" i="33"/>
  <c r="G35" i="33"/>
  <c r="L27" i="38"/>
  <c r="H221" i="1" l="1"/>
  <c r="H204" i="1" s="1"/>
  <c r="O224" i="1"/>
  <c r="O221" i="1" s="1"/>
  <c r="O204" i="1" s="1"/>
  <c r="H228" i="1"/>
  <c r="F25" i="17"/>
  <c r="H122" i="3"/>
  <c r="H9" i="23"/>
  <c r="F109" i="17"/>
  <c r="F114" i="17" s="1"/>
  <c r="F7" i="19"/>
  <c r="O120" i="3"/>
  <c r="J18" i="33"/>
  <c r="G36" i="33"/>
  <c r="O9" i="23" l="1"/>
  <c r="H8" i="23"/>
  <c r="H7" i="23" s="1"/>
  <c r="F14" i="19"/>
  <c r="J7" i="19"/>
  <c r="H203" i="1"/>
  <c r="H227" i="1"/>
  <c r="H5" i="1" s="1"/>
  <c r="F5" i="15"/>
  <c r="F78" i="17"/>
  <c r="F75" i="17" s="1"/>
  <c r="F59" i="17" s="1"/>
  <c r="F58" i="17" s="1"/>
  <c r="F22" i="17"/>
  <c r="F6" i="17" s="1"/>
  <c r="F5" i="17" s="1"/>
  <c r="F28" i="17" s="1"/>
  <c r="F15" i="19"/>
  <c r="AA120" i="3"/>
  <c r="O203" i="1"/>
  <c r="O227" i="1"/>
  <c r="O5" i="1" s="1"/>
  <c r="H360" i="23" l="1"/>
  <c r="H349" i="23"/>
  <c r="H5" i="23" s="1"/>
  <c r="O8" i="23"/>
  <c r="O7" i="23" s="1"/>
  <c r="X9" i="23"/>
  <c r="F115" i="17"/>
  <c r="F12" i="15"/>
  <c r="K5" i="15"/>
  <c r="F16" i="19"/>
  <c r="G19" i="33"/>
  <c r="AA121" i="3"/>
  <c r="G20" i="33" s="1"/>
  <c r="N7" i="19"/>
  <c r="J14" i="19"/>
  <c r="N14" i="19" l="1"/>
  <c r="G20" i="19"/>
  <c r="K12" i="15"/>
  <c r="M5" i="15"/>
  <c r="G27" i="33"/>
  <c r="J20" i="33"/>
  <c r="G28" i="33"/>
  <c r="X8" i="23"/>
  <c r="X7" i="23" s="1"/>
  <c r="K7" i="31"/>
  <c r="Z9" i="23"/>
  <c r="F8" i="25"/>
  <c r="O349" i="23"/>
  <c r="O5" i="23" s="1"/>
  <c r="O360" i="23"/>
  <c r="G26" i="33" l="1"/>
  <c r="J26" i="33" s="1"/>
  <c r="F7" i="30"/>
  <c r="F7" i="25"/>
  <c r="F6" i="25" s="1"/>
  <c r="M12" i="15"/>
  <c r="S5" i="15"/>
  <c r="K6" i="31"/>
  <c r="K5" i="31" s="1"/>
  <c r="K303" i="31" s="1"/>
  <c r="K313" i="31" s="1"/>
  <c r="K3" i="31" s="1"/>
  <c r="L7" i="31"/>
  <c r="G27" i="19"/>
  <c r="F30" i="19" s="1"/>
  <c r="F32" i="19" s="1"/>
  <c r="J21" i="14" s="1"/>
  <c r="G21" i="14" s="1"/>
  <c r="H21" i="14" s="1"/>
  <c r="P20" i="19"/>
  <c r="P27" i="19" s="1"/>
  <c r="X360" i="23"/>
  <c r="X349" i="23"/>
  <c r="X5" i="23" s="1"/>
  <c r="J28" i="33" l="1"/>
  <c r="M7" i="31"/>
  <c r="P7" i="31"/>
  <c r="L6" i="31"/>
  <c r="U5" i="15"/>
  <c r="S12" i="15"/>
  <c r="X224" i="1"/>
  <c r="H23" i="14"/>
  <c r="F89" i="25"/>
  <c r="F92" i="25" s="1"/>
  <c r="F93" i="25" s="1"/>
  <c r="I6" i="25"/>
  <c r="F6" i="30"/>
  <c r="J7" i="30"/>
  <c r="G5" i="30" l="1"/>
  <c r="Y224" i="1"/>
  <c r="X221" i="1"/>
  <c r="X204" i="1" s="1"/>
  <c r="Q20" i="19"/>
  <c r="Q27" i="19" s="1"/>
  <c r="U12" i="15"/>
  <c r="M6" i="31"/>
  <c r="M5" i="31" s="1"/>
  <c r="L5" i="31"/>
  <c r="L303" i="31" s="1"/>
  <c r="G80" i="30" l="1"/>
  <c r="G83" i="30" s="1"/>
  <c r="AA224" i="1"/>
  <c r="AD120" i="3" s="1"/>
  <c r="Y221" i="1"/>
  <c r="Y204" i="1" s="1"/>
  <c r="M303" i="31"/>
  <c r="L313" i="31"/>
  <c r="L3" i="31" s="1"/>
  <c r="X203" i="1"/>
  <c r="X227" i="1"/>
  <c r="X5" i="1" s="1"/>
  <c r="G3" i="30" l="1"/>
  <c r="G85" i="30"/>
  <c r="Y203" i="1"/>
  <c r="Y227" i="1"/>
  <c r="Y5" i="1" s="1"/>
  <c r="M21" i="14"/>
  <c r="I27" i="38"/>
  <c r="I210" i="40"/>
  <c r="I207" i="40" s="1"/>
  <c r="I190" i="40" s="1"/>
  <c r="G41" i="26"/>
  <c r="H37" i="26" s="1"/>
  <c r="H42" i="26" s="1"/>
  <c r="H43" i="26" s="1"/>
  <c r="H45" i="26" s="1"/>
  <c r="AA221" i="1"/>
  <c r="AC224" i="1"/>
  <c r="J27" i="38" l="1"/>
  <c r="I24" i="38"/>
  <c r="I7" i="38" s="1"/>
  <c r="I6" i="38" s="1"/>
  <c r="H27" i="39"/>
  <c r="I27" i="39" s="1"/>
  <c r="AA204" i="1"/>
  <c r="I213" i="40"/>
  <c r="I3" i="40" s="1"/>
  <c r="I189" i="40"/>
  <c r="K27" i="39" l="1"/>
  <c r="AA203" i="1"/>
  <c r="I4" i="38" s="1"/>
  <c r="AA227" i="1"/>
  <c r="AA5" i="1" s="1"/>
  <c r="H18" i="39"/>
  <c r="J24" i="38"/>
  <c r="J7" i="38" s="1"/>
  <c r="J6" i="38" s="1"/>
  <c r="M27" i="38"/>
  <c r="L18" i="39" l="1"/>
  <c r="I18" i="39"/>
  <c r="H17" i="39"/>
  <c r="H24" i="39" s="1"/>
  <c r="H29" i="39" s="1"/>
  <c r="I17" i="39" l="1"/>
  <c r="I24" i="39" s="1"/>
  <c r="I29" i="39" s="1"/>
  <c r="K18" i="39"/>
  <c r="K17" i="39" s="1"/>
  <c r="K24" i="39" s="1"/>
  <c r="K29" i="39" s="1"/>
</calcChain>
</file>

<file path=xl/sharedStrings.xml><?xml version="1.0" encoding="utf-8"?>
<sst xmlns="http://schemas.openxmlformats.org/spreadsheetml/2006/main" count="7680" uniqueCount="2010">
  <si>
    <t>자산</t>
  </si>
  <si>
    <t>현금및현금성자산</t>
  </si>
  <si>
    <t>재고자산</t>
  </si>
  <si>
    <t>당기법인세자산</t>
  </si>
  <si>
    <t>기타유동자산</t>
  </si>
  <si>
    <t>유형자산</t>
  </si>
  <si>
    <t>무형자산</t>
  </si>
  <si>
    <t>기타비유동자산</t>
  </si>
  <si>
    <t>부채</t>
  </si>
  <si>
    <t>유동부채</t>
  </si>
  <si>
    <t>자본금</t>
  </si>
  <si>
    <t>지배주주지분</t>
  </si>
  <si>
    <t>자본잉여금</t>
  </si>
  <si>
    <t>이익잉여금</t>
  </si>
  <si>
    <t>자본총계</t>
  </si>
  <si>
    <t>드림어스컴퍼니</t>
  </si>
  <si>
    <t>CODE_ERP</t>
  </si>
  <si>
    <t>FSC</t>
  </si>
  <si>
    <t>TB Upload</t>
  </si>
  <si>
    <t>계정과목</t>
  </si>
  <si>
    <t>I.유동자산</t>
  </si>
  <si>
    <t>보통예금(원화)</t>
  </si>
  <si>
    <t>보통예금(외화)</t>
  </si>
  <si>
    <t>매출채권및기타채권</t>
  </si>
  <si>
    <t>외상매출금(원화)</t>
  </si>
  <si>
    <t>대손충당금(외상매출금_원화)</t>
  </si>
  <si>
    <t>외상매출금(외화)</t>
  </si>
  <si>
    <t>대손충당금(외상매출금_외화)</t>
  </si>
  <si>
    <t>외상매출금(원화_추정_음원유통)</t>
  </si>
  <si>
    <t>외상매출금(원화_추정_FLO)</t>
  </si>
  <si>
    <t>외상매출금(원화_추정_일반)</t>
  </si>
  <si>
    <t>단기대여금(원화)</t>
  </si>
  <si>
    <t>미수금(원화_일반)</t>
  </si>
  <si>
    <t>미수금(외화_일반)</t>
  </si>
  <si>
    <t>미수금(원화_공연투자자산)</t>
  </si>
  <si>
    <t>미수금(외화_공연투자자산)</t>
  </si>
  <si>
    <t>미수수익</t>
  </si>
  <si>
    <t>임차보증금(유동)</t>
  </si>
  <si>
    <t>단기투자자산</t>
  </si>
  <si>
    <t>기타단기금융상품</t>
  </si>
  <si>
    <t>당기손익-공정가치측정금융자산(유동)</t>
  </si>
  <si>
    <t>기타포괄손익-공정가치측정금융자산(유동)</t>
  </si>
  <si>
    <t>상각후원가금융자산(유동)</t>
  </si>
  <si>
    <t>상품</t>
  </si>
  <si>
    <t>상품평가손실충당금</t>
  </si>
  <si>
    <t>제품</t>
  </si>
  <si>
    <t>제품평가손실충당금</t>
  </si>
  <si>
    <t>재공품</t>
  </si>
  <si>
    <t>재공품평가손실충당금</t>
  </si>
  <si>
    <t>원재료</t>
  </si>
  <si>
    <t>원재료평가손실충당금</t>
  </si>
  <si>
    <t>미착품</t>
  </si>
  <si>
    <t>선급법인세</t>
  </si>
  <si>
    <t>선급법인지방소득세</t>
  </si>
  <si>
    <t>미수법인세</t>
  </si>
  <si>
    <t>미수법인지방소득세</t>
  </si>
  <si>
    <t>선급비용(일반)</t>
  </si>
  <si>
    <t>선급비용(기타)</t>
  </si>
  <si>
    <t>선급비용(MG)</t>
  </si>
  <si>
    <t>기타유동자산(환불)</t>
  </si>
  <si>
    <t>선급금(원화_일반)</t>
  </si>
  <si>
    <t>선급금(원화_로열티)</t>
  </si>
  <si>
    <t>선급금(외화_로열티)</t>
  </si>
  <si>
    <t>선급금(외화_일반)</t>
  </si>
  <si>
    <t>선급금(원화_금형)</t>
  </si>
  <si>
    <t>선급금(원화_산업재산권)</t>
  </si>
  <si>
    <t>선급금(원화_출장)</t>
  </si>
  <si>
    <t>부가세대급금(일반)</t>
  </si>
  <si>
    <t>113350</t>
  </si>
  <si>
    <t>미수부가세</t>
  </si>
  <si>
    <t>II.비유동자산</t>
  </si>
  <si>
    <t>매출채권및기타채권(비유동)</t>
  </si>
  <si>
    <t>보증금(비유동_기타)</t>
  </si>
  <si>
    <t>전신전화가입권</t>
  </si>
  <si>
    <t>임차보증금(비유동)현재가치할인차금</t>
  </si>
  <si>
    <t>임차보증금(비유동)</t>
  </si>
  <si>
    <t>장기투자자산</t>
  </si>
  <si>
    <t>당기손익-공정가치측정금융자산(비유동)</t>
  </si>
  <si>
    <t>기타장기금융상품(비유동)</t>
  </si>
  <si>
    <t>기타포괄손익-공정가치측정금융자산(비유동)</t>
  </si>
  <si>
    <t>종속기업및관계기업투자</t>
  </si>
  <si>
    <t>종속기업투자주식</t>
  </si>
  <si>
    <t>900023</t>
  </si>
  <si>
    <t>관계기업투자주식</t>
  </si>
  <si>
    <t>기계장치</t>
  </si>
  <si>
    <t>기계장치감가상각누계액</t>
  </si>
  <si>
    <t>차량운반구</t>
  </si>
  <si>
    <t>차량운반구감가상각누계액</t>
  </si>
  <si>
    <t>차량운반구평가손실누계액</t>
  </si>
  <si>
    <t>공구와기구</t>
  </si>
  <si>
    <t>공구와기구감가상각누계액</t>
  </si>
  <si>
    <t>공구와기구평가손실누계액</t>
  </si>
  <si>
    <t>금형</t>
  </si>
  <si>
    <t>금형감가상각누계액</t>
  </si>
  <si>
    <t>금형평가손실누계액</t>
  </si>
  <si>
    <t>비품</t>
  </si>
  <si>
    <t>비품감가상각누계액</t>
  </si>
  <si>
    <t>비품평가손실누계액</t>
  </si>
  <si>
    <t>기타의유형자산</t>
  </si>
  <si>
    <t>기타의유형자산감가상각누계액</t>
  </si>
  <si>
    <t>기타의유형자산평가손실누계액</t>
  </si>
  <si>
    <t>사용권자산(건물)</t>
  </si>
  <si>
    <t>사용권자산(건물)감가상각누계액</t>
  </si>
  <si>
    <t>사용권자산(차량운반구)</t>
  </si>
  <si>
    <t>사용권자산(차량운반구)감가상각누계액</t>
  </si>
  <si>
    <t>125610</t>
  </si>
  <si>
    <t>의장권</t>
  </si>
  <si>
    <t>112620</t>
  </si>
  <si>
    <t>의장권감가상각누계액</t>
  </si>
  <si>
    <t>125700</t>
  </si>
  <si>
    <t>개발비</t>
  </si>
  <si>
    <t>125710</t>
  </si>
  <si>
    <t>개발비감가상각누계액</t>
  </si>
  <si>
    <t>125720</t>
  </si>
  <si>
    <t>개발비평가손실누계액</t>
  </si>
  <si>
    <t>특허권</t>
  </si>
  <si>
    <t>상표권</t>
  </si>
  <si>
    <t>125800</t>
  </si>
  <si>
    <t>실용신안권</t>
  </si>
  <si>
    <t>125310</t>
  </si>
  <si>
    <t>특허권감가상각누계액</t>
  </si>
  <si>
    <t>125810</t>
  </si>
  <si>
    <t>실용신안권감가상각누계액</t>
  </si>
  <si>
    <t>소프트웨어</t>
  </si>
  <si>
    <t>125920</t>
  </si>
  <si>
    <t>소프트웨어평가손실누계액</t>
  </si>
  <si>
    <t>125910</t>
  </si>
  <si>
    <t>소프트웨어감가상각누계액</t>
  </si>
  <si>
    <t>125650</t>
  </si>
  <si>
    <t>영업권</t>
  </si>
  <si>
    <t>125660</t>
  </si>
  <si>
    <t>영업권평가손실누계액</t>
  </si>
  <si>
    <t>음원음반유통권</t>
  </si>
  <si>
    <t>음원음반유통권감가상각누계액</t>
  </si>
  <si>
    <t>음악저작인접재산권</t>
  </si>
  <si>
    <t>음악저작인접재산권상각누계액</t>
  </si>
  <si>
    <t>장기선급비용</t>
  </si>
  <si>
    <t>매입채무및기타채무</t>
  </si>
  <si>
    <t>외상매입금(원화)</t>
  </si>
  <si>
    <t>외상매입금(외화)</t>
  </si>
  <si>
    <t>외상매입금(원화_추정_음원유통)</t>
  </si>
  <si>
    <t>외상매입금(원화_추정_FLO)</t>
  </si>
  <si>
    <t>외상매입금(원화_추정_고음질)</t>
  </si>
  <si>
    <t>외상매입금(원화_추정_일반)</t>
  </si>
  <si>
    <t>미지급금(원화)</t>
  </si>
  <si>
    <t>미지급금(외화)</t>
  </si>
  <si>
    <t>미지급금(공용법인카드)</t>
  </si>
  <si>
    <t>미지급금(개인법인카드)</t>
  </si>
  <si>
    <t>미지급금(수입부대비용)</t>
  </si>
  <si>
    <t>미지급금(원화_추정)</t>
  </si>
  <si>
    <t>미지급비용(원화)</t>
  </si>
  <si>
    <t>미지급비용(외화)</t>
  </si>
  <si>
    <t>미지급비용(원화_로열티)</t>
  </si>
  <si>
    <t>미지급비용(외화_로열티)</t>
  </si>
  <si>
    <t>미지급비용(연차휴가)</t>
  </si>
  <si>
    <t>임대보증금(유동)</t>
  </si>
  <si>
    <t>유동금융부채</t>
  </si>
  <si>
    <t>단기차입금(원화)</t>
  </si>
  <si>
    <t>전환사채(유동)</t>
  </si>
  <si>
    <t>전환사채상환할증금(유동)</t>
  </si>
  <si>
    <t>사채할인발행차금(유동)</t>
  </si>
  <si>
    <t>전환권조정(유동)</t>
  </si>
  <si>
    <t>기타유동부채</t>
  </si>
  <si>
    <t>선수금(원화)</t>
  </si>
  <si>
    <t>선수금(외화)</t>
  </si>
  <si>
    <t>선수금(컨텐츠)</t>
  </si>
  <si>
    <t>선수금(CMD)</t>
  </si>
  <si>
    <t>선수금(원화_가수금)</t>
  </si>
  <si>
    <t>선수금(외화_가수금)</t>
  </si>
  <si>
    <t>선수수익(일반)</t>
  </si>
  <si>
    <t>선수수익(컨텐츠)</t>
  </si>
  <si>
    <t>선수수익(FLO)</t>
  </si>
  <si>
    <t>예수금(소득세)</t>
  </si>
  <si>
    <t>예수금(주민세)</t>
  </si>
  <si>
    <t>예수금(건강보험)</t>
  </si>
  <si>
    <t>예수금(국민연금)</t>
  </si>
  <si>
    <t>예수금(고용보험)</t>
  </si>
  <si>
    <t>예수금(기타)</t>
  </si>
  <si>
    <t>예수금(음반총액부가세)</t>
  </si>
  <si>
    <t>예수금(음반금융부채)</t>
  </si>
  <si>
    <t>부가세예수금</t>
  </si>
  <si>
    <t>판매보증충당부채(유동)</t>
  </si>
  <si>
    <t>계약부채</t>
  </si>
  <si>
    <t>리스부채(유동)</t>
  </si>
  <si>
    <t>II.비유동부채</t>
  </si>
  <si>
    <t>순확정급여부채</t>
  </si>
  <si>
    <t>퇴직급여충당금</t>
  </si>
  <si>
    <t>퇴직연금운용자산</t>
  </si>
  <si>
    <t>기타부채</t>
  </si>
  <si>
    <t>복구충당부채(비유동)</t>
  </si>
  <si>
    <t>리스부채(비유동)</t>
  </si>
  <si>
    <t>보통주자본금</t>
  </si>
  <si>
    <t>주식발행초과금</t>
  </si>
  <si>
    <t>전환권대가</t>
  </si>
  <si>
    <t>기타자본잉여금</t>
  </si>
  <si>
    <t>기타자본항목</t>
  </si>
  <si>
    <t>자기주식</t>
  </si>
  <si>
    <t>자기주식처분손실</t>
  </si>
  <si>
    <t>주식매수선택권</t>
  </si>
  <si>
    <t>기타자본조정</t>
  </si>
  <si>
    <t>연결1</t>
  </si>
  <si>
    <t>지분법 자본변동</t>
  </si>
  <si>
    <t>연결2</t>
  </si>
  <si>
    <t>부의 지분법 자본변동</t>
  </si>
  <si>
    <t>연결3</t>
  </si>
  <si>
    <t>해외사업환산(차)대</t>
  </si>
  <si>
    <t>보험수리적이익</t>
  </si>
  <si>
    <t>input_1</t>
  </si>
  <si>
    <t>전기이월이익잉여금</t>
  </si>
  <si>
    <t>input_2</t>
  </si>
  <si>
    <t>당기순이익</t>
  </si>
  <si>
    <t>비지배주주지분</t>
  </si>
  <si>
    <t>input_3</t>
  </si>
  <si>
    <t>부채와자본총계</t>
  </si>
  <si>
    <t>Iriver Inc</t>
  </si>
  <si>
    <t>Groovers Japan Co., Ltd.</t>
  </si>
  <si>
    <t>S.M. Life Design Company Japan Inc.</t>
  </si>
  <si>
    <t>그루버스</t>
  </si>
  <si>
    <t>Iriver Enterprise Ltd(연결)</t>
  </si>
  <si>
    <t>미지급법인세</t>
  </si>
  <si>
    <t>BS신설1</t>
  </si>
  <si>
    <t>BS신설2</t>
  </si>
  <si>
    <t>BS신설3</t>
  </si>
  <si>
    <t>BS신설4</t>
  </si>
  <si>
    <t>BS신설5</t>
  </si>
  <si>
    <t>BS신설6</t>
  </si>
  <si>
    <t>주식할인발행차금</t>
  </si>
  <si>
    <t>연결4</t>
  </si>
  <si>
    <t>단순합</t>
  </si>
  <si>
    <t>매출액</t>
  </si>
  <si>
    <t>상품매출</t>
  </si>
  <si>
    <t>제품매출</t>
  </si>
  <si>
    <t>음원유통판매매출</t>
  </si>
  <si>
    <t>음반유통수수료매출</t>
  </si>
  <si>
    <t>음원서비스매출</t>
  </si>
  <si>
    <t>고음질음원다운로드매출</t>
  </si>
  <si>
    <t>공연기획매출</t>
  </si>
  <si>
    <t>공연투자매출</t>
  </si>
  <si>
    <t>기타매출</t>
  </si>
  <si>
    <t>매출원가</t>
  </si>
  <si>
    <t>420090</t>
  </si>
  <si>
    <t>상품매출원가</t>
  </si>
  <si>
    <t>420199</t>
  </si>
  <si>
    <t>제품매출원가</t>
  </si>
  <si>
    <t>420503</t>
  </si>
  <si>
    <t>음원유통매출원가</t>
  </si>
  <si>
    <t>420502</t>
  </si>
  <si>
    <t>음반유통수수료매출원가</t>
  </si>
  <si>
    <t>420700</t>
  </si>
  <si>
    <t>음원서비스매출원가</t>
  </si>
  <si>
    <t>420800</t>
  </si>
  <si>
    <t>고음질음원다운로드매출원가</t>
  </si>
  <si>
    <t>420900</t>
  </si>
  <si>
    <t>공연기획매출원가</t>
  </si>
  <si>
    <t>421000</t>
  </si>
  <si>
    <t>공연투자매출원가</t>
  </si>
  <si>
    <t>420500</t>
  </si>
  <si>
    <t>기타매출원가</t>
  </si>
  <si>
    <t>매출총이익</t>
  </si>
  <si>
    <t>판매비와관리비</t>
  </si>
  <si>
    <t>621000</t>
  </si>
  <si>
    <t>급여</t>
  </si>
  <si>
    <t>622000</t>
  </si>
  <si>
    <t>퇴직급여</t>
  </si>
  <si>
    <t>623000</t>
  </si>
  <si>
    <t>복리후생비</t>
  </si>
  <si>
    <t>624000</t>
  </si>
  <si>
    <t>여비교통비</t>
  </si>
  <si>
    <t>625000</t>
  </si>
  <si>
    <t>접대비</t>
  </si>
  <si>
    <t>626000</t>
  </si>
  <si>
    <t>통신비</t>
  </si>
  <si>
    <t>627000</t>
  </si>
  <si>
    <t>수도광열비</t>
  </si>
  <si>
    <t>628000</t>
  </si>
  <si>
    <t>세금과공과</t>
  </si>
  <si>
    <t>630000</t>
  </si>
  <si>
    <t>임차료</t>
  </si>
  <si>
    <t>631000</t>
  </si>
  <si>
    <t>수선비</t>
  </si>
  <si>
    <t>632000</t>
  </si>
  <si>
    <t>보험료</t>
  </si>
  <si>
    <t>633000</t>
  </si>
  <si>
    <t>차량유지비</t>
  </si>
  <si>
    <t>634000</t>
  </si>
  <si>
    <t>경상개발비</t>
  </si>
  <si>
    <t>635000</t>
  </si>
  <si>
    <t>운반비</t>
  </si>
  <si>
    <t>636000</t>
  </si>
  <si>
    <t>포장비</t>
  </si>
  <si>
    <t>637000</t>
  </si>
  <si>
    <t>교육훈련비</t>
  </si>
  <si>
    <t>638000</t>
  </si>
  <si>
    <t>도서인쇄비</t>
  </si>
  <si>
    <t>639000</t>
  </si>
  <si>
    <t>소모품비</t>
  </si>
  <si>
    <t>640000</t>
  </si>
  <si>
    <t>지급수수료</t>
  </si>
  <si>
    <t>641000</t>
  </si>
  <si>
    <t>광고선전비</t>
  </si>
  <si>
    <t>642000</t>
  </si>
  <si>
    <t>해외시장개척비</t>
  </si>
  <si>
    <t>643000</t>
  </si>
  <si>
    <t>대손상각비</t>
  </si>
  <si>
    <t>644000</t>
  </si>
  <si>
    <t>수출제비용</t>
  </si>
  <si>
    <t>646000</t>
  </si>
  <si>
    <t>견본비</t>
  </si>
  <si>
    <t>647000</t>
  </si>
  <si>
    <t>제품보증수리비용</t>
  </si>
  <si>
    <t>649000</t>
  </si>
  <si>
    <t>복구충당부채전입액</t>
  </si>
  <si>
    <t>648000</t>
  </si>
  <si>
    <t>잡비</t>
  </si>
  <si>
    <t>영업이익</t>
  </si>
  <si>
    <t>금융수익</t>
  </si>
  <si>
    <t>711111</t>
  </si>
  <si>
    <t>이자수익(예금이자)</t>
  </si>
  <si>
    <t>711191</t>
  </si>
  <si>
    <t>이자수익(기타)</t>
  </si>
  <si>
    <t>711901</t>
  </si>
  <si>
    <t>외환차익(공정가치측정금융상품)</t>
  </si>
  <si>
    <t>711902</t>
  </si>
  <si>
    <t>외환차익(상각후원가측정자산)</t>
  </si>
  <si>
    <t>711903</t>
  </si>
  <si>
    <t>외환차익(상각후원가측정부채)</t>
  </si>
  <si>
    <t>712102</t>
  </si>
  <si>
    <t>외화환산이익(상각후원가측정자산)</t>
  </si>
  <si>
    <t>712103</t>
  </si>
  <si>
    <t>외화환산이익(상각후원가측정부채)</t>
  </si>
  <si>
    <t>713580</t>
  </si>
  <si>
    <t>당기손익공정가치측정금융자산평가이익</t>
  </si>
  <si>
    <t>713900</t>
  </si>
  <si>
    <t>당기손익공정가치측정금융자산처분이익</t>
  </si>
  <si>
    <t>금융비용</t>
  </si>
  <si>
    <t>731100</t>
  </si>
  <si>
    <t>이자비용(사채)</t>
  </si>
  <si>
    <t>731200</t>
  </si>
  <si>
    <t>이자비용(차입금)</t>
  </si>
  <si>
    <t>731400</t>
  </si>
  <si>
    <t>이자비용(리스부채)</t>
  </si>
  <si>
    <t>731702</t>
  </si>
  <si>
    <t>외환차손(상각후원가측정자산)</t>
  </si>
  <si>
    <t>731703</t>
  </si>
  <si>
    <t>외환차손(상각후원가측정부채)</t>
  </si>
  <si>
    <t>731701</t>
  </si>
  <si>
    <t>외환차손(공정가치측정금융상품)</t>
  </si>
  <si>
    <t>731902</t>
  </si>
  <si>
    <t>외화환산손실(상각후원가측정자산)</t>
  </si>
  <si>
    <t>731903</t>
  </si>
  <si>
    <t>외화환산손실(상각후원가측정부채)</t>
  </si>
  <si>
    <t>IS신설1</t>
  </si>
  <si>
    <t>당기손익공정가치측정금융자산평가손실</t>
  </si>
  <si>
    <t>IS신설2</t>
  </si>
  <si>
    <t>당기손익공정가치측정금융자산처분손실</t>
  </si>
  <si>
    <t>기타영업외수익</t>
  </si>
  <si>
    <t>712700</t>
  </si>
  <si>
    <t xml:space="preserve"> 유형자산처분이익</t>
  </si>
  <si>
    <t>712800</t>
  </si>
  <si>
    <t xml:space="preserve"> 무형자산처분이익</t>
  </si>
  <si>
    <t>713499</t>
  </si>
  <si>
    <t xml:space="preserve"> 잡이익</t>
  </si>
  <si>
    <t>기타영업외비용</t>
  </si>
  <si>
    <t>732800</t>
  </si>
  <si>
    <t xml:space="preserve"> 무형자산평가손실</t>
  </si>
  <si>
    <t>732900</t>
  </si>
  <si>
    <t xml:space="preserve"> 유형자산처분손실</t>
  </si>
  <si>
    <t>733280</t>
  </si>
  <si>
    <t xml:space="preserve"> 소송충당부채전입액</t>
  </si>
  <si>
    <t>733300</t>
  </si>
  <si>
    <t xml:space="preserve"> 잡손실</t>
  </si>
  <si>
    <t>관계기업투자</t>
  </si>
  <si>
    <t>연결IS_1</t>
  </si>
  <si>
    <t>지분법이익(손실)</t>
  </si>
  <si>
    <t>연결IS_2</t>
  </si>
  <si>
    <t>관계기업투자주식처분이익(손실)</t>
  </si>
  <si>
    <t>연결IS_3</t>
  </si>
  <si>
    <t>지분법적용투자주식손상차손</t>
  </si>
  <si>
    <t>종속기업투자주식손상차손</t>
  </si>
  <si>
    <t>732360</t>
  </si>
  <si>
    <t>법인세비용차감전순손익</t>
  </si>
  <si>
    <t>법인세비용</t>
  </si>
  <si>
    <t>5110000</t>
  </si>
  <si>
    <t>당기순이익(손실)</t>
  </si>
  <si>
    <t>연결IS_4</t>
  </si>
  <si>
    <t>연결IS_5</t>
  </si>
  <si>
    <t>유형자산상각비</t>
  </si>
  <si>
    <t>무형자산상각비</t>
  </si>
  <si>
    <t>이자비용(기타)</t>
  </si>
  <si>
    <t>IS신설3</t>
  </si>
  <si>
    <t>629000</t>
  </si>
  <si>
    <t>645000</t>
  </si>
  <si>
    <t>1.0. 기초조정</t>
  </si>
  <si>
    <t>CS합병시 주식할인차금 제거 (2015년)</t>
  </si>
  <si>
    <t>CODE</t>
  </si>
  <si>
    <t>2018 4Q</t>
  </si>
  <si>
    <t>2019 1Q</t>
  </si>
  <si>
    <t>2019 2Q</t>
  </si>
  <si>
    <t xml:space="preserve">2019 3Q </t>
  </si>
  <si>
    <t>2019 4Q</t>
  </si>
  <si>
    <t>합병차익취소</t>
  </si>
  <si>
    <t>ICS 합병시 처리</t>
  </si>
  <si>
    <t>MPMAN 합병시 처리</t>
  </si>
  <si>
    <t>이월이익잉여금</t>
  </si>
  <si>
    <t>2.0. Scope</t>
  </si>
  <si>
    <t xml:space="preserve">3.0. 내부거래 </t>
  </si>
  <si>
    <t>DR</t>
  </si>
  <si>
    <t>CR</t>
  </si>
  <si>
    <t>NET</t>
  </si>
  <si>
    <t>채권채무상계</t>
  </si>
  <si>
    <t>수익비용상계</t>
  </si>
  <si>
    <t>4.0. 미실현손익</t>
  </si>
  <si>
    <t>5.0. 공정가치차액</t>
  </si>
  <si>
    <t>AK-100,120,240,380</t>
  </si>
  <si>
    <t>결산일 현재 재고 금액</t>
  </si>
  <si>
    <t>아이리버 &gt; iriver inc 하향판매</t>
  </si>
  <si>
    <t>구분</t>
  </si>
  <si>
    <t>매출총이익률</t>
  </si>
  <si>
    <t>미실현손익</t>
  </si>
  <si>
    <t>아이리버 &gt; ent. 하향판매</t>
  </si>
  <si>
    <t>groovers JP</t>
  </si>
  <si>
    <t>제품(AK-100)</t>
  </si>
  <si>
    <t>제품(기타)</t>
  </si>
  <si>
    <t>당기순이익_I/S</t>
  </si>
  <si>
    <t>관계사 채권에 대한 대손충당금</t>
  </si>
  <si>
    <t>Enterprise</t>
  </si>
  <si>
    <t>Iriver Inc.</t>
  </si>
  <si>
    <t>Groovers JP</t>
  </si>
  <si>
    <t>대손충당금</t>
  </si>
  <si>
    <t>합계</t>
  </si>
  <si>
    <t>SMLDC</t>
  </si>
  <si>
    <t>독접적 판매권 공정가치차액 상각</t>
  </si>
  <si>
    <t>금액(in JPY)</t>
  </si>
  <si>
    <t>내용연수(월)</t>
  </si>
  <si>
    <t xml:space="preserve">2017 Q4 </t>
  </si>
  <si>
    <t xml:space="preserve">2018 Q1 </t>
  </si>
  <si>
    <t xml:space="preserve">2018 Q2 </t>
  </si>
  <si>
    <t xml:space="preserve">2018 Q3 </t>
  </si>
  <si>
    <t xml:space="preserve">2018 Q4 </t>
  </si>
  <si>
    <t xml:space="preserve">2019 Q1 </t>
  </si>
  <si>
    <t xml:space="preserve">2019 Q2 </t>
  </si>
  <si>
    <t xml:space="preserve">2019 Q3 </t>
  </si>
  <si>
    <t xml:space="preserve">2019 Q4 </t>
  </si>
  <si>
    <t xml:space="preserve">2020 Q1 </t>
  </si>
  <si>
    <t xml:space="preserve">2020 Q2 </t>
  </si>
  <si>
    <t xml:space="preserve">2020 Q3 </t>
  </si>
  <si>
    <t xml:space="preserve">2020 Q4 </t>
  </si>
  <si>
    <t xml:space="preserve">2021 Q1 </t>
  </si>
  <si>
    <t xml:space="preserve">2021 Q2 </t>
  </si>
  <si>
    <t xml:space="preserve">2021 Q3 </t>
  </si>
  <si>
    <t xml:space="preserve">2021 Q4 </t>
  </si>
  <si>
    <t>무형자산-기타의무형자산</t>
  </si>
  <si>
    <t>판매비와관리비-무형자산상각비</t>
  </si>
  <si>
    <t>법인세비용-법인세비용</t>
  </si>
  <si>
    <t>이연법인세부채-유동이연법인세부채</t>
  </si>
  <si>
    <t>IN JPY</t>
  </si>
  <si>
    <t>IN KRW</t>
  </si>
  <si>
    <t>기말환율</t>
  </si>
  <si>
    <t>평균환율</t>
  </si>
  <si>
    <t>공정가조정</t>
  </si>
  <si>
    <t>투자Code</t>
  </si>
  <si>
    <t>영업권 발생Center</t>
  </si>
  <si>
    <t>기초</t>
  </si>
  <si>
    <t>범위변동</t>
  </si>
  <si>
    <t>손상인식</t>
  </si>
  <si>
    <t>연결조정</t>
  </si>
  <si>
    <t>기타조정</t>
  </si>
  <si>
    <t>증감</t>
  </si>
  <si>
    <t>최초발생</t>
  </si>
  <si>
    <t>아이리버CS</t>
  </si>
  <si>
    <t>손상차손인식</t>
  </si>
  <si>
    <t>신규취득</t>
  </si>
  <si>
    <t>SMMCJP</t>
  </si>
  <si>
    <t>CURRENCY</t>
  </si>
  <si>
    <t>JPY</t>
  </si>
  <si>
    <t>KRW</t>
  </si>
  <si>
    <t>In local currency</t>
  </si>
  <si>
    <t>In KRW</t>
  </si>
  <si>
    <t>환산</t>
  </si>
  <si>
    <t>비고</t>
  </si>
  <si>
    <t>N/A</t>
  </si>
  <si>
    <t>SMMC(드림어스별도)</t>
  </si>
  <si>
    <t>손상&amp;환산</t>
  </si>
  <si>
    <t>무형자산처분손실</t>
  </si>
  <si>
    <t>IS신설4</t>
  </si>
  <si>
    <t xml:space="preserve"> 무형자산평가손실(손상차손)</t>
  </si>
  <si>
    <t>대사</t>
  </si>
  <si>
    <t>기타의무형자산-독점판매권</t>
  </si>
  <si>
    <t>이연법인세부채(비유동)</t>
  </si>
  <si>
    <t>무형자산평가손실(손상차손)</t>
  </si>
  <si>
    <t>연결5</t>
  </si>
  <si>
    <t>6.0. 기타조정</t>
  </si>
  <si>
    <t>감가상각비</t>
  </si>
  <si>
    <t>연결조정합계</t>
  </si>
  <si>
    <t>7.0. 지분법</t>
  </si>
  <si>
    <t>8.0. 투자자본상계</t>
  </si>
  <si>
    <t>NCE</t>
  </si>
  <si>
    <t>AS-IS</t>
  </si>
  <si>
    <t>TO-BE</t>
  </si>
  <si>
    <t>ADJ.</t>
  </si>
  <si>
    <t>기본추정값</t>
  </si>
  <si>
    <t>조정액</t>
  </si>
  <si>
    <t>연결BS</t>
  </si>
  <si>
    <t>Entity</t>
  </si>
  <si>
    <t>유효지분율</t>
  </si>
  <si>
    <t>Scope</t>
  </si>
  <si>
    <t>No.</t>
  </si>
  <si>
    <t>투자회사</t>
  </si>
  <si>
    <t>피투자회사</t>
  </si>
  <si>
    <t>소재지</t>
  </si>
  <si>
    <t>2017년말</t>
  </si>
  <si>
    <t>2018년말</t>
  </si>
  <si>
    <t>법정지분율</t>
  </si>
  <si>
    <t>iriver Enterprise Ltd.</t>
  </si>
  <si>
    <t>홍콩</t>
  </si>
  <si>
    <t>iriver Inc.</t>
  </si>
  <si>
    <t>미국</t>
  </si>
  <si>
    <t>groovers Japan Co., Ltd</t>
  </si>
  <si>
    <t>일본</t>
  </si>
  <si>
    <t>LIFE DESIGN COMPANY Inc.</t>
  </si>
  <si>
    <t>SM Mobile Communications Japan Inc</t>
  </si>
  <si>
    <t>2018년 중 Groovers JP에 합병(7/1)</t>
  </si>
  <si>
    <t>(주)그루버스</t>
  </si>
  <si>
    <t>한국</t>
  </si>
  <si>
    <t>iriver China Co., Ltd.</t>
  </si>
  <si>
    <t>중국</t>
  </si>
  <si>
    <t>Dongguan iriver Electronics Co., Ltd.</t>
  </si>
  <si>
    <t>연결</t>
  </si>
  <si>
    <t>CE</t>
  </si>
  <si>
    <t>FVOCI평가손익</t>
  </si>
  <si>
    <t>지분법자본변동</t>
  </si>
  <si>
    <t>보험수리적손익</t>
  </si>
  <si>
    <t>당기자본</t>
  </si>
  <si>
    <t>전기자본</t>
  </si>
  <si>
    <t>SMMC JP</t>
  </si>
  <si>
    <t>SCOPE OUT</t>
  </si>
  <si>
    <t>자본변동</t>
  </si>
  <si>
    <t>유상증자</t>
  </si>
  <si>
    <t>건설중인자산</t>
  </si>
  <si>
    <t>(환산)</t>
  </si>
  <si>
    <t>연결조정(영업권)</t>
  </si>
  <si>
    <t>연결조정(기타)</t>
  </si>
  <si>
    <t>기타</t>
  </si>
  <si>
    <t>연결 I/S</t>
  </si>
  <si>
    <t>관계회사 재무정보</t>
  </si>
  <si>
    <t>#</t>
    <phoneticPr fontId="0" type="noConversion"/>
  </si>
  <si>
    <t>계정명</t>
  </si>
  <si>
    <t>BS</t>
    <phoneticPr fontId="0" type="noConversion"/>
  </si>
  <si>
    <t>유동자산</t>
  </si>
  <si>
    <t>비유동자산</t>
  </si>
  <si>
    <t>비유동부채</t>
  </si>
  <si>
    <t>자본</t>
  </si>
  <si>
    <t>IS</t>
    <phoneticPr fontId="0" type="noConversion"/>
  </si>
  <si>
    <t>영업이익(손실)</t>
  </si>
  <si>
    <t>기타포괄손익</t>
  </si>
  <si>
    <t>총포괄손익</t>
  </si>
  <si>
    <t>수령배당금</t>
  </si>
  <si>
    <t>관계회사_그루버스</t>
  </si>
  <si>
    <t>I/S당기순이익</t>
  </si>
  <si>
    <t>종속기업투자주식손상차손 reverse</t>
  </si>
  <si>
    <t>ENT,  INC., groovers jp 매출재분류 (연결관점에서는 Inc.의 매출이 제품매출)</t>
  </si>
  <si>
    <t>(*)</t>
  </si>
  <si>
    <t>기말</t>
  </si>
  <si>
    <t>투자회사</t>
    <phoneticPr fontId="6" type="noConversion"/>
  </si>
  <si>
    <t>피투자회사</t>
    <phoneticPr fontId="4" type="noConversion"/>
  </si>
  <si>
    <t>종속회사 지배회사자본(a1)</t>
    <phoneticPr fontId="6" type="noConversion"/>
  </si>
  <si>
    <t>공정가 조정(a2)</t>
  </si>
  <si>
    <t>지분법조정</t>
    <phoneticPr fontId="6" type="noConversion"/>
  </si>
  <si>
    <t>미실현손익</t>
    <phoneticPr fontId="6" type="noConversion"/>
  </si>
  <si>
    <t>기타</t>
    <phoneticPr fontId="6" type="noConversion"/>
  </si>
  <si>
    <t>합계(a1+a2+a3+a4)</t>
    <phoneticPr fontId="6" type="noConversion"/>
  </si>
  <si>
    <t>비지배유효지분율</t>
  </si>
  <si>
    <t>비지배지분A</t>
  </si>
  <si>
    <t>투자주식금액(b1)</t>
  </si>
  <si>
    <t>영업권미상각액(b2)</t>
  </si>
  <si>
    <t>합계(b1-b2)</t>
  </si>
  <si>
    <t>중복계산지분율</t>
    <phoneticPr fontId="4" type="noConversion"/>
  </si>
  <si>
    <t>비지배지분B</t>
  </si>
  <si>
    <t>비지배지분(A-B)</t>
    <phoneticPr fontId="4" type="noConversion"/>
  </si>
  <si>
    <t>자체 비지배지분</t>
    <phoneticPr fontId="4" type="noConversion"/>
  </si>
  <si>
    <t>비지배지분추정값</t>
    <phoneticPr fontId="4" type="noConversion"/>
  </si>
  <si>
    <t>N/A</t>
    <phoneticPr fontId="6" type="noConversion"/>
  </si>
  <si>
    <t>SMC</t>
  </si>
  <si>
    <t>Other</t>
    <phoneticPr fontId="4" type="noConversion"/>
  </si>
  <si>
    <t>NCI 검증</t>
    <phoneticPr fontId="4" type="noConversion"/>
  </si>
  <si>
    <t>회사명</t>
  </si>
  <si>
    <t>지배회사순이익</t>
    <phoneticPr fontId="4" type="noConversion"/>
  </si>
  <si>
    <t>1차조정</t>
    <phoneticPr fontId="4" type="noConversion"/>
  </si>
  <si>
    <t>2차조정</t>
    <phoneticPr fontId="4" type="noConversion"/>
  </si>
  <si>
    <t>TB수정</t>
    <phoneticPr fontId="4" type="noConversion"/>
  </si>
  <si>
    <t>미실현손익조정</t>
    <phoneticPr fontId="4" type="noConversion"/>
  </si>
  <si>
    <t>Fair Value상각 등</t>
    <phoneticPr fontId="4" type="noConversion"/>
  </si>
  <si>
    <t>조정NI</t>
    <phoneticPr fontId="4" type="noConversion"/>
  </si>
  <si>
    <t>비지배_유효지분율</t>
  </si>
  <si>
    <t>시산비지배손익</t>
    <phoneticPr fontId="4" type="noConversion"/>
  </si>
  <si>
    <t>비지배회사지분NI</t>
    <phoneticPr fontId="4" type="noConversion"/>
  </si>
  <si>
    <t>Total</t>
    <phoneticPr fontId="4" type="noConversion"/>
  </si>
  <si>
    <t>시산표대사</t>
    <phoneticPr fontId="4" type="noConversion"/>
  </si>
  <si>
    <t>차액</t>
    <phoneticPr fontId="4" type="noConversion"/>
  </si>
  <si>
    <t>NCE 검증</t>
    <phoneticPr fontId="4" type="noConversion"/>
  </si>
  <si>
    <t>기초NCE</t>
    <phoneticPr fontId="4" type="noConversion"/>
  </si>
  <si>
    <t>NCI</t>
    <phoneticPr fontId="4" type="noConversion"/>
  </si>
  <si>
    <t>매도가능평가손익</t>
    <phoneticPr fontId="4" type="noConversion"/>
  </si>
  <si>
    <t>지분법자본변동</t>
    <phoneticPr fontId="4" type="noConversion"/>
  </si>
  <si>
    <t>해외사업환산손익</t>
    <phoneticPr fontId="4" type="noConversion"/>
  </si>
  <si>
    <t>보험수리적손익</t>
    <phoneticPr fontId="4" type="noConversion"/>
  </si>
  <si>
    <t>배당</t>
    <phoneticPr fontId="4" type="noConversion"/>
  </si>
  <si>
    <t>증가(감소)</t>
    <phoneticPr fontId="4" type="noConversion"/>
  </si>
  <si>
    <t>자본거래손익</t>
    <phoneticPr fontId="4" type="noConversion"/>
  </si>
  <si>
    <t>기타</t>
    <phoneticPr fontId="4" type="noConversion"/>
  </si>
  <si>
    <t>기말NCE</t>
    <phoneticPr fontId="4" type="noConversion"/>
  </si>
  <si>
    <t>검증</t>
    <phoneticPr fontId="4" type="noConversion"/>
  </si>
  <si>
    <t>NI</t>
  </si>
  <si>
    <t>지배지분</t>
  </si>
  <si>
    <t>other adj.</t>
  </si>
  <si>
    <t>diff'</t>
  </si>
  <si>
    <t>-</t>
  </si>
  <si>
    <t>상품매출(내수)</t>
  </si>
  <si>
    <t>상품매출환입(내수)</t>
  </si>
  <si>
    <t>상품매출(수출)</t>
  </si>
  <si>
    <t>상품매출환입(수출)</t>
  </si>
  <si>
    <t>제품매출(내수)</t>
  </si>
  <si>
    <t>제품매출환입(내수)</t>
  </si>
  <si>
    <t>제품매출할인및에누리(수출)</t>
  </si>
  <si>
    <t>제품매출(수출)</t>
  </si>
  <si>
    <t>제품매출환입(수출)</t>
  </si>
  <si>
    <t>유형감가/차량운반구</t>
  </si>
  <si>
    <t>유형감가/비품</t>
  </si>
  <si>
    <t>유형감가/기타유형</t>
  </si>
  <si>
    <t>사용권감가/건물</t>
  </si>
  <si>
    <t>사용권감가/차량운반구</t>
  </si>
  <si>
    <t>연결법인코드</t>
  </si>
  <si>
    <t>계정번호</t>
  </si>
  <si>
    <t xml:space="preserve">G/L 계정설명 </t>
  </si>
  <si>
    <t>사업영역</t>
  </si>
  <si>
    <t>손익센터</t>
  </si>
  <si>
    <t>거래통화코드</t>
  </si>
  <si>
    <t>T198</t>
  </si>
  <si>
    <t>현금-원화</t>
  </si>
  <si>
    <t>보통예금</t>
  </si>
  <si>
    <t>단기금융상품</t>
  </si>
  <si>
    <t>외상매출금</t>
  </si>
  <si>
    <t>대손충당금(매출채권)</t>
  </si>
  <si>
    <t>외화외상매출금</t>
  </si>
  <si>
    <t>미수금</t>
  </si>
  <si>
    <t>선급금</t>
  </si>
  <si>
    <t>선급비용</t>
  </si>
  <si>
    <t>기계장치 감가상각누계액</t>
  </si>
  <si>
    <t>차량운반구 감가상각누계액</t>
  </si>
  <si>
    <t>차량운반구 감액손실누계액</t>
  </si>
  <si>
    <t>공구와기구 감가상각누계액</t>
  </si>
  <si>
    <t>공구와기구 감액손실누계액</t>
  </si>
  <si>
    <t>비품 감가상각누계액</t>
  </si>
  <si>
    <t>비품 감액손실누계액</t>
  </si>
  <si>
    <t>산업재산권</t>
  </si>
  <si>
    <t>기타의무형자산</t>
  </si>
  <si>
    <t>매입채무</t>
  </si>
  <si>
    <t>선수수익</t>
  </si>
  <si>
    <t>미지급금</t>
  </si>
  <si>
    <t>선수금</t>
  </si>
  <si>
    <t>예수금</t>
  </si>
  <si>
    <t>미지급세금</t>
  </si>
  <si>
    <t>미지급비용</t>
  </si>
  <si>
    <t>유동성장기부채-전환사채(유동)</t>
  </si>
  <si>
    <t>유동성장기부채-사할차(유동)</t>
  </si>
  <si>
    <t>유동성장기부채-전환권조정(유동)</t>
  </si>
  <si>
    <t>반품추정부채(유동)</t>
  </si>
  <si>
    <t>확정급여채무</t>
  </si>
  <si>
    <t>사외적립자산-퇴직보험등</t>
  </si>
  <si>
    <t>이연법인세부채</t>
  </si>
  <si>
    <t>기타의자본잉여금</t>
  </si>
  <si>
    <t>자본조정-기타</t>
  </si>
  <si>
    <t>상품매출-국내</t>
  </si>
  <si>
    <t>제품매출-국내</t>
  </si>
  <si>
    <t>상품매출-수출</t>
  </si>
  <si>
    <t>제품매출-수출</t>
  </si>
  <si>
    <t>감가상각비-공기구비품</t>
  </si>
  <si>
    <t>감가상각비-차량운반구</t>
  </si>
  <si>
    <t>이자수익</t>
  </si>
  <si>
    <t>외환차익</t>
  </si>
  <si>
    <t>외화환산이익</t>
  </si>
  <si>
    <t>단기금융상품평가이익</t>
  </si>
  <si>
    <t>단기금융상품처분이익</t>
  </si>
  <si>
    <t>유형자산처분이익</t>
  </si>
  <si>
    <t>무형자산처분이익</t>
  </si>
  <si>
    <t>잡이익</t>
  </si>
  <si>
    <t>이자비용</t>
  </si>
  <si>
    <t>외환차손</t>
  </si>
  <si>
    <t>외화환산손실</t>
  </si>
  <si>
    <t>단기금융상품평가손실</t>
  </si>
  <si>
    <t>소송충당부채전입</t>
  </si>
  <si>
    <t>무형자산손상차손</t>
  </si>
  <si>
    <t>유형자산처분손실</t>
  </si>
  <si>
    <t>잡손실</t>
  </si>
  <si>
    <t>반품충당부채</t>
  </si>
  <si>
    <t>기타유동자산-환불</t>
  </si>
  <si>
    <t>수익</t>
  </si>
  <si>
    <t>비용</t>
  </si>
  <si>
    <t>CFSItemNam</t>
  </si>
  <si>
    <t>A10000</t>
  </si>
  <si>
    <t>영업활동으로 인한 현금흐름</t>
  </si>
  <si>
    <t>A11000</t>
  </si>
  <si>
    <t>A11010</t>
  </si>
  <si>
    <t>당기순이익(Value)</t>
  </si>
  <si>
    <t>A12000</t>
  </si>
  <si>
    <t>현금의 유출이 없는 비용등의 가산</t>
  </si>
  <si>
    <t>A12010</t>
  </si>
  <si>
    <t>A12020</t>
  </si>
  <si>
    <t>A12030</t>
  </si>
  <si>
    <t>A12040</t>
  </si>
  <si>
    <t>A12050</t>
  </si>
  <si>
    <t>A12060</t>
  </si>
  <si>
    <t>단기매매증권처분손실</t>
  </si>
  <si>
    <t>A12070</t>
  </si>
  <si>
    <t>단기매매증권평가손실</t>
  </si>
  <si>
    <t>A12100</t>
  </si>
  <si>
    <t>만기보유증권처분손실</t>
  </si>
  <si>
    <t>A12110</t>
  </si>
  <si>
    <t>만기보유증권손상차손</t>
  </si>
  <si>
    <t>A12120</t>
  </si>
  <si>
    <t>지분법주식처분손실</t>
  </si>
  <si>
    <t>A12130</t>
  </si>
  <si>
    <t>지분법손실</t>
  </si>
  <si>
    <t>A12140</t>
  </si>
  <si>
    <t>지분법주식손상차손</t>
  </si>
  <si>
    <t>A12150</t>
  </si>
  <si>
    <t>투자부동산처분손실</t>
  </si>
  <si>
    <t>A12160</t>
  </si>
  <si>
    <t>투자부동산손상차손</t>
  </si>
  <si>
    <t>A12170</t>
  </si>
  <si>
    <t>파생상품평가손실</t>
  </si>
  <si>
    <t>A12180</t>
  </si>
  <si>
    <t>파생상품거래손실</t>
  </si>
  <si>
    <t>A12190</t>
  </si>
  <si>
    <t>기타투자자산처분손실</t>
  </si>
  <si>
    <t>A12200</t>
  </si>
  <si>
    <t>기타투자자산손상차손</t>
  </si>
  <si>
    <t>A12210</t>
  </si>
  <si>
    <t>A12220</t>
  </si>
  <si>
    <t>유형자산손상차손</t>
  </si>
  <si>
    <t>A12230</t>
  </si>
  <si>
    <t>유형자산폐기손실</t>
  </si>
  <si>
    <t>A12240</t>
  </si>
  <si>
    <t>A12250</t>
  </si>
  <si>
    <t>A12260</t>
  </si>
  <si>
    <t>재고자산평가손실</t>
  </si>
  <si>
    <t>A12270</t>
  </si>
  <si>
    <t>재고자산감모손실</t>
  </si>
  <si>
    <t>A12280</t>
  </si>
  <si>
    <t>재고자산매각손실</t>
  </si>
  <si>
    <t>A12290</t>
  </si>
  <si>
    <t>재고자산폐기손실</t>
  </si>
  <si>
    <t>A12300</t>
  </si>
  <si>
    <t>매출채권처분손실</t>
  </si>
  <si>
    <t>A12310</t>
  </si>
  <si>
    <t>자원개발투자손실</t>
  </si>
  <si>
    <t>A12320</t>
  </si>
  <si>
    <t>사채상환손실</t>
  </si>
  <si>
    <t>A12330</t>
  </si>
  <si>
    <t>사채할인발행차금상각</t>
  </si>
  <si>
    <t>A12340</t>
  </si>
  <si>
    <t>현재가치할인차금상각</t>
  </si>
  <si>
    <t>A12350</t>
  </si>
  <si>
    <t>전환권조정의 상각</t>
  </si>
  <si>
    <t>A12360</t>
  </si>
  <si>
    <t>주식보상비용</t>
  </si>
  <si>
    <t>A12370</t>
  </si>
  <si>
    <t>영업권상각비</t>
  </si>
  <si>
    <t>A12380</t>
  </si>
  <si>
    <t>기타의대손상각비</t>
  </si>
  <si>
    <t>A12390</t>
  </si>
  <si>
    <t>운휴자산감가상각비</t>
  </si>
  <si>
    <t>A12400</t>
  </si>
  <si>
    <t>A12410</t>
  </si>
  <si>
    <t>전기오류수정손실</t>
  </si>
  <si>
    <t>A12420</t>
  </si>
  <si>
    <t>기타특별손실</t>
  </si>
  <si>
    <t>A12430</t>
  </si>
  <si>
    <t>중단사업손실</t>
  </si>
  <si>
    <t>A12440</t>
  </si>
  <si>
    <t>A12450</t>
  </si>
  <si>
    <t>통화스왑평가손실</t>
  </si>
  <si>
    <t>A12460</t>
  </si>
  <si>
    <t>이자율스왑평가손실</t>
  </si>
  <si>
    <t>A12470</t>
  </si>
  <si>
    <t>미수금처분손실</t>
  </si>
  <si>
    <t>A12480</t>
  </si>
  <si>
    <t>차입금상환손실</t>
  </si>
  <si>
    <t>A12490</t>
  </si>
  <si>
    <t>A12500</t>
  </si>
  <si>
    <t>A12510</t>
  </si>
  <si>
    <t>A12520</t>
  </si>
  <si>
    <t>확정계약평가손실</t>
  </si>
  <si>
    <t>A12530</t>
  </si>
  <si>
    <t>매각예정자산처분손실</t>
  </si>
  <si>
    <t>A12540</t>
  </si>
  <si>
    <t>당기손익인식금융자산평가손실</t>
  </si>
  <si>
    <t>A12550</t>
  </si>
  <si>
    <t>당기손익인식금융자산처분손실</t>
  </si>
  <si>
    <t>A12560</t>
  </si>
  <si>
    <t>상각후원가인식금융자산처분손실</t>
  </si>
  <si>
    <t>A12570</t>
  </si>
  <si>
    <t>기타포괄손익인식금융자산처분손실</t>
  </si>
  <si>
    <t>A12580</t>
  </si>
  <si>
    <t>기타포괄손익인식금융자산손상차손</t>
  </si>
  <si>
    <t>A12590</t>
  </si>
  <si>
    <t>상각후원가인식금융자산손상차손</t>
  </si>
  <si>
    <t>A12600</t>
  </si>
  <si>
    <t>당기손익인식금융부채평가손실</t>
  </si>
  <si>
    <t>A12990</t>
  </si>
  <si>
    <t>기타비용</t>
  </si>
  <si>
    <t>A13000</t>
  </si>
  <si>
    <t>현금의 유입이 없는 수익등의 차감</t>
  </si>
  <si>
    <t>A13010</t>
  </si>
  <si>
    <t>A13020</t>
  </si>
  <si>
    <t>단기매매증권처분이익</t>
  </si>
  <si>
    <t>A13030</t>
  </si>
  <si>
    <t>단기매매증권평가이익</t>
  </si>
  <si>
    <t>A13060</t>
  </si>
  <si>
    <t>만기보유증권처분이익</t>
  </si>
  <si>
    <t>A13070</t>
  </si>
  <si>
    <t>만기보유증권손상차손환입</t>
  </si>
  <si>
    <t>A13080</t>
  </si>
  <si>
    <t>지분법주식처분이익</t>
  </si>
  <si>
    <t>A13090</t>
  </si>
  <si>
    <t>지분법이익</t>
  </si>
  <si>
    <t>A13100</t>
  </si>
  <si>
    <t>지분법주식손상차손환입</t>
  </si>
  <si>
    <t>A13110</t>
  </si>
  <si>
    <t>투자부동산처분이익</t>
  </si>
  <si>
    <t>A13120</t>
  </si>
  <si>
    <t>투자부동산손상차손환입</t>
  </si>
  <si>
    <t>A13130</t>
  </si>
  <si>
    <t>파생상품평가이익</t>
  </si>
  <si>
    <t>A13140</t>
  </si>
  <si>
    <t>파생상품거래이익</t>
  </si>
  <si>
    <t>A13150</t>
  </si>
  <si>
    <t>기타투자자산처분이익</t>
  </si>
  <si>
    <t>A13160</t>
  </si>
  <si>
    <t>기타투자자산손상차손환입</t>
  </si>
  <si>
    <t>A13170</t>
  </si>
  <si>
    <t>A13180</t>
  </si>
  <si>
    <t>유형자산손상차손환입</t>
  </si>
  <si>
    <t>A13190</t>
  </si>
  <si>
    <t>A13200</t>
  </si>
  <si>
    <t>무형자산손상차손환입</t>
  </si>
  <si>
    <t>A13210</t>
  </si>
  <si>
    <t>재고자산평가손실환입</t>
  </si>
  <si>
    <t>A13220</t>
  </si>
  <si>
    <t>부채성충당금환입액</t>
  </si>
  <si>
    <t>A13230</t>
  </si>
  <si>
    <t>대손충당금 환입</t>
  </si>
  <si>
    <t>A13240</t>
  </si>
  <si>
    <t>사채할인발행차금상각환입</t>
  </si>
  <si>
    <t>A13250</t>
  </si>
  <si>
    <t>현재가치할인차금상각환입</t>
  </si>
  <si>
    <t>A13260</t>
  </si>
  <si>
    <t>부의 영업권 환입</t>
  </si>
  <si>
    <t>A13270</t>
  </si>
  <si>
    <t>사채상환이익</t>
  </si>
  <si>
    <t>A13280</t>
  </si>
  <si>
    <t>채무면제이익</t>
  </si>
  <si>
    <t>A13290</t>
  </si>
  <si>
    <t>기타의 특별이익</t>
  </si>
  <si>
    <t>A13300</t>
  </si>
  <si>
    <t>전기오류수정익</t>
  </si>
  <si>
    <t>A13310</t>
  </si>
  <si>
    <t>자산수증이익</t>
  </si>
  <si>
    <t>A13320</t>
  </si>
  <si>
    <t>보험차익</t>
  </si>
  <si>
    <t>A13330</t>
  </si>
  <si>
    <t>통화옵션거래이익</t>
  </si>
  <si>
    <t>A13340</t>
  </si>
  <si>
    <t>이자율스왑평가이익</t>
  </si>
  <si>
    <t>A13350</t>
  </si>
  <si>
    <t>중단사업이익</t>
  </si>
  <si>
    <t>A13360</t>
  </si>
  <si>
    <t>주식보상비용환입</t>
  </si>
  <si>
    <t>A13370</t>
  </si>
  <si>
    <t>영업양도차익</t>
  </si>
  <si>
    <t>A13380</t>
  </si>
  <si>
    <t>A13390</t>
  </si>
  <si>
    <t>배당금수익(지주)</t>
  </si>
  <si>
    <t>A13400</t>
  </si>
  <si>
    <t>확정계약평가이익</t>
  </si>
  <si>
    <t>A13410</t>
  </si>
  <si>
    <t>매각예정자산처분이익</t>
  </si>
  <si>
    <t>A13420</t>
  </si>
  <si>
    <t>당기손익인식금융자산평가이익</t>
  </si>
  <si>
    <t>A13430</t>
  </si>
  <si>
    <t>당기손익인식금융자산처분이익</t>
  </si>
  <si>
    <t>A13440</t>
  </si>
  <si>
    <t>상각후원가인식금융자산처분이익</t>
  </si>
  <si>
    <t>A13450</t>
  </si>
  <si>
    <t>기타포괄손익인식금융자산처분이익</t>
  </si>
  <si>
    <t>A13470</t>
  </si>
  <si>
    <t>기타포괄손익인식금융자산손상차손환입</t>
  </si>
  <si>
    <t>A13480</t>
  </si>
  <si>
    <t>상각후원가인식금융자산손상차손환입</t>
  </si>
  <si>
    <t>A13490</t>
  </si>
  <si>
    <t>당기손익인식금융부채평가이익</t>
  </si>
  <si>
    <t>A13500</t>
  </si>
  <si>
    <t>배당금수익-지분법적용투자주식</t>
  </si>
  <si>
    <t>A13510</t>
  </si>
  <si>
    <t>배당금수익-당기손익인식금융자산</t>
  </si>
  <si>
    <t>A13520</t>
  </si>
  <si>
    <t>배당금수익-기타포괄손익인식금융자산</t>
  </si>
  <si>
    <t>A13990</t>
  </si>
  <si>
    <t>기타수익</t>
  </si>
  <si>
    <t>A14000</t>
  </si>
  <si>
    <t>영업활동으로 인한 자산부채의 변동</t>
  </si>
  <si>
    <t>A14010</t>
  </si>
  <si>
    <t>매출채권의 감소(증가)</t>
  </si>
  <si>
    <t>A14020</t>
  </si>
  <si>
    <t>미수금의 감소(증가)</t>
  </si>
  <si>
    <t>A14030</t>
  </si>
  <si>
    <t>미수수익의 감소(증가)</t>
  </si>
  <si>
    <t>A14040</t>
  </si>
  <si>
    <t>선급금의 감소(증가)</t>
  </si>
  <si>
    <t>A14050</t>
  </si>
  <si>
    <t>선급공사비의 감소(증가)</t>
  </si>
  <si>
    <t>A14060</t>
  </si>
  <si>
    <t>선급비용의 감소(증가)</t>
  </si>
  <si>
    <t>A14070</t>
  </si>
  <si>
    <t>예치보증금의 감소(증가)</t>
  </si>
  <si>
    <t>A14080</t>
  </si>
  <si>
    <t>이연법인세자산의 감소(증가)</t>
  </si>
  <si>
    <t>A14090</t>
  </si>
  <si>
    <t>부가세대급금의 감소(증가)</t>
  </si>
  <si>
    <t>A14100</t>
  </si>
  <si>
    <t>재고자산의 감소(증가)</t>
  </si>
  <si>
    <t>A14110</t>
  </si>
  <si>
    <t>영업권의 감소(증가)</t>
  </si>
  <si>
    <t>A14120</t>
  </si>
  <si>
    <t>부의 영업권의 증가(감소)</t>
  </si>
  <si>
    <t>A14130</t>
  </si>
  <si>
    <t>지분법적용투자주식 배당금 수령</t>
  </si>
  <si>
    <t>A14140</t>
  </si>
  <si>
    <t>선급법인세의 감소(증가)</t>
  </si>
  <si>
    <t>A14150</t>
  </si>
  <si>
    <t>장기매출채권의 감소(증가)</t>
  </si>
  <si>
    <t>A14160</t>
  </si>
  <si>
    <t>장기미수금의 감소(증가)</t>
  </si>
  <si>
    <t>A14170</t>
  </si>
  <si>
    <t>장기예치보증금의 감소(증가)</t>
  </si>
  <si>
    <t>A14180</t>
  </si>
  <si>
    <t>장기선급비용의 감소(증가)</t>
  </si>
  <si>
    <t>A14190</t>
  </si>
  <si>
    <t>매입채무의 증가(감소)</t>
  </si>
  <si>
    <t>A14200</t>
  </si>
  <si>
    <t>선수금의 증가(감소)</t>
  </si>
  <si>
    <t>A14210</t>
  </si>
  <si>
    <t>예수금의 증가(감소)</t>
  </si>
  <si>
    <t>A14220</t>
  </si>
  <si>
    <t>선수수익의 증가(감소)</t>
  </si>
  <si>
    <t>A14230</t>
  </si>
  <si>
    <t>미지급금의 증가(감소)</t>
  </si>
  <si>
    <t>A14240</t>
  </si>
  <si>
    <t>미지급비용의 증가(감소)</t>
  </si>
  <si>
    <t>A14250</t>
  </si>
  <si>
    <t>예수부가세의 증가(감소)</t>
  </si>
  <si>
    <t>A14260</t>
  </si>
  <si>
    <t>이연법인세부채의 증가(감소)</t>
  </si>
  <si>
    <t>A14270</t>
  </si>
  <si>
    <t>기타의 유동부채의 증가(감소)</t>
  </si>
  <si>
    <t>A14280</t>
  </si>
  <si>
    <t>유동부채성충당금의 증가(감소)</t>
  </si>
  <si>
    <t>A14290</t>
  </si>
  <si>
    <t>퇴직보험예치금의 증가(감소)</t>
  </si>
  <si>
    <t>A14300</t>
  </si>
  <si>
    <t>국민연금전환금의 증가(감소)</t>
  </si>
  <si>
    <t>A14310</t>
  </si>
  <si>
    <t>퇴직보험사외적립자산의 증가(감소)</t>
  </si>
  <si>
    <t>A14320</t>
  </si>
  <si>
    <t>장기외상매입금의 증가(감소)</t>
  </si>
  <si>
    <t>A14330</t>
  </si>
  <si>
    <t>장기미지급금의 증가(감소)</t>
  </si>
  <si>
    <t>A14340</t>
  </si>
  <si>
    <t>예수보증금의 증가(감소)</t>
  </si>
  <si>
    <t>A14350</t>
  </si>
  <si>
    <t>장기부채성충당금의 증가(감소)</t>
  </si>
  <si>
    <t>A14360</t>
  </si>
  <si>
    <t>장기미지급비용의 증가(감소)</t>
  </si>
  <si>
    <t>A14370</t>
  </si>
  <si>
    <t>퇴직금의 지급</t>
  </si>
  <si>
    <t>A14380</t>
  </si>
  <si>
    <t>미지급법인세의 증가(감소)</t>
  </si>
  <si>
    <t>A14390</t>
  </si>
  <si>
    <t>미수법인세환급액의 감소(증가)</t>
  </si>
  <si>
    <t>A14400</t>
  </si>
  <si>
    <t>미지급보증금의 증가(감소)</t>
  </si>
  <si>
    <t>A14410</t>
  </si>
  <si>
    <t>당기손익인식금융자산의 감소(증가)</t>
  </si>
  <si>
    <t>A14420</t>
  </si>
  <si>
    <t>영업활동 관련 파생상품의 감소(증가)</t>
  </si>
  <si>
    <t>A14430</t>
  </si>
  <si>
    <t>차량운반구(영업용자산)의 취득</t>
  </si>
  <si>
    <t>A14440</t>
  </si>
  <si>
    <t>차량운반구(영업용자산)의 처분</t>
  </si>
  <si>
    <t>A14990</t>
  </si>
  <si>
    <t>기타영업활동으로 인한 현금흐름</t>
  </si>
  <si>
    <t>A15060</t>
  </si>
  <si>
    <t>유동계약자산의 감소(증가)</t>
  </si>
  <si>
    <t>A15070</t>
  </si>
  <si>
    <t>비유동계약자산의 감소(증가)</t>
  </si>
  <si>
    <t>A15080</t>
  </si>
  <si>
    <t>유동계약부채의 증가(감소)</t>
  </si>
  <si>
    <t>A15090</t>
  </si>
  <si>
    <t>비유동계약부채의 증가(감소)</t>
  </si>
  <si>
    <t>A15000</t>
  </si>
  <si>
    <t>직접법에 의한 영업활동 현금흐름</t>
  </si>
  <si>
    <t>A15010</t>
  </si>
  <si>
    <t>배당금의 수취</t>
  </si>
  <si>
    <t>A15020</t>
  </si>
  <si>
    <t>이자수취</t>
  </si>
  <si>
    <t>A15030</t>
  </si>
  <si>
    <t>이자지급</t>
  </si>
  <si>
    <t>A15040</t>
  </si>
  <si>
    <t>법인세의 납부</t>
  </si>
  <si>
    <t>A15050</t>
  </si>
  <si>
    <t>법인세의 환급</t>
  </si>
  <si>
    <t>B10000</t>
  </si>
  <si>
    <t>투자활동으로 인한 현금흐름</t>
  </si>
  <si>
    <t>B11000</t>
  </si>
  <si>
    <t>투자활동으로 인한 현금유입액</t>
  </si>
  <si>
    <t>B11010</t>
  </si>
  <si>
    <t>단기대여금의 회수</t>
  </si>
  <si>
    <t>B11020</t>
  </si>
  <si>
    <t>단기금융상품의 처분</t>
  </si>
  <si>
    <t>B11030</t>
  </si>
  <si>
    <t>기타당좌자산의 감소</t>
  </si>
  <si>
    <t>B11040</t>
  </si>
  <si>
    <t>장기금융상품의 처분</t>
  </si>
  <si>
    <t>B11050</t>
  </si>
  <si>
    <t>장기대여금의 회수</t>
  </si>
  <si>
    <t>B11060</t>
  </si>
  <si>
    <t>자원개발투자자산의 감소</t>
  </si>
  <si>
    <t>B11070</t>
  </si>
  <si>
    <t>예수보증금의 증가</t>
  </si>
  <si>
    <t>B11080</t>
  </si>
  <si>
    <t>예치보증금의 감소</t>
  </si>
  <si>
    <t>B11090</t>
  </si>
  <si>
    <t>(투자)미수금의 감소</t>
  </si>
  <si>
    <t>B11100</t>
  </si>
  <si>
    <t>(투자)미지급금의 증가</t>
  </si>
  <si>
    <t>B11110</t>
  </si>
  <si>
    <t>(투자)선급비용의 감소</t>
  </si>
  <si>
    <t>B11120</t>
  </si>
  <si>
    <t>단기매매증권의 처분</t>
  </si>
  <si>
    <t>B11140</t>
  </si>
  <si>
    <t>만기보유증권의 처분</t>
  </si>
  <si>
    <t>B11150</t>
  </si>
  <si>
    <t>지분법투자주식의 처분</t>
  </si>
  <si>
    <t>B11160</t>
  </si>
  <si>
    <t>연결대상투자주식의 처분</t>
  </si>
  <si>
    <t>B11170</t>
  </si>
  <si>
    <t>연결범위제외로 인한 현금의 증가</t>
  </si>
  <si>
    <t>B11180</t>
  </si>
  <si>
    <t>투자부동산의 처분</t>
  </si>
  <si>
    <t>B11190</t>
  </si>
  <si>
    <t>매각예정자산의 처분</t>
  </si>
  <si>
    <t>B11200</t>
  </si>
  <si>
    <t>파생상품의 감소</t>
  </si>
  <si>
    <t>B11210</t>
  </si>
  <si>
    <t>기타투자자산의 감소</t>
  </si>
  <si>
    <t>B11220</t>
  </si>
  <si>
    <t>토지의 처분</t>
  </si>
  <si>
    <t>B11230</t>
  </si>
  <si>
    <t>건물의 처분</t>
  </si>
  <si>
    <t>B11240</t>
  </si>
  <si>
    <t>구축물의 처분</t>
  </si>
  <si>
    <t>B11250</t>
  </si>
  <si>
    <t>탱크의 처분</t>
  </si>
  <si>
    <t>B11260</t>
  </si>
  <si>
    <t>기계장치의 처분</t>
  </si>
  <si>
    <t>B11270</t>
  </si>
  <si>
    <t>장거리송유관의 처분</t>
  </si>
  <si>
    <t>B11280</t>
  </si>
  <si>
    <t>차량운반구의 처분</t>
  </si>
  <si>
    <t>B11290</t>
  </si>
  <si>
    <t>선박의 처분</t>
  </si>
  <si>
    <t>B11300</t>
  </si>
  <si>
    <t>B11310</t>
  </si>
  <si>
    <t>배관의 처분</t>
  </si>
  <si>
    <t>B11320</t>
  </si>
  <si>
    <t>촉매의 처분</t>
  </si>
  <si>
    <t>B11330</t>
  </si>
  <si>
    <t>건설중인 자산의 처분</t>
  </si>
  <si>
    <t>B11340</t>
  </si>
  <si>
    <t>기타유형자산의 처분</t>
  </si>
  <si>
    <t>B11350</t>
  </si>
  <si>
    <t>영업권의 처분</t>
  </si>
  <si>
    <t>B11360</t>
  </si>
  <si>
    <t>시설사용이용권의 처분</t>
  </si>
  <si>
    <t>B11370</t>
  </si>
  <si>
    <t>산업재산권의 처분</t>
  </si>
  <si>
    <t>B11380</t>
  </si>
  <si>
    <t>임차권리권의 처분</t>
  </si>
  <si>
    <t>B11390</t>
  </si>
  <si>
    <t>주파수이용권의 처분</t>
  </si>
  <si>
    <t>B11400</t>
  </si>
  <si>
    <t>회원권의 처분</t>
  </si>
  <si>
    <t>B11410</t>
  </si>
  <si>
    <t>기타무형자산의 처분</t>
  </si>
  <si>
    <t>B11420</t>
  </si>
  <si>
    <t>금융리스자산의 처분</t>
  </si>
  <si>
    <t>B11430</t>
  </si>
  <si>
    <t>사업부매각 및 영업의 양도</t>
  </si>
  <si>
    <t>B11440</t>
  </si>
  <si>
    <t>배당금 수령</t>
  </si>
  <si>
    <t>B11450</t>
  </si>
  <si>
    <t>장기대출채권의 감소</t>
  </si>
  <si>
    <t>B11460</t>
  </si>
  <si>
    <t>국고보조금의수령</t>
  </si>
  <si>
    <t>B11470</t>
  </si>
  <si>
    <t>단기투자자산의 감소</t>
  </si>
  <si>
    <t>B11480</t>
  </si>
  <si>
    <t>영업양도로인한 현금유입</t>
  </si>
  <si>
    <t>B11490</t>
  </si>
  <si>
    <t>통화스왑거래로인한현금유입</t>
  </si>
  <si>
    <t>B11500</t>
  </si>
  <si>
    <t>통화옵션거래로인한현금유입</t>
  </si>
  <si>
    <t>B11510</t>
  </si>
  <si>
    <t>당기손익인식금융자산의 처분</t>
  </si>
  <si>
    <t>B11520</t>
  </si>
  <si>
    <t>기타포괄손익인식금융자산의 처분</t>
  </si>
  <si>
    <t>B11530</t>
  </si>
  <si>
    <t>상각후원가인식금융자산의 처분</t>
  </si>
  <si>
    <t>B11550</t>
  </si>
  <si>
    <t>당기손익인식금융부채의 처분</t>
  </si>
  <si>
    <t>B11990</t>
  </si>
  <si>
    <t>기타투자유입</t>
  </si>
  <si>
    <t>B12000</t>
  </si>
  <si>
    <t>투자활동으로 인한 현금유출액</t>
  </si>
  <si>
    <t>B12010</t>
  </si>
  <si>
    <t>단기대여금의 증가</t>
  </si>
  <si>
    <t>B12020</t>
  </si>
  <si>
    <t>단기금융상품의 취득</t>
  </si>
  <si>
    <t>B12030</t>
  </si>
  <si>
    <t>기타당좌자산의 증가</t>
  </si>
  <si>
    <t>B12040</t>
  </si>
  <si>
    <t>장기금융상품의 취득</t>
  </si>
  <si>
    <t>B12050</t>
  </si>
  <si>
    <t>장기대여금의 증가</t>
  </si>
  <si>
    <t>B12060</t>
  </si>
  <si>
    <t>자원개발투자자산의 증가</t>
  </si>
  <si>
    <t>B12070</t>
  </si>
  <si>
    <t>예수보증금의 감소</t>
  </si>
  <si>
    <t>B12080</t>
  </si>
  <si>
    <t>예치보증금의 증가</t>
  </si>
  <si>
    <t>B12090</t>
  </si>
  <si>
    <t>(투자)선급비용의 증가</t>
  </si>
  <si>
    <t>B12100</t>
  </si>
  <si>
    <t>(투자)미수금의 증가</t>
  </si>
  <si>
    <t>B12110</t>
  </si>
  <si>
    <t>(투자)미지급금의 감소</t>
  </si>
  <si>
    <t>B12120</t>
  </si>
  <si>
    <t>단기매매증권의 취득</t>
  </si>
  <si>
    <t>B12140</t>
  </si>
  <si>
    <t>만기보유증권의 취득</t>
  </si>
  <si>
    <t>B12150</t>
  </si>
  <si>
    <t>지분법투자주식의 취득</t>
  </si>
  <si>
    <t>B12160</t>
  </si>
  <si>
    <t>연결대상투자주식의 취득</t>
  </si>
  <si>
    <t>B12170</t>
  </si>
  <si>
    <t>연결범위포함으로 인한 현금의 감소</t>
  </si>
  <si>
    <t>B12180</t>
  </si>
  <si>
    <t>투자부동산의 취득</t>
  </si>
  <si>
    <t>B12190</t>
  </si>
  <si>
    <t>매각예정자산의 증가</t>
  </si>
  <si>
    <t>B12200</t>
  </si>
  <si>
    <t>파생상품의 증가</t>
  </si>
  <si>
    <t>B12210</t>
  </si>
  <si>
    <t>기타투자자산의 취득</t>
  </si>
  <si>
    <t>B12220</t>
  </si>
  <si>
    <t>토지의 취득</t>
  </si>
  <si>
    <t>B12230</t>
  </si>
  <si>
    <t>건물의 취득</t>
  </si>
  <si>
    <t>B12240</t>
  </si>
  <si>
    <t>구축물의 취득</t>
  </si>
  <si>
    <t>B12250</t>
  </si>
  <si>
    <t>탱크의 취득</t>
  </si>
  <si>
    <t>B12260</t>
  </si>
  <si>
    <t>기계장치의 취득</t>
  </si>
  <si>
    <t>B12270</t>
  </si>
  <si>
    <t>장거리송유관의 취득</t>
  </si>
  <si>
    <t>B12280</t>
  </si>
  <si>
    <t>차량운반구의 취득</t>
  </si>
  <si>
    <t>B12290</t>
  </si>
  <si>
    <t>선박의 취득</t>
  </si>
  <si>
    <t>B12300</t>
  </si>
  <si>
    <t>B12310</t>
  </si>
  <si>
    <t>배관의 취득</t>
  </si>
  <si>
    <t>B12320</t>
  </si>
  <si>
    <t>촉매의 취득</t>
  </si>
  <si>
    <t>B12330</t>
  </si>
  <si>
    <t>건설중인 자산의 취득</t>
  </si>
  <si>
    <t>B12340</t>
  </si>
  <si>
    <t>기타유형자산의 취득</t>
  </si>
  <si>
    <t>B12350</t>
  </si>
  <si>
    <t>개발비의 증가</t>
  </si>
  <si>
    <t>B12360</t>
  </si>
  <si>
    <t>영업권의 취득</t>
  </si>
  <si>
    <t>B12370</t>
  </si>
  <si>
    <t>부의영업권의 발생</t>
  </si>
  <si>
    <t>B12380</t>
  </si>
  <si>
    <t>시설사용이용권의 취득</t>
  </si>
  <si>
    <t>B12390</t>
  </si>
  <si>
    <t>산업재산권의 취득</t>
  </si>
  <si>
    <t>B12400</t>
  </si>
  <si>
    <t>임차권리권의 취득</t>
  </si>
  <si>
    <t>B12410</t>
  </si>
  <si>
    <t>주파수이용권의 취득</t>
  </si>
  <si>
    <t>B12420</t>
  </si>
  <si>
    <t>회원권의 취득</t>
  </si>
  <si>
    <t>B12430</t>
  </si>
  <si>
    <t>기타무형자산의 취득</t>
  </si>
  <si>
    <t>B12440</t>
  </si>
  <si>
    <t>금융리스자산의 취득</t>
  </si>
  <si>
    <t>B12450</t>
  </si>
  <si>
    <t>장기대출채권의 증가</t>
  </si>
  <si>
    <t>B12460</t>
  </si>
  <si>
    <t>선급금-고정자산의 증가</t>
    <phoneticPr fontId="4" type="noConversion"/>
  </si>
  <si>
    <t>B12470</t>
  </si>
  <si>
    <t>단기투자자산의 증가</t>
  </si>
  <si>
    <t>B12480</t>
  </si>
  <si>
    <t>영업양수로인한 현금유출</t>
  </si>
  <si>
    <t>B12490</t>
  </si>
  <si>
    <t>통화스왑거래로인한현금유출</t>
  </si>
  <si>
    <t>B12500</t>
  </si>
  <si>
    <t>통화옵션거래로인한현금유출</t>
  </si>
  <si>
    <t>B12510</t>
  </si>
  <si>
    <t>당기손익인식금융자산의 취득</t>
  </si>
  <si>
    <t>B12520</t>
  </si>
  <si>
    <t>기타포괄손익인식금융자산의 취득</t>
  </si>
  <si>
    <t>B12530</t>
  </si>
  <si>
    <t>상각후원가인식금융자산의 취득</t>
  </si>
  <si>
    <t>B12550</t>
  </si>
  <si>
    <t>당기손익인식금융부채의 취득</t>
  </si>
  <si>
    <t>B12990</t>
  </si>
  <si>
    <t>기타투자유출</t>
  </si>
  <si>
    <t>C10000</t>
  </si>
  <si>
    <t>재무활동으로 인한 현금흐름</t>
  </si>
  <si>
    <t>C11000</t>
  </si>
  <si>
    <t>재무활동으로 인한 현금유입액</t>
  </si>
  <si>
    <t>C11010</t>
  </si>
  <si>
    <t>주식발행_보통주</t>
  </si>
  <si>
    <t>C11020</t>
  </si>
  <si>
    <t>주식발행_우선주</t>
  </si>
  <si>
    <t>C11030</t>
  </si>
  <si>
    <t>단기차입금의 차입</t>
  </si>
  <si>
    <t>C11040</t>
  </si>
  <si>
    <t>유동성장기부채의 증가</t>
  </si>
  <si>
    <t>C11050</t>
  </si>
  <si>
    <t>기타비유동장기부채의 증가</t>
  </si>
  <si>
    <t>C11060</t>
  </si>
  <si>
    <t>사채의 발행</t>
  </si>
  <si>
    <t>C11070</t>
  </si>
  <si>
    <t>장기차입금의 차입</t>
  </si>
  <si>
    <t>C11080</t>
  </si>
  <si>
    <t>장기성미지급금의 증가</t>
  </si>
  <si>
    <t>C11090</t>
  </si>
  <si>
    <t>유동화채무의 증가</t>
  </si>
  <si>
    <t>C11100</t>
  </si>
  <si>
    <t>C11110</t>
  </si>
  <si>
    <t>C11120</t>
  </si>
  <si>
    <t>자기주식의 처분</t>
  </si>
  <si>
    <t>C11130</t>
  </si>
  <si>
    <t>주식매입선택권의 행사</t>
  </si>
  <si>
    <t>C11140</t>
  </si>
  <si>
    <t>연결자본거래로 인한 현금유입액</t>
  </si>
  <si>
    <t>C11150</t>
  </si>
  <si>
    <t>소수주주지분의 변동</t>
  </si>
  <si>
    <t>C11160</t>
  </si>
  <si>
    <t>매각예정부채의 증가</t>
  </si>
  <si>
    <t>C11170</t>
  </si>
  <si>
    <t>금융리스부채의 증가</t>
  </si>
  <si>
    <t>C11180</t>
  </si>
  <si>
    <t>교환사채의 발행</t>
  </si>
  <si>
    <t>C11190</t>
  </si>
  <si>
    <t>신종자본증권의 발행</t>
  </si>
  <si>
    <t>C11200</t>
  </si>
  <si>
    <t>상환우선주의 발행</t>
  </si>
  <si>
    <t>C11990</t>
  </si>
  <si>
    <t>기타재무유입</t>
  </si>
  <si>
    <t>C12000</t>
  </si>
  <si>
    <t>재무활동으로 인한 현금유출액</t>
  </si>
  <si>
    <t>C12010</t>
  </si>
  <si>
    <t>단기차입금의 상환</t>
  </si>
  <si>
    <t>C12020</t>
  </si>
  <si>
    <t>유동성장기부채의 감소</t>
  </si>
  <si>
    <t>C12030</t>
  </si>
  <si>
    <t>기타비유동장기부채의 감소</t>
  </si>
  <si>
    <t>C12040</t>
  </si>
  <si>
    <t>사채의 상환</t>
  </si>
  <si>
    <t>C12050</t>
  </si>
  <si>
    <t>장기차입금의 상환</t>
  </si>
  <si>
    <t>C12060</t>
  </si>
  <si>
    <t>장기성미지급금의 상환</t>
  </si>
  <si>
    <t>C12070</t>
  </si>
  <si>
    <t>C12080</t>
  </si>
  <si>
    <t>C12090</t>
  </si>
  <si>
    <t>자기주식의 취득</t>
  </si>
  <si>
    <t>C12100</t>
  </si>
  <si>
    <t>자본금의 감소</t>
  </si>
  <si>
    <t>C12110</t>
  </si>
  <si>
    <t>상환우선주의 상환</t>
  </si>
  <si>
    <t>C12120</t>
  </si>
  <si>
    <t>배당금의 지급</t>
  </si>
  <si>
    <t>C12130</t>
  </si>
  <si>
    <t>연결자본거래로 인한 현금유출액</t>
  </si>
  <si>
    <t>C12140</t>
  </si>
  <si>
    <t>매각예정부채의 감소</t>
  </si>
  <si>
    <t>C12150</t>
  </si>
  <si>
    <t>금융리스부채의 감소</t>
  </si>
  <si>
    <t>C12160</t>
  </si>
  <si>
    <t>교환사채의 상환</t>
  </si>
  <si>
    <t>C12170</t>
  </si>
  <si>
    <t>신종자본증권의 상환</t>
  </si>
  <si>
    <t>C12990</t>
  </si>
  <si>
    <t>기타재무유출</t>
  </si>
  <si>
    <t>D10000</t>
  </si>
  <si>
    <t>외화환산으로 인한 현금의 변동</t>
  </si>
  <si>
    <t>D11000</t>
  </si>
  <si>
    <t>D11010</t>
  </si>
  <si>
    <t>외화환산으로 인한 현금의 변동(Value)</t>
  </si>
  <si>
    <t>E10000</t>
  </si>
  <si>
    <t>현금흐름표조정</t>
  </si>
  <si>
    <t>E11000</t>
  </si>
  <si>
    <t>E11010</t>
  </si>
  <si>
    <t>현금흐름표조정(Value)</t>
  </si>
  <si>
    <t>F10000</t>
  </si>
  <si>
    <t>현금의 증가</t>
  </si>
  <si>
    <t>G10000</t>
  </si>
  <si>
    <t>기초의 현금</t>
  </si>
  <si>
    <t>G11000</t>
  </si>
  <si>
    <t>G11010</t>
  </si>
  <si>
    <t>기초의 현금(Value)</t>
  </si>
  <si>
    <t>H10000</t>
  </si>
  <si>
    <t>기말의 현금</t>
  </si>
  <si>
    <t>H11000</t>
  </si>
  <si>
    <t>H11010</t>
  </si>
  <si>
    <t>기말의 현금(Value)</t>
  </si>
  <si>
    <t>I10000</t>
  </si>
  <si>
    <t>매각예정자산에 포함된 현금및현금성자산</t>
  </si>
  <si>
    <t>I11000</t>
  </si>
  <si>
    <t>I11010</t>
  </si>
  <si>
    <t>매각예정자산에 포함된 현금및현금성자산(Value)</t>
  </si>
  <si>
    <t>환불부채</t>
  </si>
  <si>
    <t>환불자산</t>
  </si>
  <si>
    <t>111111</t>
  </si>
  <si>
    <t>현금(외화)</t>
  </si>
  <si>
    <t>현금(원화)</t>
  </si>
  <si>
    <t>111131</t>
  </si>
  <si>
    <t>124500</t>
  </si>
  <si>
    <t>220000</t>
  </si>
  <si>
    <t>231100</t>
  </si>
  <si>
    <t>350100</t>
  </si>
  <si>
    <t>해외사업환산대</t>
  </si>
  <si>
    <t>해외사업환산차</t>
  </si>
  <si>
    <t>350560</t>
  </si>
  <si>
    <t>350630</t>
  </si>
  <si>
    <t>350900</t>
  </si>
  <si>
    <t>350910</t>
  </si>
  <si>
    <t>340100</t>
  </si>
  <si>
    <t>340300</t>
  </si>
  <si>
    <t>소송충당부채전입액</t>
  </si>
  <si>
    <t>공기구의 취득</t>
  </si>
  <si>
    <t>비품의 취득</t>
  </si>
  <si>
    <t>금형의 취득</t>
  </si>
  <si>
    <t>소트웨어의 취득</t>
  </si>
  <si>
    <t>CFSItemCod_Upload</t>
  </si>
  <si>
    <t>정산표 CODE</t>
  </si>
  <si>
    <t>A12400_1</t>
  </si>
  <si>
    <t>A12400_2</t>
  </si>
  <si>
    <t>B12300_1</t>
  </si>
  <si>
    <t>B12300_2</t>
  </si>
  <si>
    <t>B12300_3</t>
  </si>
  <si>
    <t>B12430_1</t>
  </si>
  <si>
    <t>B12430_2</t>
  </si>
  <si>
    <t>C12080_1</t>
  </si>
  <si>
    <t>C12080_2</t>
  </si>
  <si>
    <t>임차보증금의 증가</t>
  </si>
  <si>
    <t>임차보증금의 감소</t>
  </si>
  <si>
    <t>B11080_1</t>
  </si>
  <si>
    <t>B11080_2</t>
  </si>
  <si>
    <t>기타보증금의 감소</t>
  </si>
  <si>
    <t>공기구의 처분</t>
  </si>
  <si>
    <t>비품의 처분</t>
  </si>
  <si>
    <t>금형의 처분</t>
  </si>
  <si>
    <t>B11300_1</t>
  </si>
  <si>
    <t>B11300_2</t>
  </si>
  <si>
    <t>B11300_3</t>
  </si>
  <si>
    <t>소프트웨어의 처분</t>
  </si>
  <si>
    <t>B11410_1</t>
  </si>
  <si>
    <t>B11410_2</t>
  </si>
  <si>
    <t>SMMC JP Scope - in</t>
  </si>
  <si>
    <t>영업활동</t>
  </si>
  <si>
    <t>투자활동</t>
  </si>
  <si>
    <t>재무활동</t>
  </si>
  <si>
    <t>과               목</t>
  </si>
  <si>
    <t>Ⅰ.영업활동으로 인한 현금흐름</t>
  </si>
  <si>
    <t>1. 영업에서 창출된 현금흐름</t>
  </si>
  <si>
    <t> (1) 당기순손실</t>
  </si>
  <si>
    <t> (2) 수익ㆍ비용의 조정</t>
  </si>
  <si>
    <t>    퇴직급여</t>
  </si>
  <si>
    <t>    감가상각비</t>
  </si>
  <si>
    <t>    무형자산상각비</t>
  </si>
  <si>
    <t>    대손상각비(환입액)</t>
  </si>
  <si>
    <t>    반품충당부채전입액</t>
  </si>
  <si>
    <t>    판매보증충당부채전입액</t>
  </si>
  <si>
    <t>    복구충당부채전입액(환입액)</t>
  </si>
  <si>
    <t>    재고자산평가손실</t>
  </si>
  <si>
    <t>    이자비용</t>
  </si>
  <si>
    <t>    외화환산손실</t>
  </si>
  <si>
    <t>    유형자산손상차손</t>
  </si>
  <si>
    <t>    무형자산손상차손</t>
  </si>
  <si>
    <t>    유형자산처분손실</t>
  </si>
  <si>
    <t>    종속기업투자주식손상차손</t>
  </si>
  <si>
    <t>    이자수익</t>
  </si>
  <si>
    <t>    외화환산이익</t>
  </si>
  <si>
    <t>    당기손익인식금융자산평가이익</t>
  </si>
  <si>
    <t>    당기손익-공정가치측정 금융자산평가이익</t>
  </si>
  <si>
    <t>    당기손익-공정가치측정 금융자산처분이익</t>
  </si>
  <si>
    <t>    당기손익-공정가치측정 금융자산평가손실</t>
  </si>
  <si>
    <t>    유형자산처분이익</t>
  </si>
  <si>
    <t>    무형자산처분이익</t>
  </si>
  <si>
    <t> (3) 영업활동으로 인한 자산ㆍ부채의 변동</t>
  </si>
  <si>
    <t>    매출채권의 증가</t>
  </si>
  <si>
    <t>    기타채권의 감소(증가)</t>
  </si>
  <si>
    <t>    기타유동자산의 감소(증가)</t>
  </si>
  <si>
    <t>    재고자산의 증가</t>
  </si>
  <si>
    <t>    매입채무의 증가</t>
  </si>
  <si>
    <t>    기타채무의 감소</t>
  </si>
  <si>
    <t>    기타유동부채의 증가(감소)</t>
  </si>
  <si>
    <t>    기타비유동부채의 증가(감소)</t>
  </si>
  <si>
    <t>    순확정급여부채의 감소</t>
  </si>
  <si>
    <t>2. 이자의 수취</t>
  </si>
  <si>
    <t>3. 이자의 지급</t>
  </si>
  <si>
    <t>4. 법인세의 납부</t>
  </si>
  <si>
    <t>Ⅱ.투자활동으로 인한 현금흐름</t>
  </si>
  <si>
    <t> (1) 투자활동으로 인한 현금유입액</t>
  </si>
  <si>
    <t>      단기대여금의 감소</t>
  </si>
  <si>
    <t>      임차보증금의 감소</t>
  </si>
  <si>
    <t>      기타보증금의 감소</t>
  </si>
  <si>
    <t>      당기손익인식금융자산의 감소</t>
  </si>
  <si>
    <t>      당기손익-공정가치측정 금융자산의 감소</t>
  </si>
  <si>
    <t>      유형자산의 처분</t>
  </si>
  <si>
    <t>      무형자산의 처분</t>
  </si>
  <si>
    <t>      합병으로 인한 현금유입액</t>
  </si>
  <si>
    <t> (2) 투자활동으로인한 현금유출액</t>
  </si>
  <si>
    <t>      단기대여금의 증가</t>
  </si>
  <si>
    <t>      임차보증금의 증가</t>
  </si>
  <si>
    <t>      당기손익인식금융자산의 증가</t>
  </si>
  <si>
    <t>      당기손익-공정가치측정 금융자산의 증가</t>
  </si>
  <si>
    <t>      종속기업 및 관계기업투자주식의 증가</t>
  </si>
  <si>
    <t>      유형자산의 취득</t>
  </si>
  <si>
    <t>      무형자산의 취득</t>
  </si>
  <si>
    <t>Ⅲ.재무활동으로 인한 현금흐름</t>
  </si>
  <si>
    <t> (1) 재무활동으로 인한 현금유입액</t>
  </si>
  <si>
    <t>      유상증자</t>
  </si>
  <si>
    <t> (2) 재무활동으로 인한 현금유출액</t>
  </si>
  <si>
    <t>      자기주식의 취득</t>
  </si>
  <si>
    <t>Ⅳ.현금및현금성자산의 증가(Ⅰ+Ⅱ+Ⅲ)</t>
  </si>
  <si>
    <t>Ⅴ.기초의 현금및현금성자산</t>
  </si>
  <si>
    <t>Ⅵ.외화표시 현금및현금성자산의 환율변동효과</t>
  </si>
  <si>
    <t>Ⅶ.기말의 현금및현금성자산</t>
  </si>
  <si>
    <t>FY2017</t>
  </si>
  <si>
    <t>당기순손실</t>
  </si>
  <si>
    <t>반품충당부채전입액</t>
  </si>
  <si>
    <t>판매보증충당부채전입액</t>
  </si>
  <si>
    <t>대손상각비(환입액)</t>
  </si>
  <si>
    <t>복구충당부채전입액(환입액)</t>
  </si>
  <si>
    <t>당기손익-공정가치측정 금융자산평가이익</t>
  </si>
  <si>
    <t>당기손익-공정가치측정 금융자산처분이익</t>
  </si>
  <si>
    <t>당기손익-공정가치측정 금융자산평가손실</t>
  </si>
  <si>
    <t>(3) 영업활동으로 인한 자산ㆍ부채의 변동</t>
  </si>
  <si>
    <t>매출채권의 증가</t>
  </si>
  <si>
    <t>기타채권의 감소(증가)</t>
  </si>
  <si>
    <t>기타유동자산의 감소(증가)</t>
  </si>
  <si>
    <t>재고자산의 증가</t>
  </si>
  <si>
    <t>매입채무의 증가</t>
  </si>
  <si>
    <t>기타채무의 감소</t>
  </si>
  <si>
    <t>기타유동부채의 증가(감소)</t>
  </si>
  <si>
    <t>기타비유동부채의 증가(감소)</t>
  </si>
  <si>
    <t>순확정급여부채의 감소</t>
  </si>
  <si>
    <t>(1) 투자활동으로 인한 현금유입액</t>
  </si>
  <si>
    <t>단기대여금의 감소</t>
  </si>
  <si>
    <t>당기손익인식금융자산의 감소</t>
  </si>
  <si>
    <t>당기손익-공정가치측정 금융자산의 감소</t>
  </si>
  <si>
    <t>유형자산의 처분</t>
  </si>
  <si>
    <t>무형자산의 처분</t>
  </si>
  <si>
    <t>합병으로 인한 현금유입액</t>
  </si>
  <si>
    <t>(2) 투자활동으로인한 현금유출액</t>
  </si>
  <si>
    <t>당기손익인식금융자산의 증가</t>
  </si>
  <si>
    <t>당기손익-공정가치측정 금융자산의 증가</t>
  </si>
  <si>
    <t>종속기업 및 관계기업투자주식의 증가</t>
  </si>
  <si>
    <t>유형자산의 취득</t>
  </si>
  <si>
    <t>무형자산의 취득</t>
  </si>
  <si>
    <t>(1) 재무활동으로 인한 현금유입액</t>
  </si>
  <si>
    <t>(2) 재무활동으로 인한 현금유출액</t>
  </si>
  <si>
    <t>A12400_3</t>
  </si>
  <si>
    <t>A12400_4</t>
  </si>
  <si>
    <t>당기손익-공정가치측정 금융자산처분손실</t>
  </si>
  <si>
    <t>Scope조정</t>
  </si>
  <si>
    <t>연결NI조정</t>
  </si>
  <si>
    <t>내부거래조정</t>
  </si>
  <si>
    <t>Event조정</t>
  </si>
  <si>
    <t>Etc</t>
  </si>
  <si>
    <t>Scope 조정</t>
  </si>
  <si>
    <t>연결 TB</t>
  </si>
  <si>
    <t>조정</t>
  </si>
  <si>
    <t>CF_기초현금</t>
  </si>
  <si>
    <t>내역</t>
  </si>
  <si>
    <t>금액</t>
  </si>
  <si>
    <t>1.0. 기초현금</t>
  </si>
  <si>
    <t>2.0. 기말현금</t>
  </si>
  <si>
    <t>연결NI 조정</t>
  </si>
  <si>
    <t>1.0. 공정가조정</t>
  </si>
  <si>
    <t>조정합계</t>
  </si>
  <si>
    <t>연결CF</t>
  </si>
  <si>
    <t>Event 조정</t>
  </si>
  <si>
    <t>1.0. 채권채무조정</t>
  </si>
  <si>
    <t>2.0. 수익비용조정</t>
  </si>
  <si>
    <t>2.0. 미실현손익</t>
  </si>
  <si>
    <t>3.0. 자금거래조정</t>
  </si>
  <si>
    <t>From</t>
  </si>
  <si>
    <t>To</t>
  </si>
  <si>
    <t>SMMC</t>
  </si>
  <si>
    <t>Groovers Jp</t>
  </si>
  <si>
    <t>관계기업투자주식처분이익</t>
  </si>
  <si>
    <t>    법인세비용</t>
  </si>
  <si>
    <t>    무형자산처분손실</t>
  </si>
  <si>
    <t>기타보증금의 증가</t>
  </si>
  <si>
    <t>      기타보증금의 증가</t>
  </si>
  <si>
    <t>사업양수에 따른 지급</t>
  </si>
  <si>
    <t>      사업양수에 따른 지급</t>
  </si>
  <si>
    <t>종속기업 취득에 따른 순현금흐름</t>
  </si>
  <si>
    <t>      종속기업 취득에 따른 순현금흐름</t>
  </si>
  <si>
    <t>      단기차입금의 상환</t>
  </si>
  <si>
    <t>과                        목</t>
  </si>
  <si>
    <t>(2) 수익ㆍ비용의 조정</t>
  </si>
  <si>
    <t>    지분법손실</t>
  </si>
  <si>
    <t>회계연도</t>
  </si>
  <si>
    <t>전기기간</t>
  </si>
  <si>
    <t>연결단위</t>
  </si>
  <si>
    <t>CFSItemCod</t>
  </si>
  <si>
    <t>현지통화</t>
  </si>
  <si>
    <t>T198</t>
    <phoneticPr fontId="2" type="noConversion"/>
  </si>
  <si>
    <t>KRW</t>
    <phoneticPr fontId="2" type="noConversion"/>
  </si>
  <si>
    <t>현금의 유출이 없는 비용등의 가산</t>
    <phoneticPr fontId="2" type="noConversion"/>
  </si>
  <si>
    <t>A12080</t>
  </si>
  <si>
    <t>매도가능증권처분손실</t>
  </si>
  <si>
    <t>A12090</t>
  </si>
  <si>
    <t>매도가능증권손상차손</t>
  </si>
  <si>
    <t>부채성충당금전입액</t>
  </si>
  <si>
    <t>A12520</t>
    <phoneticPr fontId="2" type="noConversion"/>
  </si>
  <si>
    <t>확정계약평가손실</t>
    <phoneticPr fontId="2" type="noConversion"/>
  </si>
  <si>
    <t>기타 현금의 유출이 없는 비용등</t>
  </si>
  <si>
    <t>A13040</t>
  </si>
  <si>
    <t>매도가능증권처분이익</t>
  </si>
  <si>
    <t>A13050</t>
  </si>
  <si>
    <t>매도가능증권손상차손환입</t>
  </si>
  <si>
    <t>A13390</t>
    <phoneticPr fontId="2" type="noConversion"/>
  </si>
  <si>
    <t>배당수익</t>
    <phoneticPr fontId="2" type="noConversion"/>
  </si>
  <si>
    <t>A13400</t>
    <phoneticPr fontId="2" type="noConversion"/>
  </si>
  <si>
    <t>기타 현금의 유입이 없는 수익등</t>
  </si>
  <si>
    <t>영업활동으로 인한 자산부채의 변동</t>
    <phoneticPr fontId="2" type="noConversion"/>
  </si>
  <si>
    <t>단기매매증권의 감소(증가)</t>
  </si>
  <si>
    <t>A14420</t>
    <phoneticPr fontId="2" type="noConversion"/>
  </si>
  <si>
    <t>영업활동 관련 파생상품의 감소(증가)</t>
    <phoneticPr fontId="2" type="noConversion"/>
  </si>
  <si>
    <t>A14430</t>
    <phoneticPr fontId="2" type="noConversion"/>
  </si>
  <si>
    <t>차량운반구(영업활동용)의 취득</t>
    <phoneticPr fontId="2" type="noConversion"/>
  </si>
  <si>
    <t>A14440</t>
    <phoneticPr fontId="2" type="noConversion"/>
  </si>
  <si>
    <t>차량운반구(영업활동용)의 처분</t>
    <phoneticPr fontId="2" type="noConversion"/>
  </si>
  <si>
    <t>B11120</t>
    <phoneticPr fontId="2" type="noConversion"/>
  </si>
  <si>
    <t>B11130</t>
  </si>
  <si>
    <t>매도가능증권의 처분</t>
  </si>
  <si>
    <t>관계기업투자주식의 처분</t>
  </si>
  <si>
    <t>공기구비품의 처분</t>
  </si>
  <si>
    <t>B12120</t>
    <phoneticPr fontId="2" type="noConversion"/>
  </si>
  <si>
    <t>B12130</t>
  </si>
  <si>
    <t>매도가능증권의 취득</t>
  </si>
  <si>
    <t>관계기업투자주식의 취득</t>
  </si>
  <si>
    <t>공기구비품의 취득</t>
  </si>
  <si>
    <t>선급금-고정자산</t>
  </si>
  <si>
    <t>C11190</t>
    <phoneticPr fontId="2" type="noConversion"/>
  </si>
  <si>
    <t>신종자본증권의 발행</t>
    <phoneticPr fontId="2" type="noConversion"/>
  </si>
  <si>
    <t>배당의 지급</t>
  </si>
  <si>
    <t>C12170</t>
    <phoneticPr fontId="2" type="noConversion"/>
  </si>
  <si>
    <t>신종자본증권의 상환</t>
    <phoneticPr fontId="2" type="noConversion"/>
  </si>
  <si>
    <t>중단사업관련 현금흐름</t>
  </si>
  <si>
    <t>중단사업관련 현금흐름(Value)</t>
  </si>
  <si>
    <t>DIFF'</t>
  </si>
  <si>
    <t>Upload</t>
  </si>
  <si>
    <t>LocalAmount</t>
  </si>
  <si>
    <t>FN0020</t>
  </si>
  <si>
    <t>[재고자산] 재고자산 내역</t>
  </si>
  <si>
    <t>Fiscal Year</t>
  </si>
  <si>
    <t>Month</t>
  </si>
  <si>
    <t>ConsUnit</t>
  </si>
  <si>
    <t>FN Item Code</t>
  </si>
  <si>
    <t>FN Item Name</t>
  </si>
  <si>
    <t>LC</t>
  </si>
  <si>
    <t>취득원가</t>
  </si>
  <si>
    <t>장부금액 (1)</t>
  </si>
  <si>
    <t>평가손실충당금 (2)</t>
  </si>
  <si>
    <t>2019</t>
  </si>
  <si>
    <t>FN0020-001</t>
  </si>
  <si>
    <t>FN0020-002</t>
  </si>
  <si>
    <t>부재료</t>
  </si>
  <si>
    <t>FN0020-003</t>
  </si>
  <si>
    <t>저장품</t>
  </si>
  <si>
    <t>FN0020-004</t>
  </si>
  <si>
    <t>반제품</t>
  </si>
  <si>
    <t>FN0020-005</t>
  </si>
  <si>
    <t>FN0020-006</t>
  </si>
  <si>
    <t>FN0020-007</t>
  </si>
  <si>
    <t>FN0020-008</t>
  </si>
  <si>
    <t>미성공사</t>
  </si>
  <si>
    <t>FN0020-009</t>
  </si>
  <si>
    <t>FN0020-010</t>
  </si>
  <si>
    <t>06</t>
  </si>
  <si>
    <t>2018년 중 관계기업에서 종속기업으로 / 2019년 3월 1일자로 드림어스컴퍼니에 흡수합병됨</t>
  </si>
  <si>
    <t>SCOPE-OUT</t>
  </si>
  <si>
    <t>1,2월</t>
  </si>
  <si>
    <t>아이리버 &gt; LDC 하향판매</t>
  </si>
  <si>
    <t>그루버스합병</t>
  </si>
  <si>
    <t>NEW</t>
  </si>
  <si>
    <t>224000</t>
  </si>
  <si>
    <t>미지급비용현재가치할인차금</t>
  </si>
  <si>
    <t>매입채무및기타채무(비유동)</t>
  </si>
  <si>
    <t>미지급비용(비유동_원화)</t>
  </si>
  <si>
    <t>미지급비용(비유동)현재가치할인차금</t>
  </si>
  <si>
    <t>231710</t>
  </si>
  <si>
    <t>231800</t>
  </si>
  <si>
    <t>DONE.</t>
  </si>
  <si>
    <t>410270</t>
  </si>
  <si>
    <t>반품추정매출</t>
  </si>
  <si>
    <t>733900</t>
  </si>
  <si>
    <t>622500</t>
  </si>
  <si>
    <t>732920</t>
  </si>
  <si>
    <t xml:space="preserve"> 유형자산폐기손실</t>
  </si>
  <si>
    <t>단기차입금(외화)</t>
  </si>
  <si>
    <t>BS신설12</t>
  </si>
  <si>
    <t>단기대여금(외화)</t>
  </si>
  <si>
    <t>기부금</t>
  </si>
  <si>
    <t>거래처코드</t>
  </si>
  <si>
    <t>거래처명</t>
  </si>
  <si>
    <t>계정코드</t>
  </si>
  <si>
    <t>사업자등록번호</t>
  </si>
  <si>
    <t>전일잔액</t>
  </si>
  <si>
    <t>차변금액</t>
  </si>
  <si>
    <t>대변금액</t>
  </si>
  <si>
    <t>당일잔액</t>
  </si>
  <si>
    <t>00314</t>
  </si>
  <si>
    <t>112900</t>
  </si>
  <si>
    <t>220-81-77868</t>
  </si>
  <si>
    <t>01640</t>
  </si>
  <si>
    <t>Iriver Enterprise Limited</t>
  </si>
  <si>
    <t>111731</t>
  </si>
  <si>
    <t>--</t>
  </si>
  <si>
    <t>01750</t>
  </si>
  <si>
    <t>IRIVER CHINA CO.,LTD</t>
  </si>
  <si>
    <t>211121</t>
  </si>
  <si>
    <t>111-11-11111</t>
  </si>
  <si>
    <t>01751</t>
  </si>
  <si>
    <t>213150</t>
  </si>
  <si>
    <t>410130</t>
  </si>
  <si>
    <t>410140</t>
  </si>
  <si>
    <t>410240</t>
  </si>
  <si>
    <t>410241</t>
  </si>
  <si>
    <t>A08002</t>
  </si>
  <si>
    <t>Groovers Japan</t>
  </si>
  <si>
    <t>111711</t>
  </si>
  <si>
    <t>112113</t>
  </si>
  <si>
    <t>A09021</t>
  </si>
  <si>
    <t>e</t>
  </si>
  <si>
    <t>v1.0</t>
  </si>
  <si>
    <t>7/3/2019</t>
  </si>
  <si>
    <t>아이리버</t>
  </si>
  <si>
    <t>c/p</t>
  </si>
  <si>
    <t>미수금(외화)</t>
  </si>
  <si>
    <t>BS신설9</t>
  </si>
  <si>
    <t>해외사업환산차대 변동</t>
  </si>
  <si>
    <t>장기미지급비용</t>
  </si>
  <si>
    <t>사용권자산(건물_감가상각누계액)</t>
  </si>
  <si>
    <t>사용권자산(차량운반구_감가상각누계액)</t>
  </si>
  <si>
    <t>유동성리스부채</t>
  </si>
  <si>
    <t>리스부채</t>
  </si>
  <si>
    <t>자본조정-주식선택권</t>
  </si>
  <si>
    <t>부가가치세_매입</t>
  </si>
  <si>
    <t>부가가치세_매출</t>
  </si>
  <si>
    <t>기부금-기타기부금</t>
  </si>
  <si>
    <t>감가상각비(사용권자산_건물)</t>
  </si>
  <si>
    <t>감가상각비(사용권자산_차량운반구)</t>
  </si>
  <si>
    <t>이자비용(유동리스부채)</t>
  </si>
  <si>
    <t>그루버스_미실현손익 실현</t>
  </si>
  <si>
    <t>2018년 장부로 fix</t>
  </si>
  <si>
    <t>2018년 말 까지 환산한 결과 장부가액을 기준으로 잔여 내용연수 동안 상각 (KRW FIX)</t>
  </si>
  <si>
    <t>자본변동상세내역</t>
  </si>
  <si>
    <t>주식선택권의 행사</t>
  </si>
  <si>
    <t>주식선택권의 소멸</t>
  </si>
  <si>
    <t>자기주식의 취득/처분</t>
  </si>
  <si>
    <t>전환사채의 전환</t>
  </si>
  <si>
    <t>사업결합</t>
  </si>
  <si>
    <t>해외사업환산</t>
  </si>
  <si>
    <t>연결순이익</t>
  </si>
  <si>
    <t>배당금의지급</t>
  </si>
  <si>
    <t>기타포괄손익-재측정손익</t>
  </si>
  <si>
    <t>기타포괄손익-공정가치 측정 금융자산의 처분</t>
  </si>
  <si>
    <t>취득/처분</t>
  </si>
  <si>
    <t>사업결합 등</t>
  </si>
  <si>
    <t>2018.12.31</t>
  </si>
  <si>
    <t>2019.06.30</t>
  </si>
  <si>
    <t>별도</t>
  </si>
  <si>
    <t>Reclass</t>
  </si>
  <si>
    <t>기초조정</t>
  </si>
  <si>
    <t>취득</t>
  </si>
  <si>
    <t>처분</t>
  </si>
  <si>
    <t>지분법NI</t>
  </si>
  <si>
    <t>해외사업환산손익</t>
  </si>
  <si>
    <t>지분변동차액</t>
  </si>
  <si>
    <t>배당</t>
  </si>
  <si>
    <t>Other</t>
  </si>
  <si>
    <t>투자자본상계</t>
  </si>
  <si>
    <t>별도_그루버스</t>
  </si>
  <si>
    <t>별도_영업양수</t>
  </si>
  <si>
    <t>Val.</t>
  </si>
  <si>
    <t>change.</t>
  </si>
  <si>
    <t>CB전환권행사</t>
  </si>
  <si>
    <t>지배기업주식보상비용</t>
  </si>
  <si>
    <t>해외사업</t>
  </si>
  <si>
    <t>연결당기순이익</t>
  </si>
  <si>
    <t>검증</t>
  </si>
  <si>
    <t>과     목</t>
  </si>
  <si>
    <t>지배기업 소유주지분</t>
  </si>
  <si>
    <t>비지배지분</t>
  </si>
  <si>
    <t>자 본 금</t>
  </si>
  <si>
    <t>결손금</t>
  </si>
  <si>
    <t>소계</t>
  </si>
  <si>
    <t>총포괄손익:</t>
  </si>
  <si>
    <t> 확정급여제도의 재측정요소</t>
  </si>
  <si>
    <t> 해외사업장환산외환차이</t>
  </si>
  <si>
    <t>자본에 직접 반영된 소유주와의 거래:</t>
  </si>
  <si>
    <t> 전환사채의 전환</t>
  </si>
  <si>
    <t> 주식보상비용</t>
  </si>
  <si>
    <t>CF_기말현금</t>
  </si>
  <si>
    <t>LDC</t>
  </si>
  <si>
    <t>매출채권및기타채권_유동</t>
  </si>
  <si>
    <t>매출채권및기타채권_비유동</t>
  </si>
  <si>
    <t>리스부채_유동</t>
  </si>
  <si>
    <t>당기법인세부채</t>
  </si>
  <si>
    <t>기타비유동부채</t>
  </si>
  <si>
    <t>리스부채_비유동</t>
  </si>
  <si>
    <t>이연법인세부채_비유동</t>
  </si>
  <si>
    <t>FY2018 Q4</t>
    <phoneticPr fontId="15" type="noConversion"/>
  </si>
  <si>
    <t>FSC</t>
    <phoneticPr fontId="15" type="noConversion"/>
  </si>
  <si>
    <t>주 석</t>
  </si>
  <si>
    <t>제 20 (당)기말</t>
  </si>
  <si>
    <t>자                        산</t>
  </si>
  <si>
    <t>I. 유동자산</t>
  </si>
  <si>
    <t>6,7,8</t>
  </si>
  <si>
    <t>매출채권및기타채권_유동</t>
    <phoneticPr fontId="15" type="noConversion"/>
  </si>
  <si>
    <t>6,7</t>
  </si>
  <si>
    <t>II. 비유동자산</t>
  </si>
  <si>
    <t>매출채권및기타채권_비유동</t>
    <phoneticPr fontId="15" type="noConversion"/>
  </si>
  <si>
    <t>5,10</t>
  </si>
  <si>
    <t>자      산      총      계</t>
  </si>
  <si>
    <t>부                        채</t>
  </si>
  <si>
    <t>I. 유동부채</t>
  </si>
  <si>
    <t>리스부채_유동</t>
    <phoneticPr fontId="15" type="noConversion"/>
  </si>
  <si>
    <t>리스부채</t>
    <phoneticPr fontId="15" type="noConversion"/>
  </si>
  <si>
    <t>II. 비유동부채</t>
  </si>
  <si>
    <t>비유동금융부채</t>
  </si>
  <si>
    <t>리스부채_비유동</t>
    <phoneticPr fontId="15" type="noConversion"/>
  </si>
  <si>
    <t>부      채      총      계</t>
  </si>
  <si>
    <t>자                        본</t>
  </si>
  <si>
    <t>지배기업소유주에 귀속되는 자본</t>
  </si>
  <si>
    <t>Ⅰ.자본금</t>
  </si>
  <si>
    <t>Ⅱ.자본잉여금</t>
  </si>
  <si>
    <t>Ⅲ.기타자본항목</t>
  </si>
  <si>
    <t>Ⅳ.결손금</t>
  </si>
  <si>
    <t>자      본      총      계</t>
  </si>
  <si>
    <t>부  채  및  자  본  총  계</t>
  </si>
  <si>
    <t>차대검증</t>
    <phoneticPr fontId="15" type="noConversion"/>
  </si>
  <si>
    <t>T_BS 검증</t>
    <phoneticPr fontId="15" type="noConversion"/>
  </si>
  <si>
    <t>주석</t>
  </si>
  <si>
    <t>Ⅰ.매출액</t>
  </si>
  <si>
    <t>Ⅱ.매출원가</t>
  </si>
  <si>
    <t>Ⅲ.매출총이익</t>
  </si>
  <si>
    <t> 판매비와관리비</t>
  </si>
  <si>
    <t>Ⅳ.영업이익(손실)</t>
  </si>
  <si>
    <t> 금융수익</t>
  </si>
  <si>
    <t> 금융비용</t>
  </si>
  <si>
    <t> 기타영업외수익</t>
  </si>
  <si>
    <t>기타영업외비용</t>
    <phoneticPr fontId="15" type="noConversion"/>
  </si>
  <si>
    <t> 기타영업외비용</t>
  </si>
  <si>
    <t>Ⅴ.법인세비용차감전순이익(손실)</t>
  </si>
  <si>
    <t> 법인세비용(수익)</t>
  </si>
  <si>
    <t> 지배기업의 소유주지분</t>
  </si>
  <si>
    <t> 비지배지분</t>
  </si>
  <si>
    <t>VII. 기타포괄손익</t>
  </si>
  <si>
    <t>후속적으로 당기손익으로 재분류되지 않는 포괄손익</t>
  </si>
  <si>
    <t>확정급여제도의 재측정요소</t>
  </si>
  <si>
    <t>후속적으로 당기손익으로 재분류되는 포괄손익　</t>
  </si>
  <si>
    <t>VIII. 총포괄이익(손실)</t>
  </si>
  <si>
    <t>IX. 주당손익</t>
  </si>
  <si>
    <t> 기본주당이익(손실)</t>
  </si>
  <si>
    <t> 희석주당이익(손실)</t>
  </si>
  <si>
    <t>T_IS 검증</t>
    <phoneticPr fontId="15" type="noConversion"/>
  </si>
  <si>
    <t>Note. 2018년 기말 정산표 transition으로 계정 간 mapping이 최종 감사팀 정산표와 다를 수 있음. (FSC Level은 동일)</t>
  </si>
  <si>
    <t xml:space="preserve"> </t>
  </si>
  <si>
    <t>732910</t>
  </si>
  <si>
    <t>전환사채 전환으로 인한 신주발행비</t>
  </si>
  <si>
    <t>유형자산감액손실</t>
  </si>
  <si>
    <t>기타비유동자산의 감소(증가)</t>
  </si>
  <si>
    <t>매출원가포함 상각비</t>
  </si>
  <si>
    <t>매출원가포함</t>
  </si>
  <si>
    <t>    유형자산폐기손실</t>
  </si>
  <si>
    <t>    주식보상비용</t>
  </si>
  <si>
    <t>    기타비유동자산의 감소(증가)</t>
  </si>
  <si>
    <t>리스부채의 원금상환</t>
  </si>
  <si>
    <t>      리스부채의 원금상환</t>
  </si>
  <si>
    <t>      기타재무유출</t>
  </si>
  <si>
    <t>B12080_1</t>
  </si>
  <si>
    <t>임대보증금의 감소</t>
  </si>
  <si>
    <t>      임대보증금의 감소</t>
  </si>
  <si>
    <t>사용금지</t>
  </si>
  <si>
    <t>장기금융상품</t>
  </si>
  <si>
    <t>단기리스료</t>
  </si>
  <si>
    <t>소액리스료</t>
  </si>
  <si>
    <t>111901</t>
  </si>
  <si>
    <t>~2019.08</t>
    <phoneticPr fontId="18" type="noConversion"/>
  </si>
  <si>
    <t>감자</t>
  </si>
  <si>
    <t>선급금(원화_공연기획)</t>
  </si>
  <si>
    <t>선급금(외화_금형)</t>
  </si>
  <si>
    <t>외상매출금(외화_비유동)</t>
  </si>
  <si>
    <t>대손충당금(외상매출금_외화_비유동)</t>
  </si>
  <si>
    <t>장기대여금(외화)</t>
  </si>
  <si>
    <t>임대보증금(비유동)</t>
  </si>
  <si>
    <t>종속기업투자주식처분이익</t>
  </si>
  <si>
    <t>미국법인매각</t>
  </si>
  <si>
    <t>매각대가</t>
  </si>
  <si>
    <t>순자산</t>
  </si>
  <si>
    <t>해외사업환산차대</t>
  </si>
  <si>
    <t>처분이익</t>
  </si>
  <si>
    <t>Change in FY2019 Q3</t>
  </si>
  <si>
    <t>2019 3Q</t>
  </si>
  <si>
    <t>SCOPE-OUT(Aug.)</t>
  </si>
  <si>
    <t>비유동외화외상매출금</t>
  </si>
  <si>
    <t>비유동외화대손충당금(매출채권)</t>
  </si>
  <si>
    <t>712800_1</t>
  </si>
  <si>
    <t>통화</t>
  </si>
  <si>
    <t>기초잔액</t>
  </si>
  <si>
    <t>대손상각비(환율효과)</t>
  </si>
  <si>
    <t>당기제각</t>
  </si>
  <si>
    <t>환입(회수)</t>
  </si>
  <si>
    <t>환입(채무상계)</t>
  </si>
  <si>
    <t>유동성대체</t>
  </si>
  <si>
    <t>원화</t>
  </si>
  <si>
    <t>유동</t>
  </si>
  <si>
    <t>비유동</t>
  </si>
  <si>
    <t>합</t>
  </si>
  <si>
    <t>외화</t>
  </si>
  <si>
    <t xml:space="preserve"> 채무면제이익</t>
  </si>
  <si>
    <t>처분손실</t>
  </si>
  <si>
    <t>처분이익(손실)</t>
  </si>
  <si>
    <t>연결기준 대손충당금 변동</t>
  </si>
  <si>
    <t>채무면제 후 순자산(채무면제이익반영 후)</t>
  </si>
  <si>
    <t>* 매각시점 B/S</t>
  </si>
  <si>
    <t>채무</t>
  </si>
  <si>
    <t>순자산(채무면제이익)</t>
  </si>
  <si>
    <t>당기대손상각비(환입)</t>
  </si>
  <si>
    <t>제각(상계)</t>
  </si>
  <si>
    <t>3.0. 투자주식 관련</t>
  </si>
  <si>
    <t>종속기업 처분에 따른 순현금흐름</t>
  </si>
  <si>
    <t>단수</t>
  </si>
  <si>
    <t>    관계기업투자주식처분손실</t>
  </si>
  <si>
    <t>관계기업투자주식처분손실</t>
  </si>
  <si>
    <t>종속기업투자주식처분손실</t>
  </si>
  <si>
    <t>    종속기업투자주식처분손실</t>
  </si>
  <si>
    <t>      종속기업 처분에 따른 순현금흐름</t>
  </si>
  <si>
    <t>      장기대여금의 증가</t>
  </si>
  <si>
    <t>환율차이조정</t>
  </si>
  <si>
    <t>소송충당부채전입액(환입액)</t>
  </si>
  <si>
    <t>기타유동금융자산의 증가</t>
  </si>
  <si>
    <t>미국법인 B/S</t>
  </si>
  <si>
    <t>&lt;- INC, ICN, G_JP</t>
    <phoneticPr fontId="18" type="noConversion"/>
  </si>
  <si>
    <t>당기손익인식금융자산-기타</t>
  </si>
  <si>
    <t>투자주식처분손실</t>
    <phoneticPr fontId="18" type="noConversion"/>
  </si>
  <si>
    <t>2019년 말</t>
  </si>
  <si>
    <t>2019년 중 매각</t>
  </si>
  <si>
    <t>2019년 12월 중 LDG에 합병</t>
  </si>
  <si>
    <t>비영업용자산</t>
  </si>
  <si>
    <t>이자발생부채</t>
  </si>
  <si>
    <t>고객관계무형자산</t>
  </si>
  <si>
    <t>비교대상장부가액</t>
  </si>
  <si>
    <t>Change in FY2019 Q4</t>
  </si>
  <si>
    <t>손상</t>
  </si>
  <si>
    <t>112112</t>
  </si>
  <si>
    <t>대손충당금(미수금_원화)</t>
  </si>
  <si>
    <t>214999</t>
  </si>
  <si>
    <t>214998</t>
  </si>
  <si>
    <t>선수수익(외화_기타)</t>
  </si>
  <si>
    <t>선수수익(원화_기타)</t>
  </si>
  <si>
    <t>733260</t>
  </si>
  <si>
    <t>매각</t>
  </si>
  <si>
    <t>LDC에합병</t>
  </si>
  <si>
    <t>아이리버에합병</t>
  </si>
  <si>
    <t>2019.12.31</t>
  </si>
  <si>
    <t>손상차손</t>
  </si>
  <si>
    <t>:</t>
  </si>
  <si>
    <t>별도 - 미국법인 대손 충당금 변동(3분기)</t>
  </si>
  <si>
    <t>별도 - 미국법인 대손 충당금 변동(4분기)</t>
  </si>
  <si>
    <t>SCOPE-OUT(Dec.)</t>
  </si>
  <si>
    <t>전기말 현재 미실현 대손충당금 R/F</t>
  </si>
  <si>
    <t>당기 연결실체 내부거래로 인식한 대손상각비를 취소</t>
  </si>
  <si>
    <t>미국법인의 채무면제이익 처분손익 반영</t>
  </si>
  <si>
    <t>diff</t>
  </si>
  <si>
    <t>회수가능가액</t>
  </si>
  <si>
    <t>비교대상장부가액 : 12/31/2019 (LDC only)</t>
  </si>
  <si>
    <t>410260</t>
  </si>
  <si>
    <t>상품매출할인및에누리(수출)</t>
  </si>
  <si>
    <t>20194Q</t>
  </si>
  <si>
    <t>수정필요</t>
  </si>
  <si>
    <t>new</t>
  </si>
  <si>
    <t>제거 대상</t>
  </si>
  <si>
    <t>112300</t>
  </si>
  <si>
    <t>410610</t>
  </si>
  <si>
    <t>FY2019 Q4</t>
  </si>
  <si>
    <t>영업권손상차손</t>
  </si>
  <si>
    <t>A12600_1</t>
  </si>
  <si>
    <t>2018.1.1(전기초)</t>
  </si>
  <si>
    <t> 당기순이익</t>
  </si>
  <si>
    <t>2018.12.31(전기말)</t>
  </si>
  <si>
    <t>2019.1.1(당기초)</t>
  </si>
  <si>
    <t>    기타의대손상각비(환입액)</t>
  </si>
  <si>
    <t>기타의대손상각비(환입액)</t>
  </si>
  <si>
    <t>FY2019</t>
  </si>
  <si>
    <t>FY2018</t>
  </si>
  <si>
    <t>(1) 당기순이익(손실)</t>
  </si>
  <si>
    <t>FY2018 Q4</t>
  </si>
  <si>
    <t>      단기차입금의 차입</t>
  </si>
  <si>
    <t>113100</t>
  </si>
  <si>
    <t>113101</t>
  </si>
  <si>
    <t>115100</t>
  </si>
  <si>
    <t>115400</t>
  </si>
  <si>
    <t>124300</t>
  </si>
  <si>
    <t>124400</t>
  </si>
  <si>
    <t>219000</t>
  </si>
  <si>
    <t>01609</t>
  </si>
  <si>
    <t>DongGuan Iriver Electronics Co.,Ltd</t>
  </si>
  <si>
    <t>01642</t>
  </si>
  <si>
    <t>Iriver HongKong Ltd.</t>
  </si>
  <si>
    <t>115300</t>
  </si>
  <si>
    <t>115800</t>
  </si>
  <si>
    <t>계정과목</t>
    <phoneticPr fontId="18" type="noConversion"/>
  </si>
  <si>
    <t xml:space="preserve">2020년 1월 12일 </t>
  </si>
  <si>
    <t>LDC 감사 후 재무제표 반영</t>
  </si>
  <si>
    <t>현금및현금성자산(LDC only)</t>
  </si>
  <si>
    <t>순자산(LDC only)</t>
  </si>
  <si>
    <t>LDC 결산 후</t>
  </si>
  <si>
    <t>영업가치(평가보고서 민감도분석)</t>
  </si>
  <si>
    <t>121805**</t>
  </si>
  <si>
    <t>장기미수금</t>
  </si>
  <si>
    <t>미수금계정대체</t>
  </si>
  <si>
    <t>장기미수금계정대체</t>
  </si>
  <si>
    <t>기타비유동채권의 감소(증가)</t>
  </si>
  <si>
    <t xml:space="preserve">    기타비유동채권의 감소(증가)</t>
  </si>
  <si>
    <t>미수금(원화_금융자산)</t>
  </si>
  <si>
    <t>회사업로드</t>
  </si>
  <si>
    <t>임차보증금(유동)</t>
    <phoneticPr fontId="18" type="noConversion"/>
  </si>
  <si>
    <t>대여금(외화)</t>
    <phoneticPr fontId="18" type="noConversion"/>
  </si>
  <si>
    <t>대손충당금(미수금)</t>
  </si>
  <si>
    <t>제 21 (당)기말</t>
    <phoneticPr fontId="15" type="noConversion"/>
  </si>
  <si>
    <t>종속기업 및 관계기업 투자 관련 손익</t>
  </si>
  <si>
    <t xml:space="preserve"> 종속기업 및 관계기업 투자 관련 손익</t>
    <phoneticPr fontId="18" type="noConversion"/>
  </si>
  <si>
    <t>Ⅵ.당기순이익(손실)</t>
    <phoneticPr fontId="18" type="noConversion"/>
  </si>
  <si>
    <t> 당기순이익</t>
    <phoneticPr fontId="18" type="noConversion"/>
  </si>
  <si>
    <t>장기선급금</t>
  </si>
  <si>
    <t>NEW</t>
    <phoneticPr fontId="18" type="noConversion"/>
  </si>
  <si>
    <t>기타비유동자산의 증가</t>
    <phoneticPr fontId="18" type="noConversion"/>
  </si>
  <si>
    <t>      기타비유동자산의 증가</t>
    <phoneticPr fontId="18" type="noConversion"/>
  </si>
  <si>
    <t>NI</t>
    <phoneticPr fontId="18" type="noConversion"/>
  </si>
  <si>
    <t>보험수리적손익</t>
    <phoneticPr fontId="18" type="noConversion"/>
  </si>
  <si>
    <t>차이</t>
    <phoneticPr fontId="18" type="noConversion"/>
  </si>
  <si>
    <t>이익잉여금(결손금) 변동</t>
    <phoneticPr fontId="18" type="noConversion"/>
  </si>
  <si>
    <t xml:space="preserve"> 유상증자</t>
    <phoneticPr fontId="18" type="noConversion"/>
  </si>
  <si>
    <t xml:space="preserve"> 합병</t>
    <phoneticPr fontId="18" type="noConversion"/>
  </si>
  <si>
    <t>2019.12.31(당기말)</t>
    <phoneticPr fontId="18" type="noConversion"/>
  </si>
  <si>
    <t>B/S(기초)</t>
    <phoneticPr fontId="18" type="noConversion"/>
  </si>
  <si>
    <t>B/S(기말)</t>
    <phoneticPr fontId="18" type="noConversion"/>
  </si>
  <si>
    <t>FY2018</t>
    <phoneticPr fontId="18" type="noConversion"/>
  </si>
  <si>
    <t>FY2019</t>
    <phoneticPr fontId="18" type="noConversion"/>
  </si>
  <si>
    <t>6,7,27</t>
    <phoneticPr fontId="18" type="noConversion"/>
  </si>
  <si>
    <t>3,5,11,29</t>
    <phoneticPr fontId="18" type="noConversion"/>
  </si>
  <si>
    <t>5,12,27</t>
    <phoneticPr fontId="18" type="noConversion"/>
  </si>
  <si>
    <t>6,7,13,16,27</t>
    <phoneticPr fontId="18" type="noConversion"/>
  </si>
  <si>
    <t>6,7,15,27</t>
    <phoneticPr fontId="18" type="noConversion"/>
  </si>
  <si>
    <t>6,14,27</t>
    <phoneticPr fontId="18" type="noConversion"/>
  </si>
  <si>
    <t>3,6,7,29</t>
    <phoneticPr fontId="18" type="noConversion"/>
  </si>
  <si>
    <t>6,7,13</t>
  </si>
  <si>
    <t>1,17</t>
  </si>
  <si>
    <t>18,20</t>
  </si>
  <si>
    <t>5,27</t>
  </si>
  <si>
    <t>9,22,27</t>
  </si>
  <si>
    <t>21,22,27</t>
  </si>
  <si>
    <t>6,27</t>
  </si>
  <si>
    <t>가중평균유통보통주식수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</si>
</sst>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#,###;[Red]\(#,###\);\-"/>
    <numFmt numFmtId="177" formatCode="_-* #,##0.0000_-;\-* #,##0.0000_-;_-* &quot;-&quot;_-;_-@_-"/>
    <numFmt numFmtId="178" formatCode="#,###.000;[Red]\(#,###.000\);\-"/>
    <numFmt numFmtId="179" formatCode="###,###,###,###"/>
    <numFmt numFmtId="180" formatCode="_-* #,##0.000000_-;\-* #,##0.000000_-;_-* &quot;-&quot;_-;_-@_-"/>
    <numFmt numFmtId="181" formatCode="#,##0;[Red]\(#,##0\);\-"/>
    <numFmt numFmtId="182" formatCode="#,###.00;[Red]\(#,###.00\);\-"/>
    <numFmt numFmtId="183" formatCode="0_);[Red]\(0\)"/>
  </numFmts>
  <fonts count="3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함초롬돋움"/>
      <family val="3"/>
      <charset val="129"/>
    </font>
    <font>
      <b/>
      <sz val="9"/>
      <color theme="1"/>
      <name val="함초롬돋움"/>
      <family val="3"/>
      <charset val="129"/>
    </font>
    <font>
      <b/>
      <sz val="9"/>
      <color theme="0"/>
      <name val="함초롬돋움"/>
      <family val="3"/>
      <charset val="129"/>
    </font>
    <font>
      <sz val="11"/>
      <color theme="1"/>
      <name val="맑은 고딕"/>
      <family val="2"/>
      <scheme val="minor"/>
    </font>
    <font>
      <b/>
      <sz val="11"/>
      <color rgb="FF3F3F3F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9"/>
      <color rgb="FFC00000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rgb="FFC00000"/>
      <name val="함초롬돋움"/>
      <family val="3"/>
      <charset val="129"/>
    </font>
    <font>
      <b/>
      <sz val="9"/>
      <name val="함초롬돋움"/>
      <family val="3"/>
      <charset val="129"/>
    </font>
    <font>
      <sz val="9"/>
      <name val="함초롬돋움"/>
      <family val="3"/>
      <charset val="129"/>
    </font>
    <font>
      <sz val="9"/>
      <color indexed="9"/>
      <name val="함초롬돋움"/>
      <family val="3"/>
      <charset val="129"/>
    </font>
    <font>
      <sz val="9"/>
      <color indexed="8"/>
      <name val="함초롬돋움"/>
      <family val="3"/>
      <charset val="129"/>
    </font>
    <font>
      <b/>
      <sz val="9"/>
      <color theme="0" tint="-4.9989318521683403E-2"/>
      <name val="함초롬돋움"/>
      <family val="3"/>
      <charset val="129"/>
    </font>
    <font>
      <sz val="8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theme="0" tint="-4.9989318521683403E-2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 tint="0.14999847407452621"/>
      <name val="맑은 고딕"/>
      <family val="3"/>
      <charset val="129"/>
    </font>
    <font>
      <sz val="9"/>
      <color rgb="FFC00000"/>
      <name val="맑은 고딕"/>
      <family val="3"/>
      <charset val="129"/>
    </font>
    <font>
      <sz val="9"/>
      <color indexed="9"/>
      <name val="굴림체"/>
      <family val="3"/>
      <charset val="129"/>
    </font>
    <font>
      <sz val="9"/>
      <color rgb="FFFF0000"/>
      <name val="맑은 고딕"/>
      <family val="3"/>
      <charset val="129"/>
    </font>
    <font>
      <sz val="9"/>
      <color indexed="8"/>
      <name val="굴림체"/>
      <family val="3"/>
      <charset val="129"/>
    </font>
    <font>
      <b/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10"/>
      <color theme="1"/>
      <name val="함초롬돋움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23055"/>
        <bgColor indexed="64"/>
      </patternFill>
    </fill>
    <fill>
      <patternFill patternType="solid">
        <fgColor rgb="FFF0F2F4"/>
        <bgColor indexed="64"/>
      </patternFill>
    </fill>
    <fill>
      <patternFill patternType="solid">
        <fgColor rgb="FF00295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153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110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001530"/>
      </left>
      <right/>
      <top style="medium">
        <color rgb="FF001530"/>
      </top>
      <bottom/>
      <diagonal/>
    </border>
    <border>
      <left/>
      <right/>
      <top style="medium">
        <color rgb="FF001530"/>
      </top>
      <bottom/>
      <diagonal/>
    </border>
    <border>
      <left/>
      <right style="medium">
        <color rgb="FF001530"/>
      </right>
      <top style="medium">
        <color rgb="FF001530"/>
      </top>
      <bottom/>
      <diagonal/>
    </border>
    <border>
      <left style="medium">
        <color rgb="FF001530"/>
      </left>
      <right/>
      <top/>
      <bottom/>
      <diagonal/>
    </border>
    <border>
      <left/>
      <right style="medium">
        <color rgb="FF001530"/>
      </right>
      <top/>
      <bottom/>
      <diagonal/>
    </border>
    <border>
      <left style="medium">
        <color rgb="FF001530"/>
      </left>
      <right/>
      <top/>
      <bottom style="medium">
        <color rgb="FF001530"/>
      </bottom>
      <diagonal/>
    </border>
    <border>
      <left/>
      <right/>
      <top/>
      <bottom style="medium">
        <color rgb="FF001530"/>
      </bottom>
      <diagonal/>
    </border>
    <border>
      <left/>
      <right style="medium">
        <color rgb="FF001530"/>
      </right>
      <top/>
      <bottom style="medium">
        <color rgb="FF00153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001530"/>
      </left>
      <right style="thin">
        <color theme="0" tint="-0.249977111117893"/>
      </right>
      <top style="medium">
        <color rgb="FF00153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001530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001530"/>
      </right>
      <top style="medium">
        <color rgb="FF001530"/>
      </top>
      <bottom style="thin">
        <color theme="0" tint="-0.249977111117893"/>
      </bottom>
      <diagonal/>
    </border>
    <border>
      <left style="medium">
        <color rgb="FF001530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001530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001530"/>
      </left>
      <right style="thin">
        <color theme="0" tint="-0.249977111117893"/>
      </right>
      <top style="thin">
        <color theme="0" tint="-0.249977111117893"/>
      </top>
      <bottom style="medium">
        <color rgb="FF00153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001530"/>
      </bottom>
      <diagonal/>
    </border>
    <border>
      <left style="thin">
        <color theme="0" tint="-0.249977111117893"/>
      </left>
      <right style="medium">
        <color rgb="FF001530"/>
      </right>
      <top style="thin">
        <color theme="0" tint="-0.249977111117893"/>
      </top>
      <bottom style="medium">
        <color rgb="FF001530"/>
      </bottom>
      <diagonal/>
    </border>
    <border>
      <left style="medium">
        <color rgb="FF223055"/>
      </left>
      <right style="thin">
        <color theme="0" tint="-0.14999847407452621"/>
      </right>
      <top style="medium">
        <color rgb="FF223055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223055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223055"/>
      </right>
      <top style="medium">
        <color rgb="FF223055"/>
      </top>
      <bottom style="thin">
        <color theme="0" tint="-0.14999847407452621"/>
      </bottom>
      <diagonal/>
    </border>
    <border>
      <left style="medium">
        <color rgb="FF223055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223055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223055"/>
      </left>
      <right style="thin">
        <color theme="0" tint="-0.14999847407452621"/>
      </right>
      <top style="thin">
        <color theme="0" tint="-0.14999847407452621"/>
      </top>
      <bottom style="medium">
        <color rgb="FF223055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rgb="FF223055"/>
      </bottom>
      <diagonal/>
    </border>
    <border>
      <left style="thin">
        <color theme="0" tint="-0.14999847407452621"/>
      </left>
      <right style="medium">
        <color rgb="FF223055"/>
      </right>
      <top style="thin">
        <color theme="0" tint="-0.14999847407452621"/>
      </top>
      <bottom style="medium">
        <color rgb="FF223055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223055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rgb="FF223055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223055"/>
      </right>
      <top/>
      <bottom style="thin">
        <color theme="0" tint="-0.14999847407452621"/>
      </bottom>
      <diagonal/>
    </border>
    <border>
      <left style="medium">
        <color rgb="FF223055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medium">
        <color rgb="FF223055"/>
      </right>
      <top style="thin">
        <color theme="0" tint="-0.14999847407452621"/>
      </top>
      <bottom/>
      <diagonal/>
    </border>
    <border>
      <left style="medium">
        <color rgb="FF223055"/>
      </left>
      <right style="thin">
        <color theme="0" tint="-0.14999847407452621"/>
      </right>
      <top style="medium">
        <color rgb="FF223055"/>
      </top>
      <bottom style="medium">
        <color rgb="FF223055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223055"/>
      </top>
      <bottom style="medium">
        <color rgb="FF223055"/>
      </bottom>
      <diagonal/>
    </border>
    <border>
      <left style="thin">
        <color theme="0" tint="-0.14999847407452621"/>
      </left>
      <right style="medium">
        <color rgb="FF223055"/>
      </right>
      <top style="medium">
        <color rgb="FF223055"/>
      </top>
      <bottom style="medium">
        <color rgb="FF223055"/>
      </bottom>
      <diagonal/>
    </border>
    <border>
      <left style="medium">
        <color rgb="FF223055"/>
      </left>
      <right/>
      <top style="medium">
        <color rgb="FF223055"/>
      </top>
      <bottom/>
      <diagonal/>
    </border>
    <border>
      <left/>
      <right/>
      <top style="medium">
        <color rgb="FF223055"/>
      </top>
      <bottom/>
      <diagonal/>
    </border>
    <border>
      <left/>
      <right style="medium">
        <color rgb="FF223055"/>
      </right>
      <top style="medium">
        <color rgb="FF223055"/>
      </top>
      <bottom/>
      <diagonal/>
    </border>
    <border>
      <left style="medium">
        <color rgb="FF223055"/>
      </left>
      <right/>
      <top/>
      <bottom/>
      <diagonal/>
    </border>
    <border>
      <left/>
      <right style="medium">
        <color rgb="FF223055"/>
      </right>
      <top/>
      <bottom/>
      <diagonal/>
    </border>
    <border>
      <left style="medium">
        <color rgb="FF223055"/>
      </left>
      <right/>
      <top/>
      <bottom style="medium">
        <color rgb="FF223055"/>
      </bottom>
      <diagonal/>
    </border>
    <border>
      <left/>
      <right/>
      <top/>
      <bottom style="medium">
        <color rgb="FF223055"/>
      </bottom>
      <diagonal/>
    </border>
    <border>
      <left/>
      <right style="medium">
        <color rgb="FF223055"/>
      </right>
      <top/>
      <bottom style="medium">
        <color rgb="FF223055"/>
      </bottom>
      <diagonal/>
    </border>
    <border>
      <left style="medium">
        <color rgb="FF223055"/>
      </left>
      <right style="thin">
        <color theme="0" tint="-4.9989318521683403E-2"/>
      </right>
      <top style="medium">
        <color rgb="FF223055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rgb="FF223055"/>
      </top>
      <bottom style="thin">
        <color theme="0" tint="-4.9989318521683403E-2"/>
      </bottom>
      <diagonal/>
    </border>
    <border>
      <left style="medium">
        <color rgb="FF223055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223055"/>
      </left>
      <right style="thin">
        <color theme="0" tint="-4.9989318521683403E-2"/>
      </right>
      <top style="thin">
        <color theme="0" tint="-4.9989318521683403E-2"/>
      </top>
      <bottom style="medium">
        <color rgb="FF223055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rgb="FF223055"/>
      </bottom>
      <diagonal/>
    </border>
    <border>
      <left style="medium">
        <color rgb="FF223055"/>
      </left>
      <right style="medium">
        <color rgb="FF223055"/>
      </right>
      <top style="medium">
        <color rgb="FF223055"/>
      </top>
      <bottom/>
      <diagonal/>
    </border>
    <border>
      <left style="medium">
        <color rgb="FF223055"/>
      </left>
      <right style="medium">
        <color rgb="FF223055"/>
      </right>
      <top/>
      <bottom/>
      <diagonal/>
    </border>
    <border>
      <left style="medium">
        <color rgb="FF223055"/>
      </left>
      <right style="medium">
        <color rgb="FF223055"/>
      </right>
      <top/>
      <bottom style="medium">
        <color rgb="FF223055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223055"/>
      </top>
      <bottom style="medium">
        <color indexed="64"/>
      </bottom>
      <diagonal/>
    </border>
    <border>
      <left/>
      <right/>
      <top style="medium">
        <color rgb="FF223055"/>
      </top>
      <bottom style="medium">
        <color indexed="64"/>
      </bottom>
      <diagonal/>
    </border>
    <border>
      <left/>
      <right style="medium">
        <color indexed="64"/>
      </right>
      <top style="medium">
        <color rgb="FF2230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223055"/>
      </bottom>
      <diagonal/>
    </border>
    <border>
      <left/>
      <right/>
      <top style="medium">
        <color indexed="64"/>
      </top>
      <bottom style="medium">
        <color rgb="FF223055"/>
      </bottom>
      <diagonal/>
    </border>
    <border>
      <left/>
      <right style="medium">
        <color indexed="64"/>
      </right>
      <top style="medium">
        <color indexed="64"/>
      </top>
      <bottom style="medium">
        <color rgb="FF223055"/>
      </bottom>
      <diagonal/>
    </border>
    <border>
      <left style="medium">
        <color indexed="64"/>
      </left>
      <right/>
      <top/>
      <bottom style="medium">
        <color rgb="FF2230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223055"/>
      </left>
      <right/>
      <top style="medium">
        <color rgb="FF223055"/>
      </top>
      <bottom style="medium">
        <color rgb="FF223055"/>
      </bottom>
      <diagonal/>
    </border>
    <border>
      <left/>
      <right/>
      <top style="medium">
        <color rgb="FF223055"/>
      </top>
      <bottom style="medium">
        <color rgb="FF223055"/>
      </bottom>
      <diagonal/>
    </border>
    <border>
      <left/>
      <right style="medium">
        <color rgb="FF223055"/>
      </right>
      <top style="medium">
        <color rgb="FF223055"/>
      </top>
      <bottom style="medium">
        <color rgb="FF22305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223055"/>
      </top>
      <bottom/>
      <diagonal/>
    </border>
    <border>
      <left/>
      <right style="medium">
        <color indexed="64"/>
      </right>
      <top/>
      <bottom style="medium">
        <color rgb="FF223055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0" tint="-0.14999847407452621"/>
      </left>
      <right/>
      <top style="medium">
        <color rgb="FF223055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medium">
        <color rgb="FF223055"/>
      </top>
      <bottom style="thin">
        <color theme="0" tint="-0.14999847407452621"/>
      </bottom>
      <diagonal/>
    </border>
    <border>
      <left/>
      <right style="medium">
        <color rgb="FF223055"/>
      </right>
      <top style="medium">
        <color rgb="FF223055"/>
      </top>
      <bottom style="thin">
        <color theme="0" tint="-0.14999847407452621"/>
      </bottom>
      <diagonal/>
    </border>
    <border>
      <left style="thin">
        <color theme="0" tint="-4.9989318521683403E-2"/>
      </left>
      <right style="medium">
        <color rgb="FF223055"/>
      </right>
      <top style="medium">
        <color rgb="FF223055"/>
      </top>
      <bottom style="thin">
        <color theme="0" tint="-4.9989318521683403E-2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223055"/>
      </bottom>
      <diagonal/>
    </border>
    <border>
      <left style="thin">
        <color theme="0" tint="-4.9989318521683403E-2"/>
      </left>
      <right style="medium">
        <color rgb="FF223055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rgb="FF223055"/>
      </right>
      <top style="thin">
        <color theme="0" tint="-4.9989318521683403E-2"/>
      </top>
      <bottom style="medium">
        <color rgb="FF223055"/>
      </bottom>
      <diagonal/>
    </border>
    <border>
      <left style="medium">
        <color indexed="64"/>
      </left>
      <right style="thin">
        <color theme="8" tint="0.79998168889431442"/>
      </right>
      <top style="medium">
        <color indexed="64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medium">
        <color indexed="64"/>
      </top>
      <bottom style="thin">
        <color theme="8" tint="0.79998168889431442"/>
      </bottom>
      <diagonal/>
    </border>
    <border>
      <left style="thin">
        <color theme="8" tint="0.79998168889431442"/>
      </left>
      <right style="medium">
        <color indexed="64"/>
      </right>
      <top style="medium">
        <color indexed="64"/>
      </top>
      <bottom style="thin">
        <color theme="8" tint="0.79998168889431442"/>
      </bottom>
      <diagonal/>
    </border>
    <border>
      <left style="medium">
        <color indexed="64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medium">
        <color indexed="64"/>
      </right>
      <top style="thin">
        <color theme="8" tint="0.79998168889431442"/>
      </top>
      <bottom style="thin">
        <color theme="8" tint="0.79998168889431442"/>
      </bottom>
      <diagonal/>
    </border>
    <border>
      <left style="medium">
        <color indexed="64"/>
      </left>
      <right style="thin">
        <color theme="8" tint="0.79998168889431442"/>
      </right>
      <top style="thin">
        <color theme="8" tint="0.79998168889431442"/>
      </top>
      <bottom style="medium">
        <color indexed="64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medium">
        <color indexed="64"/>
      </bottom>
      <diagonal/>
    </border>
    <border>
      <left style="thin">
        <color theme="8" tint="0.79998168889431442"/>
      </left>
      <right style="medium">
        <color indexed="64"/>
      </right>
      <top style="thin">
        <color theme="8" tint="0.79998168889431442"/>
      </top>
      <bottom style="medium">
        <color indexed="64"/>
      </bottom>
      <diagonal/>
    </border>
    <border>
      <left style="medium">
        <color rgb="FF223055"/>
      </left>
      <right style="thin">
        <color theme="0" tint="-0.14999847407452621"/>
      </right>
      <top style="medium">
        <color rgb="FF223055"/>
      </top>
      <bottom/>
      <diagonal/>
    </border>
    <border>
      <left style="thin">
        <color theme="0" tint="-0.14999847407452621"/>
      </left>
      <right style="medium">
        <color rgb="FF223055"/>
      </right>
      <top style="medium">
        <color rgb="FF223055"/>
      </top>
      <bottom/>
      <diagonal/>
    </border>
    <border>
      <left/>
      <right/>
      <top style="thin">
        <color rgb="FF223055"/>
      </top>
      <bottom style="medium">
        <color rgb="FF22305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 style="medium">
        <color indexed="64"/>
      </bottom>
      <diagonal/>
    </border>
    <border>
      <left style="thin">
        <color theme="8" tint="0.79998168889431442"/>
      </left>
      <right style="thin">
        <color theme="8" tint="0.79995117038483843"/>
      </right>
      <top style="thin">
        <color theme="8" tint="0.79998168889431442"/>
      </top>
      <bottom style="medium">
        <color indexed="64"/>
      </bottom>
      <diagonal/>
    </border>
    <border>
      <left style="thin">
        <color theme="8" tint="0.79998168889431442"/>
      </left>
      <right style="thin">
        <color theme="8" tint="0.79995117038483843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>
      <alignment vertical="center"/>
    </xf>
    <xf numFmtId="0" fontId="7" fillId="0" borderId="0">
      <alignment vertical="center"/>
    </xf>
    <xf numFmtId="0" fontId="33" fillId="0" borderId="103" applyNumberFormat="0" applyFill="0" applyAlignment="0" applyProtection="0">
      <alignment vertical="center"/>
    </xf>
    <xf numFmtId="0" fontId="5" fillId="23" borderId="109" applyNumberFormat="0" applyFont="0" applyAlignment="0" applyProtection="0">
      <alignment vertical="center"/>
    </xf>
  </cellStyleXfs>
  <cellXfs count="84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176" fontId="3" fillId="0" borderId="0" xfId="0" applyNumberFormat="1" applyFont="1" applyAlignment="1">
      <alignment horizontal="center" vertic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76" fontId="2" fillId="0" borderId="42" xfId="0" applyNumberFormat="1" applyFont="1" applyBorder="1" applyAlignment="1">
      <alignment vertical="center"/>
    </xf>
    <xf numFmtId="176" fontId="2" fillId="0" borderId="44" xfId="0" applyNumberFormat="1" applyFont="1" applyBorder="1" applyAlignment="1">
      <alignment vertical="center"/>
    </xf>
    <xf numFmtId="176" fontId="2" fillId="0" borderId="45" xfId="0" applyNumberFormat="1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4" fillId="5" borderId="73" xfId="0" applyFont="1" applyFill="1" applyBorder="1" applyAlignment="1">
      <alignment horizontal="center" vertical="center"/>
    </xf>
    <xf numFmtId="0" fontId="4" fillId="5" borderId="74" xfId="0" applyFont="1" applyFill="1" applyBorder="1" applyAlignment="1">
      <alignment horizontal="center" vertical="center"/>
    </xf>
    <xf numFmtId="176" fontId="4" fillId="5" borderId="74" xfId="0" applyNumberFormat="1" applyFont="1" applyFill="1" applyBorder="1" applyAlignment="1">
      <alignment horizontal="center" vertical="center"/>
    </xf>
    <xf numFmtId="176" fontId="4" fillId="5" borderId="75" xfId="0" applyNumberFormat="1" applyFont="1" applyFill="1" applyBorder="1" applyAlignment="1">
      <alignment horizontal="center" vertical="center"/>
    </xf>
    <xf numFmtId="0" fontId="2" fillId="0" borderId="0" xfId="0" quotePrefix="1" applyFont="1" applyBorder="1" applyAlignment="1">
      <alignment vertical="center"/>
    </xf>
    <xf numFmtId="0" fontId="2" fillId="0" borderId="44" xfId="0" quotePrefix="1" applyFont="1" applyBorder="1" applyAlignment="1">
      <alignment vertical="center"/>
    </xf>
    <xf numFmtId="176" fontId="8" fillId="0" borderId="0" xfId="0" applyNumberFormat="1" applyFont="1" applyAlignment="1">
      <alignment vertical="center"/>
    </xf>
    <xf numFmtId="176" fontId="9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176" fontId="11" fillId="5" borderId="56" xfId="0" applyNumberFormat="1" applyFont="1" applyFill="1" applyBorder="1" applyAlignment="1">
      <alignment horizontal="center" vertical="center" wrapText="1"/>
    </xf>
    <xf numFmtId="176" fontId="11" fillId="5" borderId="57" xfId="0" applyNumberFormat="1" applyFont="1" applyFill="1" applyBorder="1" applyAlignment="1">
      <alignment horizontal="center" vertical="center" wrapText="1"/>
    </xf>
    <xf numFmtId="176" fontId="11" fillId="5" borderId="58" xfId="0" applyNumberFormat="1" applyFont="1" applyFill="1" applyBorder="1" applyAlignment="1">
      <alignment horizontal="center" vertical="center" wrapText="1"/>
    </xf>
    <xf numFmtId="176" fontId="9" fillId="0" borderId="59" xfId="0" applyNumberFormat="1" applyFont="1" applyBorder="1" applyAlignment="1">
      <alignment vertical="center"/>
    </xf>
    <xf numFmtId="176" fontId="9" fillId="0" borderId="0" xfId="0" applyNumberFormat="1" applyFont="1" applyBorder="1" applyAlignment="1">
      <alignment vertical="center"/>
    </xf>
    <xf numFmtId="10" fontId="9" fillId="0" borderId="0" xfId="2" applyNumberFormat="1" applyFont="1" applyBorder="1" applyAlignment="1">
      <alignment vertical="center"/>
    </xf>
    <xf numFmtId="176" fontId="9" fillId="0" borderId="60" xfId="0" applyNumberFormat="1" applyFont="1" applyBorder="1" applyAlignment="1">
      <alignment vertical="center"/>
    </xf>
    <xf numFmtId="176" fontId="9" fillId="0" borderId="64" xfId="0" applyNumberFormat="1" applyFont="1" applyBorder="1" applyAlignment="1">
      <alignment vertical="center"/>
    </xf>
    <xf numFmtId="176" fontId="9" fillId="0" borderId="65" xfId="0" applyNumberFormat="1" applyFont="1" applyBorder="1" applyAlignment="1">
      <alignment vertical="center"/>
    </xf>
    <xf numFmtId="176" fontId="9" fillId="0" borderId="66" xfId="0" applyNumberFormat="1" applyFont="1" applyBorder="1" applyAlignment="1">
      <alignment vertical="center"/>
    </xf>
    <xf numFmtId="176" fontId="11" fillId="5" borderId="2" xfId="0" applyNumberFormat="1" applyFont="1" applyFill="1" applyBorder="1" applyAlignment="1">
      <alignment horizontal="center" vertical="center" wrapText="1"/>
    </xf>
    <xf numFmtId="176" fontId="11" fillId="5" borderId="3" xfId="0" applyNumberFormat="1" applyFont="1" applyFill="1" applyBorder="1" applyAlignment="1">
      <alignment horizontal="center" vertical="center" wrapText="1"/>
    </xf>
    <xf numFmtId="176" fontId="11" fillId="5" borderId="4" xfId="0" applyNumberFormat="1" applyFont="1" applyFill="1" applyBorder="1" applyAlignment="1">
      <alignment horizontal="center" vertical="center" wrapText="1"/>
    </xf>
    <xf numFmtId="176" fontId="10" fillId="4" borderId="5" xfId="0" applyNumberFormat="1" applyFont="1" applyFill="1" applyBorder="1" applyAlignment="1">
      <alignment horizontal="center" vertical="center"/>
    </xf>
    <xf numFmtId="176" fontId="10" fillId="4" borderId="0" xfId="0" applyNumberFormat="1" applyFont="1" applyFill="1" applyBorder="1" applyAlignment="1">
      <alignment vertical="center"/>
    </xf>
    <xf numFmtId="176" fontId="10" fillId="4" borderId="6" xfId="0" applyNumberFormat="1" applyFont="1" applyFill="1" applyBorder="1" applyAlignment="1">
      <alignment vertical="center"/>
    </xf>
    <xf numFmtId="176" fontId="10" fillId="2" borderId="5" xfId="0" applyNumberFormat="1" applyFont="1" applyFill="1" applyBorder="1" applyAlignment="1">
      <alignment horizontal="center" vertical="center"/>
    </xf>
    <xf numFmtId="176" fontId="10" fillId="2" borderId="0" xfId="0" applyNumberFormat="1" applyFont="1" applyFill="1" applyBorder="1" applyAlignment="1">
      <alignment vertical="center"/>
    </xf>
    <xf numFmtId="176" fontId="10" fillId="2" borderId="6" xfId="0" applyNumberFormat="1" applyFont="1" applyFill="1" applyBorder="1" applyAlignment="1">
      <alignment vertical="center"/>
    </xf>
    <xf numFmtId="176" fontId="10" fillId="3" borderId="5" xfId="0" applyNumberFormat="1" applyFont="1" applyFill="1" applyBorder="1" applyAlignment="1">
      <alignment horizontal="center" vertical="center"/>
    </xf>
    <xf numFmtId="176" fontId="10" fillId="3" borderId="0" xfId="0" applyNumberFormat="1" applyFont="1" applyFill="1" applyBorder="1" applyAlignment="1">
      <alignment vertical="center"/>
    </xf>
    <xf numFmtId="176" fontId="10" fillId="3" borderId="6" xfId="0" applyNumberFormat="1" applyFont="1" applyFill="1" applyBorder="1" applyAlignment="1">
      <alignment vertical="center"/>
    </xf>
    <xf numFmtId="176" fontId="9" fillId="0" borderId="5" xfId="0" applyNumberFormat="1" applyFont="1" applyBorder="1" applyAlignment="1">
      <alignment horizontal="center" vertical="center"/>
    </xf>
    <xf numFmtId="176" fontId="9" fillId="0" borderId="6" xfId="0" applyNumberFormat="1" applyFont="1" applyBorder="1" applyAlignment="1">
      <alignment vertical="center"/>
    </xf>
    <xf numFmtId="176" fontId="10" fillId="3" borderId="5" xfId="0" applyNumberFormat="1" applyFont="1" applyFill="1" applyBorder="1" applyAlignment="1">
      <alignment vertical="center"/>
    </xf>
    <xf numFmtId="176" fontId="8" fillId="0" borderId="5" xfId="0" applyNumberFormat="1" applyFont="1" applyBorder="1" applyAlignment="1">
      <alignment horizontal="center" vertical="center"/>
    </xf>
    <xf numFmtId="176" fontId="10" fillId="0" borderId="0" xfId="0" applyNumberFormat="1" applyFont="1" applyBorder="1" applyAlignment="1">
      <alignment vertical="center"/>
    </xf>
    <xf numFmtId="176" fontId="10" fillId="4" borderId="7" xfId="0" applyNumberFormat="1" applyFont="1" applyFill="1" applyBorder="1" applyAlignment="1">
      <alignment horizontal="center" vertical="center"/>
    </xf>
    <xf numFmtId="176" fontId="10" fillId="4" borderId="8" xfId="0" applyNumberFormat="1" applyFont="1" applyFill="1" applyBorder="1" applyAlignment="1">
      <alignment vertical="center"/>
    </xf>
    <xf numFmtId="176" fontId="10" fillId="4" borderId="9" xfId="0" applyNumberFormat="1" applyFont="1" applyFill="1" applyBorder="1" applyAlignment="1">
      <alignment vertical="center"/>
    </xf>
    <xf numFmtId="176" fontId="10" fillId="2" borderId="0" xfId="0" applyNumberFormat="1" applyFont="1" applyFill="1" applyBorder="1" applyAlignment="1">
      <alignment horizontal="right" vertical="center"/>
    </xf>
    <xf numFmtId="176" fontId="10" fillId="2" borderId="6" xfId="0" applyNumberFormat="1" applyFont="1" applyFill="1" applyBorder="1" applyAlignment="1">
      <alignment horizontal="right" vertical="center"/>
    </xf>
    <xf numFmtId="176" fontId="9" fillId="0" borderId="7" xfId="0" applyNumberFormat="1" applyFont="1" applyBorder="1" applyAlignment="1">
      <alignment horizontal="center" vertical="center"/>
    </xf>
    <xf numFmtId="176" fontId="9" fillId="0" borderId="8" xfId="0" applyNumberFormat="1" applyFont="1" applyBorder="1" applyAlignment="1">
      <alignment vertical="center"/>
    </xf>
    <xf numFmtId="176" fontId="9" fillId="0" borderId="9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76" fontId="12" fillId="0" borderId="0" xfId="0" applyNumberFormat="1" applyFont="1" applyAlignment="1">
      <alignment vertical="center"/>
    </xf>
    <xf numFmtId="176" fontId="4" fillId="5" borderId="52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176" fontId="3" fillId="4" borderId="53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3" fillId="2" borderId="53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176" fontId="3" fillId="3" borderId="53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76" fontId="2" fillId="0" borderId="53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3" borderId="41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vertical="center"/>
    </xf>
    <xf numFmtId="0" fontId="12" fillId="0" borderId="41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vertical="center"/>
    </xf>
    <xf numFmtId="0" fontId="2" fillId="4" borderId="44" xfId="0" applyFont="1" applyFill="1" applyBorder="1" applyAlignment="1">
      <alignment horizontal="center" vertical="center"/>
    </xf>
    <xf numFmtId="176" fontId="3" fillId="4" borderId="54" xfId="0" applyNumberFormat="1" applyFont="1" applyFill="1" applyBorder="1" applyAlignment="1">
      <alignment vertical="center"/>
    </xf>
    <xf numFmtId="176" fontId="2" fillId="0" borderId="1" xfId="0" applyNumberFormat="1" applyFont="1" applyBorder="1" applyAlignment="1">
      <alignment vertical="center"/>
    </xf>
    <xf numFmtId="176" fontId="2" fillId="0" borderId="23" xfId="0" applyNumberFormat="1" applyFont="1" applyBorder="1" applyAlignment="1">
      <alignment vertical="center"/>
    </xf>
    <xf numFmtId="176" fontId="2" fillId="0" borderId="22" xfId="0" applyNumberFormat="1" applyFont="1" applyBorder="1" applyAlignment="1">
      <alignment vertical="center"/>
    </xf>
    <xf numFmtId="176" fontId="2" fillId="0" borderId="25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vertical="center"/>
    </xf>
    <xf numFmtId="10" fontId="2" fillId="0" borderId="10" xfId="2" applyNumberFormat="1" applyFont="1" applyBorder="1" applyAlignment="1">
      <alignment vertical="center"/>
    </xf>
    <xf numFmtId="0" fontId="15" fillId="13" borderId="0" xfId="0" applyFont="1" applyFill="1" applyAlignment="1">
      <alignment horizontal="center" vertical="center" wrapText="1"/>
    </xf>
    <xf numFmtId="0" fontId="16" fillId="0" borderId="0" xfId="0" applyFont="1"/>
    <xf numFmtId="0" fontId="16" fillId="14" borderId="86" xfId="0" applyFont="1" applyFill="1" applyBorder="1" applyAlignment="1">
      <alignment vertical="center"/>
    </xf>
    <xf numFmtId="179" fontId="16" fillId="14" borderId="86" xfId="0" applyNumberFormat="1" applyFont="1" applyFill="1" applyBorder="1" applyAlignment="1">
      <alignment vertical="center"/>
    </xf>
    <xf numFmtId="41" fontId="16" fillId="0" borderId="0" xfId="1" applyFont="1"/>
    <xf numFmtId="0" fontId="16" fillId="11" borderId="0" xfId="0" applyFont="1" applyFill="1"/>
    <xf numFmtId="41" fontId="16" fillId="11" borderId="0" xfId="1" applyFont="1" applyFill="1"/>
    <xf numFmtId="0" fontId="16" fillId="15" borderId="0" xfId="0" applyFont="1" applyFill="1"/>
    <xf numFmtId="41" fontId="16" fillId="15" borderId="0" xfId="1" applyFont="1" applyFill="1"/>
    <xf numFmtId="14" fontId="4" fillId="7" borderId="11" xfId="0" applyNumberFormat="1" applyFont="1" applyFill="1" applyBorder="1" applyAlignment="1">
      <alignment horizontal="center" vertical="center"/>
    </xf>
    <xf numFmtId="14" fontId="4" fillId="7" borderId="12" xfId="0" applyNumberFormat="1" applyFont="1" applyFill="1" applyBorder="1" applyAlignment="1">
      <alignment horizontal="center" vertical="center"/>
    </xf>
    <xf numFmtId="14" fontId="4" fillId="7" borderId="13" xfId="0" applyNumberFormat="1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76" fontId="2" fillId="0" borderId="15" xfId="0" applyNumberFormat="1" applyFont="1" applyBorder="1" applyAlignment="1">
      <alignment vertical="center"/>
    </xf>
    <xf numFmtId="0" fontId="2" fillId="8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76" fontId="2" fillId="0" borderId="17" xfId="0" applyNumberFormat="1" applyFont="1" applyBorder="1" applyAlignment="1">
      <alignment vertical="center"/>
    </xf>
    <xf numFmtId="176" fontId="2" fillId="0" borderId="18" xfId="0" applyNumberFormat="1" applyFont="1" applyBorder="1" applyAlignment="1">
      <alignment vertical="center"/>
    </xf>
    <xf numFmtId="14" fontId="4" fillId="7" borderId="19" xfId="0" applyNumberFormat="1" applyFont="1" applyFill="1" applyBorder="1" applyAlignment="1">
      <alignment horizontal="center" vertical="center"/>
    </xf>
    <xf numFmtId="14" fontId="4" fillId="7" borderId="20" xfId="0" applyNumberFormat="1" applyFont="1" applyFill="1" applyBorder="1" applyAlignment="1">
      <alignment horizontal="center" vertical="center"/>
    </xf>
    <xf numFmtId="14" fontId="4" fillId="7" borderId="21" xfId="0" applyNumberFormat="1" applyFont="1" applyFill="1" applyBorder="1" applyAlignment="1">
      <alignment horizontal="center" vertical="center"/>
    </xf>
    <xf numFmtId="14" fontId="4" fillId="7" borderId="22" xfId="0" applyNumberFormat="1" applyFont="1" applyFill="1" applyBorder="1" applyAlignment="1">
      <alignment horizontal="center" vertical="center"/>
    </xf>
    <xf numFmtId="177" fontId="4" fillId="7" borderId="1" xfId="1" applyNumberFormat="1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14" fontId="4" fillId="7" borderId="23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10" fontId="2" fillId="0" borderId="1" xfId="2" applyNumberFormat="1" applyFont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176" fontId="17" fillId="5" borderId="19" xfId="0" applyNumberFormat="1" applyFont="1" applyFill="1" applyBorder="1" applyAlignment="1">
      <alignment horizontal="center" vertical="center"/>
    </xf>
    <xf numFmtId="176" fontId="17" fillId="5" borderId="20" xfId="0" applyNumberFormat="1" applyFont="1" applyFill="1" applyBorder="1" applyAlignment="1">
      <alignment horizontal="center" vertical="center"/>
    </xf>
    <xf numFmtId="176" fontId="17" fillId="5" borderId="21" xfId="0" applyNumberFormat="1" applyFont="1" applyFill="1" applyBorder="1" applyAlignment="1">
      <alignment horizontal="center" vertical="center"/>
    </xf>
    <xf numFmtId="176" fontId="2" fillId="0" borderId="23" xfId="0" applyNumberFormat="1" applyFont="1" applyBorder="1" applyAlignment="1">
      <alignment horizontal="center" vertical="center"/>
    </xf>
    <xf numFmtId="176" fontId="2" fillId="0" borderId="32" xfId="0" applyNumberFormat="1" applyFont="1" applyBorder="1" applyAlignment="1">
      <alignment vertical="center"/>
    </xf>
    <xf numFmtId="176" fontId="2" fillId="0" borderId="33" xfId="0" applyNumberFormat="1" applyFont="1" applyBorder="1" applyAlignment="1">
      <alignment vertical="center"/>
    </xf>
    <xf numFmtId="176" fontId="2" fillId="0" borderId="33" xfId="0" applyNumberFormat="1" applyFont="1" applyBorder="1" applyAlignment="1">
      <alignment horizontal="center" vertical="center"/>
    </xf>
    <xf numFmtId="176" fontId="2" fillId="0" borderId="34" xfId="0" applyNumberFormat="1" applyFont="1" applyBorder="1" applyAlignment="1">
      <alignment vertical="center"/>
    </xf>
    <xf numFmtId="176" fontId="2" fillId="3" borderId="35" xfId="0" applyNumberFormat="1" applyFont="1" applyFill="1" applyBorder="1" applyAlignment="1">
      <alignment vertical="center"/>
    </xf>
    <xf numFmtId="176" fontId="2" fillId="3" borderId="36" xfId="0" applyNumberFormat="1" applyFont="1" applyFill="1" applyBorder="1" applyAlignment="1">
      <alignment vertical="center"/>
    </xf>
    <xf numFmtId="176" fontId="2" fillId="3" borderId="37" xfId="0" applyNumberFormat="1" applyFont="1" applyFill="1" applyBorder="1" applyAlignment="1">
      <alignment vertical="center"/>
    </xf>
    <xf numFmtId="176" fontId="17" fillId="5" borderId="30" xfId="0" applyNumberFormat="1" applyFont="1" applyFill="1" applyBorder="1" applyAlignment="1">
      <alignment horizontal="center" vertical="center"/>
    </xf>
    <xf numFmtId="176" fontId="17" fillId="5" borderId="29" xfId="0" applyNumberFormat="1" applyFont="1" applyFill="1" applyBorder="1" applyAlignment="1">
      <alignment horizontal="center" vertical="center"/>
    </xf>
    <xf numFmtId="178" fontId="17" fillId="5" borderId="29" xfId="0" applyNumberFormat="1" applyFont="1" applyFill="1" applyBorder="1" applyAlignment="1">
      <alignment horizontal="center" vertical="center"/>
    </xf>
    <xf numFmtId="176" fontId="17" fillId="5" borderId="31" xfId="0" applyNumberFormat="1" applyFont="1" applyFill="1" applyBorder="1" applyAlignment="1">
      <alignment horizontal="center" vertical="center"/>
    </xf>
    <xf numFmtId="176" fontId="3" fillId="3" borderId="24" xfId="0" applyNumberFormat="1" applyFont="1" applyFill="1" applyBorder="1" applyAlignment="1">
      <alignment vertical="center"/>
    </xf>
    <xf numFmtId="176" fontId="3" fillId="3" borderId="25" xfId="0" applyNumberFormat="1" applyFont="1" applyFill="1" applyBorder="1" applyAlignment="1">
      <alignment vertical="center"/>
    </xf>
    <xf numFmtId="176" fontId="3" fillId="3" borderId="25" xfId="0" applyNumberFormat="1" applyFont="1" applyFill="1" applyBorder="1" applyAlignment="1">
      <alignment horizontal="center" vertical="center"/>
    </xf>
    <xf numFmtId="176" fontId="3" fillId="3" borderId="26" xfId="0" applyNumberFormat="1" applyFont="1" applyFill="1" applyBorder="1" applyAlignment="1">
      <alignment vertical="center"/>
    </xf>
    <xf numFmtId="178" fontId="3" fillId="0" borderId="0" xfId="0" applyNumberFormat="1" applyFont="1" applyAlignment="1">
      <alignment vertical="center"/>
    </xf>
    <xf numFmtId="180" fontId="2" fillId="0" borderId="0" xfId="1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0" fontId="9" fillId="0" borderId="0" xfId="2" applyNumberFormat="1" applyFont="1" applyAlignment="1">
      <alignment vertical="center"/>
    </xf>
    <xf numFmtId="10" fontId="10" fillId="0" borderId="0" xfId="2" applyNumberFormat="1" applyFont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quotePrefix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0" fontId="9" fillId="0" borderId="0" xfId="2" applyNumberFormat="1" applyFont="1" applyBorder="1" applyAlignment="1">
      <alignment horizontal="right" vertical="center"/>
    </xf>
    <xf numFmtId="0" fontId="11" fillId="10" borderId="0" xfId="0" applyFont="1" applyFill="1" applyBorder="1" applyAlignment="1">
      <alignment horizontal="center" vertical="center"/>
    </xf>
    <xf numFmtId="41" fontId="9" fillId="0" borderId="0" xfId="1" applyFont="1"/>
    <xf numFmtId="176" fontId="19" fillId="0" borderId="0" xfId="0" applyNumberFormat="1" applyFont="1" applyAlignment="1">
      <alignment vertical="center"/>
    </xf>
    <xf numFmtId="176" fontId="11" fillId="0" borderId="0" xfId="0" applyNumberFormat="1" applyFont="1" applyAlignment="1">
      <alignment vertical="center"/>
    </xf>
    <xf numFmtId="176" fontId="11" fillId="5" borderId="57" xfId="0" applyNumberFormat="1" applyFont="1" applyFill="1" applyBorder="1" applyAlignment="1">
      <alignment vertical="center"/>
    </xf>
    <xf numFmtId="176" fontId="11" fillId="5" borderId="58" xfId="0" applyNumberFormat="1" applyFont="1" applyFill="1" applyBorder="1" applyAlignment="1">
      <alignment vertical="center"/>
    </xf>
    <xf numFmtId="176" fontId="11" fillId="5" borderId="0" xfId="0" applyNumberFormat="1" applyFont="1" applyFill="1" applyBorder="1" applyAlignment="1">
      <alignment horizontal="center" vertical="center"/>
    </xf>
    <xf numFmtId="176" fontId="11" fillId="5" borderId="60" xfId="0" applyNumberFormat="1" applyFont="1" applyFill="1" applyBorder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176" fontId="19" fillId="0" borderId="59" xfId="0" applyNumberFormat="1" applyFont="1" applyBorder="1" applyAlignment="1">
      <alignment vertical="center"/>
    </xf>
    <xf numFmtId="176" fontId="19" fillId="0" borderId="0" xfId="0" applyNumberFormat="1" applyFont="1" applyBorder="1" applyAlignment="1">
      <alignment vertical="center"/>
    </xf>
    <xf numFmtId="10" fontId="19" fillId="0" borderId="0" xfId="2" applyNumberFormat="1" applyFont="1" applyBorder="1" applyAlignment="1">
      <alignment vertical="center"/>
    </xf>
    <xf numFmtId="176" fontId="19" fillId="0" borderId="60" xfId="0" applyNumberFormat="1" applyFont="1" applyBorder="1" applyAlignment="1">
      <alignment vertical="center"/>
    </xf>
    <xf numFmtId="176" fontId="19" fillId="0" borderId="64" xfId="0" applyNumberFormat="1" applyFont="1" applyBorder="1" applyAlignment="1">
      <alignment horizontal="center" vertical="center"/>
    </xf>
    <xf numFmtId="176" fontId="19" fillId="0" borderId="65" xfId="0" applyNumberFormat="1" applyFont="1" applyBorder="1" applyAlignment="1">
      <alignment vertical="center"/>
    </xf>
    <xf numFmtId="176" fontId="19" fillId="0" borderId="66" xfId="0" applyNumberFormat="1" applyFont="1" applyBorder="1" applyAlignment="1">
      <alignment vertical="center"/>
    </xf>
    <xf numFmtId="176" fontId="19" fillId="0" borderId="0" xfId="0" applyNumberFormat="1" applyFont="1" applyAlignment="1">
      <alignment horizontal="right" vertical="center"/>
    </xf>
    <xf numFmtId="176" fontId="11" fillId="5" borderId="67" xfId="0" applyNumberFormat="1" applyFont="1" applyFill="1" applyBorder="1" applyAlignment="1">
      <alignment horizontal="center" vertical="center"/>
    </xf>
    <xf numFmtId="176" fontId="11" fillId="5" borderId="68" xfId="0" applyNumberFormat="1" applyFont="1" applyFill="1" applyBorder="1" applyAlignment="1">
      <alignment horizontal="center" vertical="center"/>
    </xf>
    <xf numFmtId="176" fontId="11" fillId="5" borderId="69" xfId="0" applyNumberFormat="1" applyFont="1" applyFill="1" applyBorder="1" applyAlignment="1">
      <alignment horizontal="center" vertical="center"/>
    </xf>
    <xf numFmtId="176" fontId="19" fillId="0" borderId="70" xfId="0" applyNumberFormat="1" applyFont="1" applyBorder="1" applyAlignment="1">
      <alignment vertical="center"/>
    </xf>
    <xf numFmtId="176" fontId="19" fillId="0" borderId="44" xfId="0" applyNumberFormat="1" applyFont="1" applyBorder="1" applyAlignment="1">
      <alignment vertical="center"/>
    </xf>
    <xf numFmtId="176" fontId="19" fillId="0" borderId="64" xfId="0" applyNumberFormat="1" applyFont="1" applyBorder="1" applyAlignment="1">
      <alignment vertical="center"/>
    </xf>
    <xf numFmtId="176" fontId="19" fillId="0" borderId="0" xfId="0" quotePrefix="1" applyNumberFormat="1" applyFont="1" applyAlignment="1">
      <alignment vertical="center"/>
    </xf>
    <xf numFmtId="176" fontId="19" fillId="0" borderId="71" xfId="0" applyNumberFormat="1" applyFont="1" applyBorder="1" applyAlignment="1">
      <alignment vertical="center"/>
    </xf>
    <xf numFmtId="176" fontId="19" fillId="0" borderId="72" xfId="0" applyNumberFormat="1" applyFont="1" applyBorder="1" applyAlignment="1">
      <alignment vertical="center"/>
    </xf>
    <xf numFmtId="176" fontId="9" fillId="0" borderId="0" xfId="0" applyNumberFormat="1" applyFont="1" applyFill="1" applyAlignment="1">
      <alignment vertical="center"/>
    </xf>
    <xf numFmtId="176" fontId="11" fillId="0" borderId="0" xfId="0" applyNumberFormat="1" applyFont="1" applyFill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1" fillId="5" borderId="0" xfId="0" applyNumberFormat="1" applyFont="1" applyFill="1" applyAlignment="1">
      <alignment horizontal="center" vertical="center"/>
    </xf>
    <xf numFmtId="176" fontId="11" fillId="5" borderId="41" xfId="0" applyNumberFormat="1" applyFont="1" applyFill="1" applyBorder="1" applyAlignment="1">
      <alignment horizontal="center" vertical="center"/>
    </xf>
    <xf numFmtId="176" fontId="11" fillId="5" borderId="42" xfId="0" applyNumberFormat="1" applyFont="1" applyFill="1" applyBorder="1" applyAlignment="1">
      <alignment horizontal="center" vertical="center"/>
    </xf>
    <xf numFmtId="10" fontId="9" fillId="0" borderId="41" xfId="2" applyNumberFormat="1" applyFont="1" applyBorder="1" applyAlignment="1">
      <alignment horizontal="center" vertical="center"/>
    </xf>
    <xf numFmtId="176" fontId="9" fillId="0" borderId="42" xfId="0" applyNumberFormat="1" applyFont="1" applyBorder="1" applyAlignment="1">
      <alignment vertical="center"/>
    </xf>
    <xf numFmtId="176" fontId="9" fillId="0" borderId="41" xfId="0" applyNumberFormat="1" applyFont="1" applyBorder="1" applyAlignment="1">
      <alignment vertical="center"/>
    </xf>
    <xf numFmtId="176" fontId="10" fillId="0" borderId="43" xfId="0" applyNumberFormat="1" applyFont="1" applyBorder="1" applyAlignment="1">
      <alignment vertical="center"/>
    </xf>
    <xf numFmtId="176" fontId="10" fillId="0" borderId="45" xfId="0" applyNumberFormat="1" applyFont="1" applyBorder="1" applyAlignment="1">
      <alignment vertical="center"/>
    </xf>
    <xf numFmtId="176" fontId="10" fillId="0" borderId="0" xfId="0" applyNumberFormat="1" applyFont="1" applyFill="1" applyAlignment="1">
      <alignment vertical="center"/>
    </xf>
    <xf numFmtId="176" fontId="10" fillId="0" borderId="0" xfId="0" applyNumberFormat="1" applyFont="1" applyAlignment="1">
      <alignment vertical="center"/>
    </xf>
    <xf numFmtId="176" fontId="10" fillId="0" borderId="44" xfId="0" applyNumberFormat="1" applyFont="1" applyBorder="1" applyAlignment="1">
      <alignment vertical="center"/>
    </xf>
    <xf numFmtId="176" fontId="9" fillId="0" borderId="45" xfId="0" applyNumberFormat="1" applyFont="1" applyBorder="1" applyAlignment="1">
      <alignment vertical="center"/>
    </xf>
    <xf numFmtId="176" fontId="9" fillId="0" borderId="89" xfId="0" applyNumberFormat="1" applyFont="1" applyBorder="1" applyAlignment="1">
      <alignment vertical="center"/>
    </xf>
    <xf numFmtId="176" fontId="9" fillId="0" borderId="0" xfId="0" applyNumberFormat="1" applyFont="1" applyAlignment="1">
      <alignment horizontal="left" vertical="center"/>
    </xf>
    <xf numFmtId="176" fontId="9" fillId="0" borderId="0" xfId="0" applyNumberFormat="1" applyFont="1" applyAlignment="1">
      <alignment horizontal="right" vertical="center"/>
    </xf>
    <xf numFmtId="176" fontId="9" fillId="0" borderId="0" xfId="0" applyNumberFormat="1" applyFont="1" applyAlignment="1">
      <alignment horizontal="center" vertical="center"/>
    </xf>
    <xf numFmtId="176" fontId="9" fillId="0" borderId="52" xfId="0" applyNumberFormat="1" applyFont="1" applyBorder="1" applyAlignment="1">
      <alignment vertical="center"/>
    </xf>
    <xf numFmtId="176" fontId="9" fillId="0" borderId="59" xfId="0" applyNumberFormat="1" applyFont="1" applyBorder="1" applyAlignment="1">
      <alignment horizontal="center" vertical="center"/>
    </xf>
    <xf numFmtId="176" fontId="9" fillId="0" borderId="53" xfId="0" applyNumberFormat="1" applyFont="1" applyBorder="1" applyAlignment="1">
      <alignment vertical="center"/>
    </xf>
    <xf numFmtId="176" fontId="9" fillId="0" borderId="61" xfId="0" applyNumberFormat="1" applyFont="1" applyBorder="1" applyAlignment="1">
      <alignment horizontal="center" vertical="center"/>
    </xf>
    <xf numFmtId="176" fontId="9" fillId="0" borderId="62" xfId="0" applyNumberFormat="1" applyFont="1" applyBorder="1" applyAlignment="1">
      <alignment vertical="center"/>
    </xf>
    <xf numFmtId="176" fontId="9" fillId="0" borderId="63" xfId="0" applyNumberFormat="1" applyFont="1" applyBorder="1" applyAlignment="1">
      <alignment vertical="center"/>
    </xf>
    <xf numFmtId="176" fontId="10" fillId="0" borderId="71" xfId="0" applyNumberFormat="1" applyFont="1" applyBorder="1" applyAlignment="1">
      <alignment horizontal="center" vertical="center"/>
    </xf>
    <xf numFmtId="176" fontId="10" fillId="0" borderId="88" xfId="0" applyNumberFormat="1" applyFont="1" applyBorder="1" applyAlignment="1">
      <alignment vertical="center"/>
    </xf>
    <xf numFmtId="176" fontId="10" fillId="0" borderId="72" xfId="0" applyNumberFormat="1" applyFont="1" applyBorder="1" applyAlignment="1">
      <alignment vertical="center"/>
    </xf>
    <xf numFmtId="176" fontId="10" fillId="0" borderId="87" xfId="0" applyNumberFormat="1" applyFont="1" applyBorder="1" applyAlignment="1">
      <alignment vertical="center"/>
    </xf>
    <xf numFmtId="176" fontId="10" fillId="0" borderId="0" xfId="0" applyNumberFormat="1" applyFont="1" applyAlignment="1">
      <alignment horizontal="left" vertical="center"/>
    </xf>
    <xf numFmtId="176" fontId="10" fillId="0" borderId="55" xfId="0" applyNumberFormat="1" applyFont="1" applyBorder="1" applyAlignment="1">
      <alignment horizontal="left" vertical="center"/>
    </xf>
    <xf numFmtId="176" fontId="10" fillId="0" borderId="55" xfId="0" applyNumberFormat="1" applyFont="1" applyBorder="1" applyAlignment="1">
      <alignment vertical="center"/>
    </xf>
    <xf numFmtId="14" fontId="11" fillId="5" borderId="46" xfId="0" applyNumberFormat="1" applyFont="1" applyFill="1" applyBorder="1" applyAlignment="1">
      <alignment horizontal="center" vertical="center" shrinkToFit="1"/>
    </xf>
    <xf numFmtId="14" fontId="11" fillId="5" borderId="47" xfId="0" applyNumberFormat="1" applyFont="1" applyFill="1" applyBorder="1" applyAlignment="1">
      <alignment horizontal="center" vertical="center" shrinkToFit="1"/>
    </xf>
    <xf numFmtId="14" fontId="11" fillId="5" borderId="85" xfId="0" applyNumberFormat="1" applyFont="1" applyFill="1" applyBorder="1" applyAlignment="1">
      <alignment horizontal="center" vertical="center" shrinkToFit="1"/>
    </xf>
    <xf numFmtId="0" fontId="9" fillId="0" borderId="48" xfId="0" applyFont="1" applyFill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/>
    </xf>
    <xf numFmtId="0" fontId="9" fillId="0" borderId="49" xfId="0" applyFont="1" applyFill="1" applyBorder="1" applyAlignment="1">
      <alignment vertical="center"/>
    </xf>
    <xf numFmtId="0" fontId="9" fillId="0" borderId="42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50" xfId="0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vertical="center"/>
    </xf>
    <xf numFmtId="0" fontId="9" fillId="0" borderId="45" xfId="0" applyFont="1" applyFill="1" applyBorder="1" applyAlignment="1">
      <alignment vertical="center"/>
    </xf>
    <xf numFmtId="176" fontId="11" fillId="5" borderId="19" xfId="0" applyNumberFormat="1" applyFont="1" applyFill="1" applyBorder="1" applyAlignment="1">
      <alignment horizontal="center" vertical="center" wrapText="1"/>
    </xf>
    <xf numFmtId="176" fontId="11" fillId="5" borderId="20" xfId="0" applyNumberFormat="1" applyFont="1" applyFill="1" applyBorder="1" applyAlignment="1">
      <alignment horizontal="center" vertical="center" wrapText="1"/>
    </xf>
    <xf numFmtId="176" fontId="11" fillId="5" borderId="21" xfId="0" applyNumberFormat="1" applyFont="1" applyFill="1" applyBorder="1" applyAlignment="1">
      <alignment horizontal="center" vertical="center" wrapText="1"/>
    </xf>
    <xf numFmtId="176" fontId="9" fillId="0" borderId="22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left" vertical="center"/>
    </xf>
    <xf numFmtId="176" fontId="9" fillId="0" borderId="1" xfId="0" applyNumberFormat="1" applyFont="1" applyBorder="1" applyAlignment="1">
      <alignment vertical="center"/>
    </xf>
    <xf numFmtId="176" fontId="9" fillId="0" borderId="23" xfId="0" applyNumberFormat="1" applyFont="1" applyBorder="1" applyAlignment="1">
      <alignment vertical="center"/>
    </xf>
    <xf numFmtId="176" fontId="9" fillId="0" borderId="24" xfId="0" applyNumberFormat="1" applyFont="1" applyBorder="1" applyAlignment="1">
      <alignment horizontal="center" vertical="center"/>
    </xf>
    <xf numFmtId="176" fontId="9" fillId="0" borderId="25" xfId="0" applyNumberFormat="1" applyFont="1" applyBorder="1" applyAlignment="1">
      <alignment vertical="center"/>
    </xf>
    <xf numFmtId="176" fontId="9" fillId="0" borderId="26" xfId="0" applyNumberFormat="1" applyFont="1" applyBorder="1" applyAlignment="1">
      <alignment vertical="center"/>
    </xf>
    <xf numFmtId="176" fontId="9" fillId="0" borderId="29" xfId="0" applyNumberFormat="1" applyFont="1" applyBorder="1" applyAlignment="1">
      <alignment horizontal="center" vertical="center"/>
    </xf>
    <xf numFmtId="176" fontId="9" fillId="0" borderId="29" xfId="0" applyNumberFormat="1" applyFont="1" applyBorder="1" applyAlignment="1">
      <alignment vertical="center"/>
    </xf>
    <xf numFmtId="176" fontId="9" fillId="0" borderId="1" xfId="0" applyNumberFormat="1" applyFont="1" applyBorder="1" applyAlignment="1">
      <alignment horizontal="center" vertical="center"/>
    </xf>
    <xf numFmtId="176" fontId="10" fillId="2" borderId="22" xfId="0" applyNumberFormat="1" applyFont="1" applyFill="1" applyBorder="1" applyAlignment="1">
      <alignment vertical="center"/>
    </xf>
    <xf numFmtId="176" fontId="9" fillId="2" borderId="1" xfId="0" applyNumberFormat="1" applyFont="1" applyFill="1" applyBorder="1" applyAlignment="1">
      <alignment vertical="center"/>
    </xf>
    <xf numFmtId="176" fontId="9" fillId="2" borderId="23" xfId="0" applyNumberFormat="1" applyFont="1" applyFill="1" applyBorder="1" applyAlignment="1">
      <alignment vertical="center"/>
    </xf>
    <xf numFmtId="176" fontId="9" fillId="0" borderId="22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vertical="center"/>
    </xf>
    <xf numFmtId="176" fontId="9" fillId="0" borderId="23" xfId="0" applyNumberFormat="1" applyFont="1" applyFill="1" applyBorder="1" applyAlignment="1">
      <alignment vertical="center"/>
    </xf>
    <xf numFmtId="176" fontId="10" fillId="0" borderId="22" xfId="0" applyNumberFormat="1" applyFont="1" applyFill="1" applyBorder="1" applyAlignment="1">
      <alignment horizontal="center" vertical="center"/>
    </xf>
    <xf numFmtId="176" fontId="9" fillId="0" borderId="41" xfId="0" applyNumberFormat="1" applyFont="1" applyBorder="1" applyAlignment="1">
      <alignment horizontal="center" vertical="center"/>
    </xf>
    <xf numFmtId="176" fontId="9" fillId="0" borderId="0" xfId="0" applyNumberFormat="1" applyFont="1" applyFill="1" applyBorder="1" applyAlignment="1">
      <alignment vertical="center"/>
    </xf>
    <xf numFmtId="176" fontId="9" fillId="0" borderId="22" xfId="0" applyNumberFormat="1" applyFont="1" applyBorder="1" applyAlignment="1">
      <alignment vertical="center"/>
    </xf>
    <xf numFmtId="176" fontId="9" fillId="0" borderId="24" xfId="0" applyNumberFormat="1" applyFont="1" applyBorder="1" applyAlignment="1">
      <alignment vertical="center"/>
    </xf>
    <xf numFmtId="176" fontId="10" fillId="0" borderId="62" xfId="0" applyNumberFormat="1" applyFont="1" applyBorder="1" applyAlignment="1">
      <alignment horizontal="center" vertical="center"/>
    </xf>
    <xf numFmtId="176" fontId="8" fillId="0" borderId="0" xfId="0" applyNumberFormat="1" applyFont="1" applyBorder="1" applyAlignment="1">
      <alignment vertical="center"/>
    </xf>
    <xf numFmtId="176" fontId="21" fillId="5" borderId="0" xfId="0" applyNumberFormat="1" applyFont="1" applyFill="1" applyBorder="1" applyAlignment="1">
      <alignment horizontal="center" vertical="center"/>
    </xf>
    <xf numFmtId="176" fontId="21" fillId="0" borderId="0" xfId="0" applyNumberFormat="1" applyFont="1" applyFill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176" fontId="9" fillId="3" borderId="0" xfId="0" applyNumberFormat="1" applyFont="1" applyFill="1" applyBorder="1" applyAlignment="1">
      <alignment vertical="center"/>
    </xf>
    <xf numFmtId="178" fontId="21" fillId="5" borderId="0" xfId="0" applyNumberFormat="1" applyFont="1" applyFill="1" applyBorder="1" applyAlignment="1">
      <alignment horizontal="center" vertical="center"/>
    </xf>
    <xf numFmtId="176" fontId="10" fillId="3" borderId="0" xfId="0" applyNumberFormat="1" applyFont="1" applyFill="1" applyBorder="1" applyAlignment="1">
      <alignment horizontal="center" vertical="center"/>
    </xf>
    <xf numFmtId="176" fontId="10" fillId="0" borderId="0" xfId="0" applyNumberFormat="1" applyFont="1" applyFill="1" applyBorder="1" applyAlignment="1">
      <alignment vertical="center"/>
    </xf>
    <xf numFmtId="178" fontId="10" fillId="0" borderId="0" xfId="0" applyNumberFormat="1" applyFont="1" applyBorder="1" applyAlignment="1">
      <alignment vertical="center"/>
    </xf>
    <xf numFmtId="176" fontId="9" fillId="3" borderId="0" xfId="0" applyNumberFormat="1" applyFont="1" applyFill="1" applyBorder="1" applyAlignment="1">
      <alignment horizontal="left" vertical="center"/>
    </xf>
    <xf numFmtId="176" fontId="9" fillId="3" borderId="0" xfId="0" applyNumberFormat="1" applyFont="1" applyFill="1" applyBorder="1" applyAlignment="1">
      <alignment horizontal="right" vertical="center"/>
    </xf>
    <xf numFmtId="177" fontId="9" fillId="0" borderId="0" xfId="1" applyNumberFormat="1" applyFont="1" applyBorder="1" applyAlignment="1">
      <alignment vertical="center"/>
    </xf>
    <xf numFmtId="177" fontId="9" fillId="0" borderId="0" xfId="1" applyNumberFormat="1" applyFont="1" applyAlignment="1">
      <alignment vertical="center"/>
    </xf>
    <xf numFmtId="176" fontId="9" fillId="3" borderId="89" xfId="0" applyNumberFormat="1" applyFont="1" applyFill="1" applyBorder="1" applyAlignment="1">
      <alignment horizontal="left" vertical="center"/>
    </xf>
    <xf numFmtId="176" fontId="8" fillId="3" borderId="89" xfId="0" applyNumberFormat="1" applyFont="1" applyFill="1" applyBorder="1" applyAlignment="1">
      <alignment horizontal="center" vertical="center"/>
    </xf>
    <xf numFmtId="14" fontId="11" fillId="7" borderId="11" xfId="0" applyNumberFormat="1" applyFont="1" applyFill="1" applyBorder="1" applyAlignment="1">
      <alignment horizontal="center" vertical="center"/>
    </xf>
    <xf numFmtId="14" fontId="11" fillId="7" borderId="12" xfId="0" applyNumberFormat="1" applyFont="1" applyFill="1" applyBorder="1" applyAlignment="1">
      <alignment horizontal="center" vertical="center"/>
    </xf>
    <xf numFmtId="14" fontId="11" fillId="7" borderId="13" xfId="0" applyNumberFormat="1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176" fontId="9" fillId="0" borderId="10" xfId="0" applyNumberFormat="1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10" fontId="9" fillId="0" borderId="10" xfId="2" applyNumberFormat="1" applyFont="1" applyBorder="1" applyAlignment="1">
      <alignment vertical="center"/>
    </xf>
    <xf numFmtId="176" fontId="9" fillId="0" borderId="15" xfId="0" applyNumberFormat="1" applyFont="1" applyBorder="1" applyAlignment="1">
      <alignment vertical="center"/>
    </xf>
    <xf numFmtId="0" fontId="9" fillId="8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176" fontId="9" fillId="0" borderId="17" xfId="0" applyNumberFormat="1" applyFont="1" applyBorder="1" applyAlignment="1">
      <alignment vertical="center"/>
    </xf>
    <xf numFmtId="176" fontId="9" fillId="0" borderId="18" xfId="0" applyNumberFormat="1" applyFont="1" applyBorder="1" applyAlignment="1">
      <alignment vertical="center"/>
    </xf>
    <xf numFmtId="14" fontId="11" fillId="7" borderId="19" xfId="0" applyNumberFormat="1" applyFont="1" applyFill="1" applyBorder="1" applyAlignment="1">
      <alignment horizontal="center" vertical="center"/>
    </xf>
    <xf numFmtId="14" fontId="11" fillId="7" borderId="20" xfId="0" applyNumberFormat="1" applyFont="1" applyFill="1" applyBorder="1" applyAlignment="1">
      <alignment horizontal="center" vertical="center"/>
    </xf>
    <xf numFmtId="14" fontId="11" fillId="7" borderId="21" xfId="0" applyNumberFormat="1" applyFont="1" applyFill="1" applyBorder="1" applyAlignment="1">
      <alignment horizontal="center" vertical="center"/>
    </xf>
    <xf numFmtId="14" fontId="11" fillId="7" borderId="22" xfId="0" applyNumberFormat="1" applyFont="1" applyFill="1" applyBorder="1" applyAlignment="1">
      <alignment horizontal="center" vertical="center"/>
    </xf>
    <xf numFmtId="177" fontId="11" fillId="7" borderId="1" xfId="1" applyNumberFormat="1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14" fontId="11" fillId="7" borderId="23" xfId="0" applyNumberFormat="1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10" fontId="9" fillId="0" borderId="1" xfId="2" applyNumberFormat="1" applyFont="1" applyBorder="1" applyAlignment="1">
      <alignment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176" fontId="9" fillId="0" borderId="53" xfId="0" applyNumberFormat="1" applyFont="1" applyFill="1" applyBorder="1" applyAlignment="1">
      <alignment vertical="center"/>
    </xf>
    <xf numFmtId="176" fontId="9" fillId="16" borderId="1" xfId="0" applyNumberFormat="1" applyFont="1" applyFill="1" applyBorder="1" applyAlignment="1">
      <alignment vertical="center"/>
    </xf>
    <xf numFmtId="176" fontId="10" fillId="0" borderId="22" xfId="0" applyNumberFormat="1" applyFont="1" applyFill="1" applyBorder="1" applyAlignment="1">
      <alignment horizontal="left" vertical="center"/>
    </xf>
    <xf numFmtId="176" fontId="10" fillId="2" borderId="22" xfId="0" applyNumberFormat="1" applyFont="1" applyFill="1" applyBorder="1" applyAlignment="1">
      <alignment horizontal="left" vertical="center"/>
    </xf>
    <xf numFmtId="176" fontId="10" fillId="2" borderId="1" xfId="0" applyNumberFormat="1" applyFont="1" applyFill="1" applyBorder="1" applyAlignment="1">
      <alignment vertical="center"/>
    </xf>
    <xf numFmtId="176" fontId="10" fillId="2" borderId="23" xfId="0" applyNumberFormat="1" applyFont="1" applyFill="1" applyBorder="1" applyAlignment="1">
      <alignment vertical="center"/>
    </xf>
    <xf numFmtId="176" fontId="10" fillId="0" borderId="53" xfId="0" applyNumberFormat="1" applyFont="1" applyFill="1" applyBorder="1" applyAlignment="1">
      <alignment vertical="center"/>
    </xf>
    <xf numFmtId="176" fontId="9" fillId="16" borderId="23" xfId="0" applyNumberFormat="1" applyFont="1" applyFill="1" applyBorder="1" applyAlignment="1">
      <alignment vertical="center"/>
    </xf>
    <xf numFmtId="176" fontId="9" fillId="0" borderId="24" xfId="0" applyNumberFormat="1" applyFont="1" applyFill="1" applyBorder="1" applyAlignment="1">
      <alignment horizontal="center" vertical="center"/>
    </xf>
    <xf numFmtId="176" fontId="9" fillId="0" borderId="25" xfId="0" applyNumberFormat="1" applyFont="1" applyFill="1" applyBorder="1" applyAlignment="1">
      <alignment vertical="center"/>
    </xf>
    <xf numFmtId="176" fontId="9" fillId="16" borderId="25" xfId="0" applyNumberFormat="1" applyFont="1" applyFill="1" applyBorder="1" applyAlignment="1">
      <alignment vertical="center"/>
    </xf>
    <xf numFmtId="176" fontId="9" fillId="16" borderId="26" xfId="0" applyNumberFormat="1" applyFont="1" applyFill="1" applyBorder="1" applyAlignment="1">
      <alignment vertical="center"/>
    </xf>
    <xf numFmtId="176" fontId="9" fillId="0" borderId="54" xfId="0" applyNumberFormat="1" applyFont="1" applyFill="1" applyBorder="1" applyAlignment="1">
      <alignment vertical="center"/>
    </xf>
    <xf numFmtId="176" fontId="11" fillId="5" borderId="38" xfId="0" applyNumberFormat="1" applyFont="1" applyFill="1" applyBorder="1" applyAlignment="1">
      <alignment horizontal="center" vertical="center"/>
    </xf>
    <xf numFmtId="176" fontId="11" fillId="5" borderId="39" xfId="0" applyNumberFormat="1" applyFont="1" applyFill="1" applyBorder="1" applyAlignment="1">
      <alignment horizontal="center" vertical="center"/>
    </xf>
    <xf numFmtId="176" fontId="11" fillId="5" borderId="39" xfId="0" applyNumberFormat="1" applyFont="1" applyFill="1" applyBorder="1" applyAlignment="1">
      <alignment horizontal="center" vertical="center" wrapText="1"/>
    </xf>
    <xf numFmtId="176" fontId="11" fillId="5" borderId="40" xfId="0" applyNumberFormat="1" applyFont="1" applyFill="1" applyBorder="1" applyAlignment="1">
      <alignment horizontal="center" vertical="center" wrapText="1"/>
    </xf>
    <xf numFmtId="176" fontId="11" fillId="0" borderId="0" xfId="0" applyNumberFormat="1" applyFont="1" applyBorder="1" applyAlignment="1">
      <alignment horizontal="center" vertical="center"/>
    </xf>
    <xf numFmtId="176" fontId="10" fillId="2" borderId="41" xfId="0" applyNumberFormat="1" applyFont="1" applyFill="1" applyBorder="1" applyAlignment="1">
      <alignment vertical="center"/>
    </xf>
    <xf numFmtId="176" fontId="19" fillId="2" borderId="0" xfId="0" applyNumberFormat="1" applyFont="1" applyFill="1" applyBorder="1" applyAlignment="1">
      <alignment horizontal="center" vertical="center" wrapText="1"/>
    </xf>
    <xf numFmtId="176" fontId="19" fillId="2" borderId="42" xfId="0" applyNumberFormat="1" applyFont="1" applyFill="1" applyBorder="1" applyAlignment="1">
      <alignment horizontal="center" vertical="center" wrapText="1"/>
    </xf>
    <xf numFmtId="176" fontId="19" fillId="0" borderId="0" xfId="0" applyNumberFormat="1" applyFont="1" applyFill="1" applyBorder="1" applyAlignment="1">
      <alignment horizontal="center" vertical="center"/>
    </xf>
    <xf numFmtId="176" fontId="10" fillId="6" borderId="41" xfId="0" applyNumberFormat="1" applyFont="1" applyFill="1" applyBorder="1" applyAlignment="1">
      <alignment horizontal="left" vertical="center"/>
    </xf>
    <xf numFmtId="176" fontId="10" fillId="6" borderId="0" xfId="0" applyNumberFormat="1" applyFont="1" applyFill="1" applyBorder="1" applyAlignment="1">
      <alignment horizontal="left" vertical="center"/>
    </xf>
    <xf numFmtId="176" fontId="10" fillId="6" borderId="0" xfId="0" applyNumberFormat="1" applyFont="1" applyFill="1" applyBorder="1" applyAlignment="1">
      <alignment horizontal="center" vertical="center"/>
    </xf>
    <xf numFmtId="176" fontId="10" fillId="6" borderId="42" xfId="0" applyNumberFormat="1" applyFont="1" applyFill="1" applyBorder="1" applyAlignment="1">
      <alignment horizontal="center" vertical="center"/>
    </xf>
    <xf numFmtId="10" fontId="9" fillId="0" borderId="42" xfId="2" applyNumberFormat="1" applyFont="1" applyBorder="1" applyAlignment="1">
      <alignment vertical="center"/>
    </xf>
    <xf numFmtId="176" fontId="10" fillId="6" borderId="41" xfId="0" applyNumberFormat="1" applyFont="1" applyFill="1" applyBorder="1" applyAlignment="1">
      <alignment vertical="center"/>
    </xf>
    <xf numFmtId="176" fontId="10" fillId="6" borderId="0" xfId="0" applyNumberFormat="1" applyFont="1" applyFill="1" applyBorder="1" applyAlignment="1">
      <alignment vertical="center"/>
    </xf>
    <xf numFmtId="176" fontId="10" fillId="6" borderId="42" xfId="0" applyNumberFormat="1" applyFont="1" applyFill="1" applyBorder="1" applyAlignment="1">
      <alignment vertical="center"/>
    </xf>
    <xf numFmtId="176" fontId="9" fillId="2" borderId="0" xfId="0" applyNumberFormat="1" applyFont="1" applyFill="1" applyBorder="1" applyAlignment="1">
      <alignment vertical="center"/>
    </xf>
    <xf numFmtId="176" fontId="9" fillId="2" borderId="42" xfId="0" applyNumberFormat="1" applyFont="1" applyFill="1" applyBorder="1" applyAlignment="1">
      <alignment vertical="center"/>
    </xf>
    <xf numFmtId="176" fontId="9" fillId="4" borderId="0" xfId="0" applyNumberFormat="1" applyFont="1" applyFill="1" applyBorder="1" applyAlignment="1">
      <alignment vertical="center"/>
    </xf>
    <xf numFmtId="176" fontId="10" fillId="2" borderId="42" xfId="0" applyNumberFormat="1" applyFont="1" applyFill="1" applyBorder="1" applyAlignment="1">
      <alignment vertical="center"/>
    </xf>
    <xf numFmtId="176" fontId="10" fillId="0" borderId="41" xfId="0" applyNumberFormat="1" applyFont="1" applyBorder="1" applyAlignment="1">
      <alignment vertical="center"/>
    </xf>
    <xf numFmtId="176" fontId="10" fillId="0" borderId="42" xfId="0" applyNumberFormat="1" applyFont="1" applyBorder="1" applyAlignment="1">
      <alignment vertical="center"/>
    </xf>
    <xf numFmtId="176" fontId="9" fillId="0" borderId="41" xfId="0" applyNumberFormat="1" applyFont="1" applyBorder="1" applyAlignment="1">
      <alignment horizontal="left" vertical="center"/>
    </xf>
    <xf numFmtId="176" fontId="9" fillId="0" borderId="43" xfId="0" applyNumberFormat="1" applyFont="1" applyBorder="1" applyAlignment="1">
      <alignment vertical="center"/>
    </xf>
    <xf numFmtId="176" fontId="9" fillId="0" borderId="44" xfId="0" applyNumberFormat="1" applyFont="1" applyBorder="1" applyAlignment="1">
      <alignment vertical="center"/>
    </xf>
    <xf numFmtId="176" fontId="10" fillId="0" borderId="73" xfId="0" applyNumberFormat="1" applyFont="1" applyBorder="1" applyAlignment="1">
      <alignment vertical="center"/>
    </xf>
    <xf numFmtId="176" fontId="10" fillId="0" borderId="75" xfId="0" applyNumberFormat="1" applyFont="1" applyBorder="1" applyAlignment="1">
      <alignment vertical="center"/>
    </xf>
    <xf numFmtId="176" fontId="9" fillId="0" borderId="61" xfId="0" applyNumberFormat="1" applyFont="1" applyBorder="1" applyAlignment="1">
      <alignment vertical="center"/>
    </xf>
    <xf numFmtId="176" fontId="9" fillId="0" borderId="38" xfId="0" applyNumberFormat="1" applyFont="1" applyBorder="1" applyAlignment="1">
      <alignment vertical="center"/>
    </xf>
    <xf numFmtId="176" fontId="9" fillId="0" borderId="39" xfId="0" applyNumberFormat="1" applyFont="1" applyBorder="1" applyAlignment="1">
      <alignment vertical="center"/>
    </xf>
    <xf numFmtId="176" fontId="9" fillId="0" borderId="40" xfId="0" applyNumberFormat="1" applyFont="1" applyBorder="1" applyAlignment="1">
      <alignment vertical="center"/>
    </xf>
    <xf numFmtId="182" fontId="9" fillId="0" borderId="0" xfId="0" applyNumberFormat="1" applyFont="1" applyAlignment="1">
      <alignment vertical="center"/>
    </xf>
    <xf numFmtId="176" fontId="11" fillId="5" borderId="38" xfId="0" applyNumberFormat="1" applyFont="1" applyFill="1" applyBorder="1" applyAlignment="1">
      <alignment vertical="center"/>
    </xf>
    <xf numFmtId="176" fontId="11" fillId="5" borderId="39" xfId="0" applyNumberFormat="1" applyFont="1" applyFill="1" applyBorder="1" applyAlignment="1">
      <alignment vertical="center"/>
    </xf>
    <xf numFmtId="176" fontId="11" fillId="5" borderId="40" xfId="0" applyNumberFormat="1" applyFont="1" applyFill="1" applyBorder="1" applyAlignment="1">
      <alignment vertical="center"/>
    </xf>
    <xf numFmtId="176" fontId="9" fillId="0" borderId="102" xfId="0" applyNumberFormat="1" applyFont="1" applyBorder="1" applyAlignment="1">
      <alignment vertical="center"/>
    </xf>
    <xf numFmtId="176" fontId="10" fillId="0" borderId="102" xfId="0" applyNumberFormat="1" applyFont="1" applyBorder="1" applyAlignment="1">
      <alignment vertical="center"/>
    </xf>
    <xf numFmtId="0" fontId="22" fillId="5" borderId="100" xfId="0" applyFont="1" applyFill="1" applyBorder="1" applyAlignment="1">
      <alignment horizontal="center" vertical="center" wrapText="1"/>
    </xf>
    <xf numFmtId="0" fontId="22" fillId="5" borderId="27" xfId="0" applyFont="1" applyFill="1" applyBorder="1" applyAlignment="1">
      <alignment horizontal="center" vertical="center" wrapText="1"/>
    </xf>
    <xf numFmtId="0" fontId="22" fillId="5" borderId="101" xfId="0" applyFont="1" applyFill="1" applyBorder="1" applyAlignment="1">
      <alignment horizontal="center" vertical="center" wrapText="1"/>
    </xf>
    <xf numFmtId="176" fontId="23" fillId="0" borderId="20" xfId="0" applyNumberFormat="1" applyFont="1" applyBorder="1" applyAlignment="1">
      <alignment horizontal="center" vertical="center" wrapText="1"/>
    </xf>
    <xf numFmtId="176" fontId="23" fillId="0" borderId="20" xfId="0" applyNumberFormat="1" applyFont="1" applyBorder="1" applyAlignment="1">
      <alignment horizontal="right" vertical="center" wrapText="1"/>
    </xf>
    <xf numFmtId="176" fontId="23" fillId="0" borderId="21" xfId="0" applyNumberFormat="1" applyFont="1" applyBorder="1" applyAlignment="1">
      <alignment horizontal="right" vertical="center" wrapText="1"/>
    </xf>
    <xf numFmtId="176" fontId="23" fillId="0" borderId="33" xfId="0" applyNumberFormat="1" applyFont="1" applyBorder="1" applyAlignment="1">
      <alignment horizontal="right" vertical="center" wrapText="1"/>
    </xf>
    <xf numFmtId="176" fontId="23" fillId="0" borderId="34" xfId="0" applyNumberFormat="1" applyFont="1" applyBorder="1" applyAlignment="1">
      <alignment horizontal="right" vertical="center" wrapText="1"/>
    </xf>
    <xf numFmtId="176" fontId="19" fillId="0" borderId="36" xfId="0" applyNumberFormat="1" applyFont="1" applyBorder="1" applyAlignment="1">
      <alignment horizontal="right" vertical="center" wrapText="1"/>
    </xf>
    <xf numFmtId="176" fontId="19" fillId="0" borderId="37" xfId="0" applyNumberFormat="1" applyFont="1" applyBorder="1" applyAlignment="1">
      <alignment horizontal="right" vertical="center" wrapText="1"/>
    </xf>
    <xf numFmtId="176" fontId="23" fillId="0" borderId="29" xfId="0" applyNumberFormat="1" applyFont="1" applyBorder="1" applyAlignment="1">
      <alignment horizontal="center" vertical="center" wrapText="1"/>
    </xf>
    <xf numFmtId="176" fontId="23" fillId="0" borderId="29" xfId="0" applyNumberFormat="1" applyFont="1" applyBorder="1" applyAlignment="1">
      <alignment horizontal="right" vertical="center" wrapText="1"/>
    </xf>
    <xf numFmtId="176" fontId="23" fillId="0" borderId="31" xfId="0" applyNumberFormat="1" applyFont="1" applyBorder="1" applyAlignment="1">
      <alignment horizontal="right" vertical="center" wrapText="1"/>
    </xf>
    <xf numFmtId="176" fontId="23" fillId="0" borderId="36" xfId="0" applyNumberFormat="1" applyFont="1" applyBorder="1" applyAlignment="1">
      <alignment horizontal="right" vertical="center" wrapText="1"/>
    </xf>
    <xf numFmtId="176" fontId="23" fillId="0" borderId="37" xfId="0" applyNumberFormat="1" applyFont="1" applyBorder="1" applyAlignment="1">
      <alignment horizontal="right" vertical="center" wrapText="1"/>
    </xf>
    <xf numFmtId="176" fontId="11" fillId="5" borderId="73" xfId="0" applyNumberFormat="1" applyFont="1" applyFill="1" applyBorder="1" applyAlignment="1">
      <alignment horizontal="center" vertical="center"/>
    </xf>
    <xf numFmtId="176" fontId="11" fillId="5" borderId="74" xfId="0" applyNumberFormat="1" applyFont="1" applyFill="1" applyBorder="1" applyAlignment="1">
      <alignment horizontal="center" vertical="center"/>
    </xf>
    <xf numFmtId="176" fontId="11" fillId="5" borderId="75" xfId="0" applyNumberFormat="1" applyFont="1" applyFill="1" applyBorder="1" applyAlignment="1">
      <alignment horizontal="center" vertical="center"/>
    </xf>
    <xf numFmtId="178" fontId="9" fillId="0" borderId="0" xfId="0" applyNumberFormat="1" applyFont="1" applyAlignment="1">
      <alignment vertical="center"/>
    </xf>
    <xf numFmtId="176" fontId="19" fillId="6" borderId="22" xfId="0" applyNumberFormat="1" applyFont="1" applyFill="1" applyBorder="1" applyAlignment="1">
      <alignment horizontal="left" vertical="center"/>
    </xf>
    <xf numFmtId="176" fontId="19" fillId="6" borderId="1" xfId="0" applyNumberFormat="1" applyFont="1" applyFill="1" applyBorder="1" applyAlignment="1">
      <alignment horizontal="left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176" fontId="19" fillId="6" borderId="23" xfId="0" applyNumberFormat="1" applyFont="1" applyFill="1" applyBorder="1" applyAlignment="1">
      <alignment horizontal="center" vertical="center" wrapText="1"/>
    </xf>
    <xf numFmtId="176" fontId="23" fillId="0" borderId="0" xfId="0" applyNumberFormat="1" applyFont="1" applyFill="1" applyAlignment="1">
      <alignment vertical="center"/>
    </xf>
    <xf numFmtId="176" fontId="9" fillId="0" borderId="1" xfId="0" applyNumberFormat="1" applyFont="1" applyFill="1" applyBorder="1" applyAlignment="1">
      <alignment horizontal="left" vertical="center"/>
    </xf>
    <xf numFmtId="176" fontId="9" fillId="0" borderId="25" xfId="0" applyNumberFormat="1" applyFont="1" applyBorder="1" applyAlignment="1">
      <alignment horizontal="left" vertical="center"/>
    </xf>
    <xf numFmtId="176" fontId="10" fillId="6" borderId="22" xfId="0" applyNumberFormat="1" applyFont="1" applyFill="1" applyBorder="1" applyAlignment="1">
      <alignment vertical="center"/>
    </xf>
    <xf numFmtId="176" fontId="9" fillId="6" borderId="1" xfId="0" applyNumberFormat="1" applyFont="1" applyFill="1" applyBorder="1" applyAlignment="1">
      <alignment vertical="center"/>
    </xf>
    <xf numFmtId="176" fontId="9" fillId="6" borderId="23" xfId="0" applyNumberFormat="1" applyFont="1" applyFill="1" applyBorder="1" applyAlignment="1">
      <alignment vertical="center"/>
    </xf>
    <xf numFmtId="176" fontId="10" fillId="6" borderId="22" xfId="0" applyNumberFormat="1" applyFont="1" applyFill="1" applyBorder="1" applyAlignment="1">
      <alignment horizontal="left" vertical="center"/>
    </xf>
    <xf numFmtId="176" fontId="10" fillId="6" borderId="1" xfId="0" applyNumberFormat="1" applyFont="1" applyFill="1" applyBorder="1" applyAlignment="1">
      <alignment vertical="center"/>
    </xf>
    <xf numFmtId="176" fontId="10" fillId="6" borderId="23" xfId="0" applyNumberFormat="1" applyFont="1" applyFill="1" applyBorder="1" applyAlignment="1">
      <alignment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24" fillId="6" borderId="22" xfId="0" applyFont="1" applyFill="1" applyBorder="1" applyAlignment="1">
      <alignment vertical="center"/>
    </xf>
    <xf numFmtId="0" fontId="24" fillId="6" borderId="1" xfId="0" applyFont="1" applyFill="1" applyBorder="1" applyAlignment="1">
      <alignment vertical="center"/>
    </xf>
    <xf numFmtId="176" fontId="24" fillId="6" borderId="1" xfId="0" applyNumberFormat="1" applyFont="1" applyFill="1" applyBorder="1" applyAlignment="1">
      <alignment horizontal="right" vertical="center"/>
    </xf>
    <xf numFmtId="176" fontId="24" fillId="6" borderId="23" xfId="0" applyNumberFormat="1" applyFont="1" applyFill="1" applyBorder="1" applyAlignment="1">
      <alignment horizontal="right" vertical="center"/>
    </xf>
    <xf numFmtId="0" fontId="24" fillId="3" borderId="22" xfId="0" applyFont="1" applyFill="1" applyBorder="1" applyAlignment="1">
      <alignment vertical="center"/>
    </xf>
    <xf numFmtId="0" fontId="24" fillId="3" borderId="1" xfId="0" applyFont="1" applyFill="1" applyBorder="1" applyAlignment="1">
      <alignment vertical="center"/>
    </xf>
    <xf numFmtId="176" fontId="24" fillId="3" borderId="1" xfId="0" applyNumberFormat="1" applyFont="1" applyFill="1" applyBorder="1" applyAlignment="1">
      <alignment horizontal="right" vertical="center"/>
    </xf>
    <xf numFmtId="176" fontId="24" fillId="3" borderId="23" xfId="0" applyNumberFormat="1" applyFont="1" applyFill="1" applyBorder="1" applyAlignment="1">
      <alignment horizontal="right" vertical="center"/>
    </xf>
    <xf numFmtId="0" fontId="24" fillId="12" borderId="22" xfId="0" applyFont="1" applyFill="1" applyBorder="1" applyAlignment="1">
      <alignment vertical="center"/>
    </xf>
    <xf numFmtId="0" fontId="24" fillId="12" borderId="1" xfId="0" applyFont="1" applyFill="1" applyBorder="1" applyAlignment="1">
      <alignment vertical="center"/>
    </xf>
    <xf numFmtId="176" fontId="24" fillId="12" borderId="1" xfId="0" applyNumberFormat="1" applyFont="1" applyFill="1" applyBorder="1" applyAlignment="1">
      <alignment horizontal="right" vertical="center"/>
    </xf>
    <xf numFmtId="176" fontId="24" fillId="12" borderId="23" xfId="0" applyNumberFormat="1" applyFont="1" applyFill="1" applyBorder="1" applyAlignment="1">
      <alignment horizontal="right" vertical="center"/>
    </xf>
    <xf numFmtId="0" fontId="25" fillId="0" borderId="22" xfId="0" applyFont="1" applyBorder="1" applyAlignment="1">
      <alignment horizontal="left" vertical="center" indent="1"/>
    </xf>
    <xf numFmtId="0" fontId="25" fillId="0" borderId="1" xfId="0" applyFont="1" applyBorder="1" applyAlignment="1">
      <alignment vertical="center"/>
    </xf>
    <xf numFmtId="176" fontId="25" fillId="0" borderId="1" xfId="0" applyNumberFormat="1" applyFont="1" applyBorder="1" applyAlignment="1">
      <alignment horizontal="right" vertical="center"/>
    </xf>
    <xf numFmtId="176" fontId="25" fillId="0" borderId="23" xfId="0" applyNumberFormat="1" applyFont="1" applyBorder="1" applyAlignment="1">
      <alignment horizontal="right" vertical="center"/>
    </xf>
    <xf numFmtId="0" fontId="24" fillId="6" borderId="24" xfId="0" applyFont="1" applyFill="1" applyBorder="1" applyAlignment="1">
      <alignment vertical="center"/>
    </xf>
    <xf numFmtId="0" fontId="24" fillId="6" borderId="25" xfId="0" applyFont="1" applyFill="1" applyBorder="1" applyAlignment="1">
      <alignment vertical="center"/>
    </xf>
    <xf numFmtId="176" fontId="24" fillId="6" borderId="25" xfId="0" applyNumberFormat="1" applyFont="1" applyFill="1" applyBorder="1" applyAlignment="1">
      <alignment horizontal="right" vertical="center"/>
    </xf>
    <xf numFmtId="176" fontId="24" fillId="6" borderId="26" xfId="0" applyNumberFormat="1" applyFont="1" applyFill="1" applyBorder="1" applyAlignment="1">
      <alignment horizontal="right" vertical="center"/>
    </xf>
    <xf numFmtId="176" fontId="11" fillId="5" borderId="92" xfId="0" applyNumberFormat="1" applyFont="1" applyFill="1" applyBorder="1" applyAlignment="1">
      <alignment horizontal="center" vertical="center" wrapText="1"/>
    </xf>
    <xf numFmtId="176" fontId="11" fillId="5" borderId="93" xfId="0" applyNumberFormat="1" applyFont="1" applyFill="1" applyBorder="1" applyAlignment="1">
      <alignment horizontal="center" vertical="center" wrapText="1"/>
    </xf>
    <xf numFmtId="176" fontId="11" fillId="5" borderId="94" xfId="0" applyNumberFormat="1" applyFont="1" applyFill="1" applyBorder="1" applyAlignment="1">
      <alignment horizontal="center" vertical="center" wrapText="1"/>
    </xf>
    <xf numFmtId="176" fontId="24" fillId="2" borderId="95" xfId="0" applyNumberFormat="1" applyFont="1" applyFill="1" applyBorder="1" applyAlignment="1">
      <alignment vertical="center" wrapText="1"/>
    </xf>
    <xf numFmtId="176" fontId="24" fillId="2" borderId="81" xfId="0" applyNumberFormat="1" applyFont="1" applyFill="1" applyBorder="1" applyAlignment="1">
      <alignment vertical="center" wrapText="1"/>
    </xf>
    <xf numFmtId="176" fontId="24" fillId="2" borderId="96" xfId="0" applyNumberFormat="1" applyFont="1" applyFill="1" applyBorder="1" applyAlignment="1">
      <alignment horizontal="right" vertical="center" wrapText="1"/>
    </xf>
    <xf numFmtId="176" fontId="24" fillId="6" borderId="95" xfId="0" applyNumberFormat="1" applyFont="1" applyFill="1" applyBorder="1" applyAlignment="1">
      <alignment vertical="center" wrapText="1"/>
    </xf>
    <xf numFmtId="176" fontId="24" fillId="6" borderId="81" xfId="0" applyNumberFormat="1" applyFont="1" applyFill="1" applyBorder="1" applyAlignment="1">
      <alignment vertical="center" wrapText="1"/>
    </xf>
    <xf numFmtId="176" fontId="24" fillId="6" borderId="96" xfId="0" applyNumberFormat="1" applyFont="1" applyFill="1" applyBorder="1" applyAlignment="1">
      <alignment horizontal="right" vertical="center" wrapText="1"/>
    </xf>
    <xf numFmtId="176" fontId="24" fillId="3" borderId="95" xfId="0" applyNumberFormat="1" applyFont="1" applyFill="1" applyBorder="1" applyAlignment="1">
      <alignment vertical="center" wrapText="1"/>
    </xf>
    <xf numFmtId="176" fontId="24" fillId="3" borderId="81" xfId="0" applyNumberFormat="1" applyFont="1" applyFill="1" applyBorder="1" applyAlignment="1">
      <alignment vertical="center" wrapText="1"/>
    </xf>
    <xf numFmtId="176" fontId="25" fillId="0" borderId="95" xfId="0" applyNumberFormat="1" applyFont="1" applyBorder="1" applyAlignment="1">
      <alignment vertical="center" wrapText="1"/>
    </xf>
    <xf numFmtId="176" fontId="25" fillId="0" borderId="81" xfId="0" applyNumberFormat="1" applyFont="1" applyBorder="1" applyAlignment="1">
      <alignment vertical="center" wrapText="1"/>
    </xf>
    <xf numFmtId="176" fontId="24" fillId="3" borderId="96" xfId="0" applyNumberFormat="1" applyFont="1" applyFill="1" applyBorder="1" applyAlignment="1">
      <alignment horizontal="right" vertical="center" wrapText="1"/>
    </xf>
    <xf numFmtId="176" fontId="24" fillId="2" borderId="81" xfId="0" applyNumberFormat="1" applyFont="1" applyFill="1" applyBorder="1" applyAlignment="1">
      <alignment vertical="center"/>
    </xf>
    <xf numFmtId="176" fontId="24" fillId="2" borderId="97" xfId="0" applyNumberFormat="1" applyFont="1" applyFill="1" applyBorder="1" applyAlignment="1">
      <alignment vertical="center" wrapText="1"/>
    </xf>
    <xf numFmtId="176" fontId="24" fillId="2" borderId="98" xfId="0" applyNumberFormat="1" applyFont="1" applyFill="1" applyBorder="1" applyAlignment="1">
      <alignment vertical="center" wrapText="1"/>
    </xf>
    <xf numFmtId="176" fontId="24" fillId="2" borderId="99" xfId="0" applyNumberFormat="1" applyFont="1" applyFill="1" applyBorder="1" applyAlignment="1">
      <alignment horizontal="right" vertical="center" wrapText="1"/>
    </xf>
    <xf numFmtId="176" fontId="11" fillId="5" borderId="49" xfId="0" applyNumberFormat="1" applyFont="1" applyFill="1" applyBorder="1" applyAlignment="1">
      <alignment horizontal="center" vertical="center"/>
    </xf>
    <xf numFmtId="176" fontId="25" fillId="0" borderId="48" xfId="0" applyNumberFormat="1" applyFont="1" applyBorder="1" applyAlignment="1">
      <alignment vertical="center"/>
    </xf>
    <xf numFmtId="176" fontId="25" fillId="0" borderId="49" xfId="0" applyNumberFormat="1" applyFont="1" applyBorder="1" applyAlignment="1">
      <alignment horizontal="right" vertical="center"/>
    </xf>
    <xf numFmtId="176" fontId="9" fillId="0" borderId="49" xfId="0" applyNumberFormat="1" applyFont="1" applyBorder="1" applyAlignment="1">
      <alignment vertical="center"/>
    </xf>
    <xf numFmtId="176" fontId="9" fillId="0" borderId="90" xfId="0" applyNumberFormat="1" applyFont="1" applyBorder="1" applyAlignment="1">
      <alignment vertical="center"/>
    </xf>
    <xf numFmtId="176" fontId="25" fillId="3" borderId="48" xfId="0" applyNumberFormat="1" applyFont="1" applyFill="1" applyBorder="1" applyAlignment="1">
      <alignment vertical="center"/>
    </xf>
    <xf numFmtId="176" fontId="25" fillId="3" borderId="49" xfId="0" applyNumberFormat="1" applyFont="1" applyFill="1" applyBorder="1" applyAlignment="1">
      <alignment horizontal="right" vertical="center"/>
    </xf>
    <xf numFmtId="176" fontId="9" fillId="3" borderId="49" xfId="0" applyNumberFormat="1" applyFont="1" applyFill="1" applyBorder="1" applyAlignment="1">
      <alignment vertical="center"/>
    </xf>
    <xf numFmtId="176" fontId="9" fillId="3" borderId="90" xfId="0" applyNumberFormat="1" applyFont="1" applyFill="1" applyBorder="1" applyAlignment="1">
      <alignment vertical="center"/>
    </xf>
    <xf numFmtId="176" fontId="9" fillId="0" borderId="48" xfId="0" applyNumberFormat="1" applyFont="1" applyBorder="1" applyAlignment="1">
      <alignment vertical="center"/>
    </xf>
    <xf numFmtId="176" fontId="25" fillId="3" borderId="90" xfId="0" applyNumberFormat="1" applyFont="1" applyFill="1" applyBorder="1" applyAlignment="1">
      <alignment horizontal="right" vertical="center"/>
    </xf>
    <xf numFmtId="0" fontId="11" fillId="5" borderId="19" xfId="0" applyFont="1" applyFill="1" applyBorder="1" applyAlignment="1">
      <alignment vertical="center"/>
    </xf>
    <xf numFmtId="0" fontId="11" fillId="5" borderId="20" xfId="0" applyFont="1" applyFill="1" applyBorder="1" applyAlignment="1">
      <alignment vertical="center"/>
    </xf>
    <xf numFmtId="0" fontId="11" fillId="5" borderId="20" xfId="0" applyFont="1" applyFill="1" applyBorder="1" applyAlignment="1">
      <alignment horizontal="centerContinuous" vertical="center"/>
    </xf>
    <xf numFmtId="0" fontId="11" fillId="5" borderId="21" xfId="0" applyFont="1" applyFill="1" applyBorder="1" applyAlignment="1">
      <alignment horizontal="centerContinuous" vertical="center"/>
    </xf>
    <xf numFmtId="0" fontId="11" fillId="5" borderId="22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Continuous" vertical="center" wrapText="1"/>
    </xf>
    <xf numFmtId="0" fontId="11" fillId="5" borderId="23" xfId="0" applyFont="1" applyFill="1" applyBorder="1" applyAlignment="1">
      <alignment horizontal="centerContinuous" vertical="center" wrapText="1"/>
    </xf>
    <xf numFmtId="0" fontId="10" fillId="2" borderId="22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181" fontId="10" fillId="2" borderId="1" xfId="0" applyNumberFormat="1" applyFont="1" applyFill="1" applyBorder="1" applyAlignment="1">
      <alignment vertical="center"/>
    </xf>
    <xf numFmtId="181" fontId="10" fillId="2" borderId="23" xfId="0" applyNumberFormat="1" applyFont="1" applyFill="1" applyBorder="1" applyAlignment="1">
      <alignment vertical="center"/>
    </xf>
    <xf numFmtId="0" fontId="10" fillId="3" borderId="22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181" fontId="10" fillId="3" borderId="1" xfId="0" applyNumberFormat="1" applyFont="1" applyFill="1" applyBorder="1" applyAlignment="1">
      <alignment vertical="center"/>
    </xf>
    <xf numFmtId="181" fontId="10" fillId="3" borderId="23" xfId="0" applyNumberFormat="1" applyFont="1" applyFill="1" applyBorder="1" applyAlignment="1">
      <alignment vertical="center"/>
    </xf>
    <xf numFmtId="0" fontId="25" fillId="0" borderId="22" xfId="0" applyFont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181" fontId="25" fillId="0" borderId="1" xfId="0" applyNumberFormat="1" applyFont="1" applyBorder="1" applyAlignment="1">
      <alignment horizontal="right" vertical="center" wrapText="1"/>
    </xf>
    <xf numFmtId="181" fontId="25" fillId="0" borderId="23" xfId="0" applyNumberFormat="1" applyFont="1" applyBorder="1" applyAlignment="1">
      <alignment horizontal="right" vertical="center" wrapText="1"/>
    </xf>
    <xf numFmtId="0" fontId="10" fillId="2" borderId="24" xfId="0" applyFont="1" applyFill="1" applyBorder="1" applyAlignment="1">
      <alignment vertical="center"/>
    </xf>
    <xf numFmtId="0" fontId="10" fillId="2" borderId="25" xfId="0" applyFont="1" applyFill="1" applyBorder="1" applyAlignment="1">
      <alignment vertical="center"/>
    </xf>
    <xf numFmtId="181" fontId="10" fillId="2" borderId="25" xfId="0" applyNumberFormat="1" applyFont="1" applyFill="1" applyBorder="1" applyAlignment="1">
      <alignment vertical="center"/>
    </xf>
    <xf numFmtId="181" fontId="10" fillId="2" borderId="26" xfId="0" applyNumberFormat="1" applyFont="1" applyFill="1" applyBorder="1" applyAlignment="1">
      <alignment vertical="center"/>
    </xf>
    <xf numFmtId="0" fontId="9" fillId="0" borderId="56" xfId="0" applyFont="1" applyBorder="1" applyAlignment="1">
      <alignment vertical="center"/>
    </xf>
    <xf numFmtId="0" fontId="9" fillId="0" borderId="57" xfId="0" applyFont="1" applyBorder="1" applyAlignment="1">
      <alignment vertical="center"/>
    </xf>
    <xf numFmtId="0" fontId="8" fillId="0" borderId="57" xfId="0" applyFont="1" applyBorder="1" applyAlignment="1">
      <alignment vertical="center"/>
    </xf>
    <xf numFmtId="0" fontId="8" fillId="0" borderId="58" xfId="0" applyFont="1" applyBorder="1" applyAlignment="1">
      <alignment vertical="center"/>
    </xf>
    <xf numFmtId="0" fontId="9" fillId="0" borderId="59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60" xfId="0" applyFont="1" applyBorder="1" applyAlignment="1">
      <alignment vertical="center"/>
    </xf>
    <xf numFmtId="0" fontId="9" fillId="0" borderId="61" xfId="0" applyFont="1" applyBorder="1" applyAlignment="1">
      <alignment vertical="center"/>
    </xf>
    <xf numFmtId="0" fontId="9" fillId="0" borderId="62" xfId="0" applyFont="1" applyBorder="1" applyAlignment="1">
      <alignment vertical="center"/>
    </xf>
    <xf numFmtId="0" fontId="8" fillId="0" borderId="62" xfId="0" applyFont="1" applyBorder="1" applyAlignment="1">
      <alignment vertical="center"/>
    </xf>
    <xf numFmtId="0" fontId="8" fillId="0" borderId="63" xfId="0" applyFont="1" applyBorder="1" applyAlignment="1">
      <alignment vertical="center"/>
    </xf>
    <xf numFmtId="181" fontId="9" fillId="0" borderId="0" xfId="0" applyNumberFormat="1" applyFont="1" applyAlignment="1">
      <alignment vertical="center"/>
    </xf>
    <xf numFmtId="176" fontId="11" fillId="5" borderId="40" xfId="0" applyNumberFormat="1" applyFont="1" applyFill="1" applyBorder="1" applyAlignment="1">
      <alignment horizontal="center" vertical="center"/>
    </xf>
    <xf numFmtId="176" fontId="10" fillId="0" borderId="74" xfId="0" applyNumberFormat="1" applyFont="1" applyBorder="1" applyAlignment="1">
      <alignment vertical="center"/>
    </xf>
    <xf numFmtId="176" fontId="9" fillId="0" borderId="73" xfId="0" applyNumberFormat="1" applyFont="1" applyBorder="1" applyAlignment="1">
      <alignment vertical="center"/>
    </xf>
    <xf numFmtId="176" fontId="9" fillId="0" borderId="74" xfId="0" applyNumberFormat="1" applyFont="1" applyBorder="1" applyAlignment="1">
      <alignment vertical="center"/>
    </xf>
    <xf numFmtId="176" fontId="9" fillId="0" borderId="75" xfId="0" applyNumberFormat="1" applyFont="1" applyBorder="1" applyAlignment="1">
      <alignment vertical="center"/>
    </xf>
    <xf numFmtId="176" fontId="11" fillId="5" borderId="56" xfId="0" applyNumberFormat="1" applyFont="1" applyFill="1" applyBorder="1" applyAlignment="1">
      <alignment horizontal="center" vertical="center"/>
    </xf>
    <xf numFmtId="176" fontId="11" fillId="5" borderId="57" xfId="0" applyNumberFormat="1" applyFont="1" applyFill="1" applyBorder="1" applyAlignment="1">
      <alignment horizontal="center" vertical="center"/>
    </xf>
    <xf numFmtId="176" fontId="11" fillId="5" borderId="58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9" fillId="0" borderId="62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176" fontId="9" fillId="0" borderId="56" xfId="0" applyNumberFormat="1" applyFont="1" applyBorder="1" applyAlignment="1">
      <alignment vertical="center"/>
    </xf>
    <xf numFmtId="176" fontId="9" fillId="0" borderId="57" xfId="0" applyNumberFormat="1" applyFont="1" applyBorder="1" applyAlignment="1">
      <alignment vertical="center"/>
    </xf>
    <xf numFmtId="176" fontId="9" fillId="0" borderId="58" xfId="0" applyNumberFormat="1" applyFont="1" applyBorder="1" applyAlignment="1">
      <alignment vertical="center"/>
    </xf>
    <xf numFmtId="176" fontId="9" fillId="0" borderId="0" xfId="0" applyNumberFormat="1" applyFont="1" applyBorder="1" applyAlignment="1">
      <alignment horizontal="right" vertical="center"/>
    </xf>
    <xf numFmtId="0" fontId="11" fillId="5" borderId="3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176" fontId="11" fillId="5" borderId="79" xfId="0" applyNumberFormat="1" applyFont="1" applyFill="1" applyBorder="1" applyAlignment="1">
      <alignment horizontal="center" vertical="center" wrapText="1"/>
    </xf>
    <xf numFmtId="0" fontId="9" fillId="0" borderId="39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176" fontId="11" fillId="5" borderId="76" xfId="0" applyNumberFormat="1" applyFont="1" applyFill="1" applyBorder="1" applyAlignment="1">
      <alignment horizontal="center" vertical="center" wrapText="1"/>
    </xf>
    <xf numFmtId="0" fontId="23" fillId="2" borderId="41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horizontal="center" vertical="center"/>
    </xf>
    <xf numFmtId="176" fontId="23" fillId="2" borderId="0" xfId="0" applyNumberFormat="1" applyFont="1" applyFill="1" applyBorder="1" applyAlignment="1">
      <alignment horizontal="right" vertical="center"/>
    </xf>
    <xf numFmtId="176" fontId="23" fillId="2" borderId="60" xfId="0" applyNumberFormat="1" applyFont="1" applyFill="1" applyBorder="1" applyAlignment="1">
      <alignment horizontal="right" vertical="center"/>
    </xf>
    <xf numFmtId="176" fontId="23" fillId="2" borderId="59" xfId="0" applyNumberFormat="1" applyFont="1" applyFill="1" applyBorder="1" applyAlignment="1">
      <alignment horizontal="right" vertical="center"/>
    </xf>
    <xf numFmtId="176" fontId="23" fillId="2" borderId="77" xfId="0" applyNumberFormat="1" applyFont="1" applyFill="1" applyBorder="1" applyAlignment="1">
      <alignment horizontal="right" vertical="center"/>
    </xf>
    <xf numFmtId="0" fontId="23" fillId="0" borderId="41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176" fontId="23" fillId="0" borderId="0" xfId="0" applyNumberFormat="1" applyFont="1" applyBorder="1" applyAlignment="1">
      <alignment horizontal="right" vertical="center"/>
    </xf>
    <xf numFmtId="176" fontId="23" fillId="0" borderId="60" xfId="0" applyNumberFormat="1" applyFont="1" applyBorder="1" applyAlignment="1">
      <alignment horizontal="right" vertical="center"/>
    </xf>
    <xf numFmtId="176" fontId="23" fillId="0" borderId="59" xfId="0" applyNumberFormat="1" applyFont="1" applyBorder="1" applyAlignment="1">
      <alignment horizontal="right" vertical="center"/>
    </xf>
    <xf numFmtId="176" fontId="23" fillId="0" borderId="77" xfId="0" applyNumberFormat="1" applyFont="1" applyFill="1" applyBorder="1" applyAlignment="1">
      <alignment horizontal="right" vertical="center"/>
    </xf>
    <xf numFmtId="176" fontId="23" fillId="0" borderId="77" xfId="0" applyNumberFormat="1" applyFont="1" applyBorder="1" applyAlignment="1">
      <alignment horizontal="right" vertical="center"/>
    </xf>
    <xf numFmtId="0" fontId="23" fillId="0" borderId="41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176" fontId="23" fillId="0" borderId="0" xfId="0" applyNumberFormat="1" applyFont="1" applyFill="1" applyBorder="1" applyAlignment="1">
      <alignment horizontal="right" vertical="center"/>
    </xf>
    <xf numFmtId="176" fontId="23" fillId="0" borderId="60" xfId="0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176" fontId="23" fillId="0" borderId="59" xfId="0" applyNumberFormat="1" applyFont="1" applyFill="1" applyBorder="1" applyAlignment="1">
      <alignment horizontal="right" vertical="center"/>
    </xf>
    <xf numFmtId="0" fontId="23" fillId="0" borderId="43" xfId="0" applyFont="1" applyBorder="1" applyAlignment="1">
      <alignment vertical="center"/>
    </xf>
    <xf numFmtId="0" fontId="23" fillId="0" borderId="44" xfId="0" applyFont="1" applyBorder="1" applyAlignment="1">
      <alignment vertical="center"/>
    </xf>
    <xf numFmtId="0" fontId="23" fillId="0" borderId="44" xfId="0" applyFont="1" applyBorder="1" applyAlignment="1">
      <alignment horizontal="center" vertical="center"/>
    </xf>
    <xf numFmtId="176" fontId="23" fillId="0" borderId="44" xfId="0" applyNumberFormat="1" applyFont="1" applyBorder="1" applyAlignment="1">
      <alignment horizontal="right" vertical="center"/>
    </xf>
    <xf numFmtId="176" fontId="23" fillId="0" borderId="80" xfId="0" applyNumberFormat="1" applyFont="1" applyBorder="1" applyAlignment="1">
      <alignment horizontal="right" vertical="center"/>
    </xf>
    <xf numFmtId="0" fontId="9" fillId="0" borderId="44" xfId="0" applyFont="1" applyBorder="1" applyAlignment="1">
      <alignment vertical="center"/>
    </xf>
    <xf numFmtId="176" fontId="23" fillId="0" borderId="78" xfId="0" applyNumberFormat="1" applyFont="1" applyBorder="1" applyAlignment="1">
      <alignment horizontal="right" vertical="center"/>
    </xf>
    <xf numFmtId="0" fontId="9" fillId="0" borderId="57" xfId="0" applyFont="1" applyBorder="1" applyAlignment="1">
      <alignment horizontal="center" vertical="center"/>
    </xf>
    <xf numFmtId="176" fontId="9" fillId="0" borderId="57" xfId="0" applyNumberFormat="1" applyFont="1" applyBorder="1" applyAlignment="1">
      <alignment horizontal="right" vertical="center"/>
    </xf>
    <xf numFmtId="176" fontId="9" fillId="0" borderId="58" xfId="0" applyNumberFormat="1" applyFont="1" applyBorder="1" applyAlignment="1">
      <alignment horizontal="right" vertical="center"/>
    </xf>
    <xf numFmtId="176" fontId="9" fillId="0" borderId="60" xfId="0" applyNumberFormat="1" applyFont="1" applyBorder="1" applyAlignment="1">
      <alignment horizontal="right" vertical="center"/>
    </xf>
    <xf numFmtId="0" fontId="9" fillId="0" borderId="62" xfId="0" applyFont="1" applyBorder="1" applyAlignment="1">
      <alignment horizontal="center" vertical="center"/>
    </xf>
    <xf numFmtId="176" fontId="9" fillId="0" borderId="62" xfId="0" applyNumberFormat="1" applyFont="1" applyBorder="1" applyAlignment="1">
      <alignment horizontal="right" vertical="center"/>
    </xf>
    <xf numFmtId="176" fontId="9" fillId="0" borderId="63" xfId="0" applyNumberFormat="1" applyFont="1" applyBorder="1" applyAlignment="1">
      <alignment horizontal="right" vertical="center"/>
    </xf>
    <xf numFmtId="0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11" fillId="5" borderId="56" xfId="0" applyNumberFormat="1" applyFont="1" applyFill="1" applyBorder="1" applyAlignment="1">
      <alignment horizontal="center" vertical="center"/>
    </xf>
    <xf numFmtId="176" fontId="19" fillId="0" borderId="71" xfId="0" applyNumberFormat="1" applyFont="1" applyBorder="1" applyAlignment="1">
      <alignment horizontal="center" vertical="center"/>
    </xf>
    <xf numFmtId="176" fontId="19" fillId="0" borderId="88" xfId="0" applyNumberFormat="1" applyFont="1" applyBorder="1" applyAlignment="1">
      <alignment horizontal="center" vertical="center"/>
    </xf>
    <xf numFmtId="176" fontId="10" fillId="0" borderId="72" xfId="0" applyNumberFormat="1" applyFont="1" applyBorder="1" applyAlignment="1">
      <alignment horizontal="center" vertical="center"/>
    </xf>
    <xf numFmtId="0" fontId="23" fillId="6" borderId="59" xfId="0" applyNumberFormat="1" applyFont="1" applyFill="1" applyBorder="1" applyAlignment="1">
      <alignment horizontal="center" vertical="center"/>
    </xf>
    <xf numFmtId="176" fontId="23" fillId="6" borderId="0" xfId="0" applyNumberFormat="1" applyFont="1" applyFill="1" applyBorder="1" applyAlignment="1">
      <alignment vertical="center"/>
    </xf>
    <xf numFmtId="176" fontId="23" fillId="6" borderId="60" xfId="0" applyNumberFormat="1" applyFont="1" applyFill="1" applyBorder="1" applyAlignment="1">
      <alignment vertical="center"/>
    </xf>
    <xf numFmtId="176" fontId="23" fillId="0" borderId="0" xfId="0" applyNumberFormat="1" applyFont="1" applyBorder="1" applyAlignment="1">
      <alignment vertical="center"/>
    </xf>
    <xf numFmtId="176" fontId="9" fillId="0" borderId="60" xfId="0" applyNumberFormat="1" applyFont="1" applyBorder="1" applyAlignment="1">
      <alignment horizontal="center" vertical="center"/>
    </xf>
    <xf numFmtId="0" fontId="23" fillId="0" borderId="59" xfId="0" applyNumberFormat="1" applyFont="1" applyBorder="1" applyAlignment="1">
      <alignment horizontal="center" vertical="center"/>
    </xf>
    <xf numFmtId="176" fontId="23" fillId="0" borderId="60" xfId="0" applyNumberFormat="1" applyFont="1" applyBorder="1" applyAlignment="1">
      <alignment vertical="center"/>
    </xf>
    <xf numFmtId="0" fontId="23" fillId="0" borderId="59" xfId="0" applyNumberFormat="1" applyFont="1" applyFill="1" applyBorder="1" applyAlignment="1">
      <alignment horizontal="center" vertical="center"/>
    </xf>
    <xf numFmtId="176" fontId="23" fillId="0" borderId="0" xfId="0" applyNumberFormat="1" applyFont="1" applyFill="1" applyBorder="1" applyAlignment="1">
      <alignment vertical="center"/>
    </xf>
    <xf numFmtId="176" fontId="23" fillId="0" borderId="60" xfId="0" applyNumberFormat="1" applyFont="1" applyFill="1" applyBorder="1" applyAlignment="1">
      <alignment vertical="center"/>
    </xf>
    <xf numFmtId="176" fontId="19" fillId="0" borderId="59" xfId="0" applyNumberFormat="1" applyFont="1" applyFill="1" applyBorder="1" applyAlignment="1">
      <alignment vertical="center"/>
    </xf>
    <xf numFmtId="176" fontId="9" fillId="0" borderId="60" xfId="0" applyNumberFormat="1" applyFont="1" applyFill="1" applyBorder="1" applyAlignment="1">
      <alignment horizontal="center" vertical="center"/>
    </xf>
    <xf numFmtId="0" fontId="23" fillId="17" borderId="59" xfId="0" applyNumberFormat="1" applyFont="1" applyFill="1" applyBorder="1" applyAlignment="1">
      <alignment horizontal="center" vertical="center"/>
    </xf>
    <xf numFmtId="176" fontId="23" fillId="17" borderId="0" xfId="0" applyNumberFormat="1" applyFont="1" applyFill="1" applyBorder="1" applyAlignment="1">
      <alignment vertical="center"/>
    </xf>
    <xf numFmtId="176" fontId="23" fillId="17" borderId="60" xfId="0" applyNumberFormat="1" applyFont="1" applyFill="1" applyBorder="1" applyAlignment="1">
      <alignment vertical="center"/>
    </xf>
    <xf numFmtId="0" fontId="23" fillId="0" borderId="61" xfId="0" applyNumberFormat="1" applyFont="1" applyBorder="1" applyAlignment="1">
      <alignment horizontal="center" vertical="center"/>
    </xf>
    <xf numFmtId="176" fontId="23" fillId="0" borderId="62" xfId="0" applyNumberFormat="1" applyFont="1" applyBorder="1" applyAlignment="1">
      <alignment vertical="center"/>
    </xf>
    <xf numFmtId="176" fontId="23" fillId="0" borderId="63" xfId="0" applyNumberFormat="1" applyFont="1" applyBorder="1" applyAlignment="1">
      <alignment vertical="center"/>
    </xf>
    <xf numFmtId="176" fontId="19" fillId="0" borderId="61" xfId="0" applyNumberFormat="1" applyFont="1" applyBorder="1" applyAlignment="1">
      <alignment vertical="center"/>
    </xf>
    <xf numFmtId="176" fontId="9" fillId="0" borderId="63" xfId="0" applyNumberFormat="1" applyFont="1" applyBorder="1" applyAlignment="1">
      <alignment horizontal="center" vertical="center"/>
    </xf>
    <xf numFmtId="0" fontId="23" fillId="0" borderId="71" xfId="0" applyNumberFormat="1" applyFont="1" applyBorder="1" applyAlignment="1">
      <alignment horizontal="center" vertical="center"/>
    </xf>
    <xf numFmtId="176" fontId="23" fillId="0" borderId="88" xfId="0" applyNumberFormat="1" applyFont="1" applyBorder="1" applyAlignment="1">
      <alignment vertical="center"/>
    </xf>
    <xf numFmtId="176" fontId="23" fillId="0" borderId="72" xfId="0" applyNumberFormat="1" applyFont="1" applyBorder="1" applyAlignment="1">
      <alignment vertical="center"/>
    </xf>
    <xf numFmtId="176" fontId="23" fillId="0" borderId="0" xfId="0" applyNumberFormat="1" applyFont="1" applyAlignment="1">
      <alignment vertical="center"/>
    </xf>
    <xf numFmtId="0" fontId="23" fillId="0" borderId="0" xfId="0" applyNumberFormat="1" applyFont="1" applyAlignment="1">
      <alignment horizontal="center" vertical="center"/>
    </xf>
    <xf numFmtId="176" fontId="26" fillId="0" borderId="0" xfId="0" applyNumberFormat="1" applyFont="1" applyBorder="1" applyAlignment="1">
      <alignment horizontal="center" vertical="center"/>
    </xf>
    <xf numFmtId="176" fontId="9" fillId="0" borderId="42" xfId="0" applyNumberFormat="1" applyFont="1" applyBorder="1" applyAlignment="1">
      <alignment horizontal="right" vertical="center"/>
    </xf>
    <xf numFmtId="176" fontId="9" fillId="0" borderId="42" xfId="0" applyNumberFormat="1" applyFont="1" applyFill="1" applyBorder="1" applyAlignment="1">
      <alignment horizontal="right" vertical="center"/>
    </xf>
    <xf numFmtId="176" fontId="9" fillId="9" borderId="0" xfId="0" applyNumberFormat="1" applyFont="1" applyFill="1" applyBorder="1" applyAlignment="1">
      <alignment vertical="center"/>
    </xf>
    <xf numFmtId="176" fontId="9" fillId="9" borderId="0" xfId="0" applyNumberFormat="1" applyFont="1" applyFill="1" applyBorder="1" applyAlignment="1">
      <alignment horizontal="center" vertical="center"/>
    </xf>
    <xf numFmtId="176" fontId="9" fillId="9" borderId="42" xfId="0" applyNumberFormat="1" applyFont="1" applyFill="1" applyBorder="1" applyAlignment="1">
      <alignment horizontal="right" vertical="center"/>
    </xf>
    <xf numFmtId="176" fontId="9" fillId="0" borderId="44" xfId="0" applyNumberFormat="1" applyFont="1" applyFill="1" applyBorder="1" applyAlignment="1">
      <alignment vertical="center"/>
    </xf>
    <xf numFmtId="176" fontId="9" fillId="0" borderId="44" xfId="0" applyNumberFormat="1" applyFont="1" applyFill="1" applyBorder="1" applyAlignment="1">
      <alignment horizontal="center" vertical="center"/>
    </xf>
    <xf numFmtId="176" fontId="9" fillId="0" borderId="45" xfId="0" applyNumberFormat="1" applyFont="1" applyFill="1" applyBorder="1" applyAlignment="1">
      <alignment horizontal="right" vertical="center"/>
    </xf>
    <xf numFmtId="176" fontId="27" fillId="0" borderId="0" xfId="0" applyNumberFormat="1" applyFont="1" applyBorder="1" applyAlignment="1">
      <alignment vertical="center"/>
    </xf>
    <xf numFmtId="176" fontId="27" fillId="0" borderId="0" xfId="0" applyNumberFormat="1" applyFont="1" applyBorder="1" applyAlignment="1">
      <alignment horizontal="center" vertical="center"/>
    </xf>
    <xf numFmtId="176" fontId="27" fillId="0" borderId="0" xfId="0" applyNumberFormat="1" applyFont="1" applyBorder="1" applyAlignment="1">
      <alignment horizontal="right" vertical="center"/>
    </xf>
    <xf numFmtId="0" fontId="11" fillId="5" borderId="40" xfId="0" applyFont="1" applyFill="1" applyBorder="1" applyAlignment="1">
      <alignment horizontal="center" vertical="center" wrapText="1"/>
    </xf>
    <xf numFmtId="0" fontId="10" fillId="4" borderId="41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center" vertical="center"/>
    </xf>
    <xf numFmtId="176" fontId="10" fillId="4" borderId="42" xfId="0" applyNumberFormat="1" applyFont="1" applyFill="1" applyBorder="1" applyAlignment="1">
      <alignment vertical="center"/>
    </xf>
    <xf numFmtId="0" fontId="10" fillId="2" borderId="4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0" fillId="3" borderId="41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176" fontId="10" fillId="3" borderId="42" xfId="0" applyNumberFormat="1" applyFont="1" applyFill="1" applyBorder="1" applyAlignment="1">
      <alignment vertical="center"/>
    </xf>
    <xf numFmtId="0" fontId="9" fillId="0" borderId="41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vertical="center"/>
    </xf>
    <xf numFmtId="0" fontId="9" fillId="0" borderId="4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0" fontId="8" fillId="0" borderId="0" xfId="2" applyNumberFormat="1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176" fontId="11" fillId="5" borderId="52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176" fontId="10" fillId="2" borderId="42" xfId="0" applyNumberFormat="1" applyFont="1" applyFill="1" applyBorder="1" applyAlignment="1">
      <alignment horizontal="right" vertical="center"/>
    </xf>
    <xf numFmtId="176" fontId="10" fillId="2" borderId="59" xfId="0" applyNumberFormat="1" applyFont="1" applyFill="1" applyBorder="1" applyAlignment="1">
      <alignment horizontal="right" vertical="center"/>
    </xf>
    <xf numFmtId="176" fontId="10" fillId="2" borderId="60" xfId="0" applyNumberFormat="1" applyFont="1" applyFill="1" applyBorder="1" applyAlignment="1">
      <alignment horizontal="right" vertical="center"/>
    </xf>
    <xf numFmtId="176" fontId="10" fillId="2" borderId="53" xfId="0" applyNumberFormat="1" applyFont="1" applyFill="1" applyBorder="1" applyAlignment="1">
      <alignment horizontal="right" vertical="center"/>
    </xf>
    <xf numFmtId="176" fontId="10" fillId="2" borderId="59" xfId="0" applyNumberFormat="1" applyFont="1" applyFill="1" applyBorder="1" applyAlignment="1">
      <alignment vertical="center"/>
    </xf>
    <xf numFmtId="176" fontId="10" fillId="2" borderId="60" xfId="0" applyNumberFormat="1" applyFont="1" applyFill="1" applyBorder="1" applyAlignment="1">
      <alignment vertical="center"/>
    </xf>
    <xf numFmtId="176" fontId="10" fillId="2" borderId="53" xfId="0" applyNumberFormat="1" applyFont="1" applyFill="1" applyBorder="1" applyAlignment="1">
      <alignment vertical="center"/>
    </xf>
    <xf numFmtId="0" fontId="9" fillId="0" borderId="4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176" fontId="10" fillId="3" borderId="59" xfId="0" applyNumberFormat="1" applyFont="1" applyFill="1" applyBorder="1" applyAlignment="1">
      <alignment vertical="center"/>
    </xf>
    <xf numFmtId="176" fontId="10" fillId="3" borderId="60" xfId="0" applyNumberFormat="1" applyFont="1" applyFill="1" applyBorder="1" applyAlignment="1">
      <alignment vertical="center"/>
    </xf>
    <xf numFmtId="176" fontId="10" fillId="3" borderId="53" xfId="0" applyNumberFormat="1" applyFont="1" applyFill="1" applyBorder="1" applyAlignment="1">
      <alignment vertical="center"/>
    </xf>
    <xf numFmtId="0" fontId="9" fillId="0" borderId="43" xfId="0" applyFont="1" applyBorder="1" applyAlignment="1">
      <alignment horizontal="center" vertical="center"/>
    </xf>
    <xf numFmtId="176" fontId="9" fillId="0" borderId="54" xfId="0" applyNumberFormat="1" applyFont="1" applyBorder="1" applyAlignment="1">
      <alignment vertical="center"/>
    </xf>
    <xf numFmtId="176" fontId="29" fillId="0" borderId="0" xfId="0" applyNumberFormat="1" applyFont="1" applyBorder="1" applyAlignment="1">
      <alignment vertical="center"/>
    </xf>
    <xf numFmtId="3" fontId="9" fillId="0" borderId="0" xfId="0" applyNumberFormat="1" applyFont="1" applyBorder="1" applyAlignment="1">
      <alignment vertical="center"/>
    </xf>
    <xf numFmtId="0" fontId="2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29" fillId="0" borderId="0" xfId="0" applyFont="1" applyAlignment="1">
      <alignment horizontal="center" vertical="center"/>
    </xf>
    <xf numFmtId="176" fontId="8" fillId="11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0" fontId="8" fillId="0" borderId="0" xfId="2" applyNumberFormat="1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Fill="1" applyAlignment="1">
      <alignment vertical="center" wrapText="1"/>
    </xf>
    <xf numFmtId="176" fontId="11" fillId="5" borderId="38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76" fontId="10" fillId="4" borderId="41" xfId="0" applyNumberFormat="1" applyFont="1" applyFill="1" applyBorder="1" applyAlignment="1">
      <alignment vertical="center"/>
    </xf>
    <xf numFmtId="176" fontId="10" fillId="4" borderId="53" xfId="0" applyNumberFormat="1" applyFont="1" applyFill="1" applyBorder="1" applyAlignment="1">
      <alignment vertical="center"/>
    </xf>
    <xf numFmtId="176" fontId="10" fillId="3" borderId="41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176" fontId="10" fillId="0" borderId="41" xfId="0" applyNumberFormat="1" applyFont="1" applyFill="1" applyBorder="1" applyAlignment="1">
      <alignment vertical="center"/>
    </xf>
    <xf numFmtId="0" fontId="29" fillId="0" borderId="0" xfId="0" applyFont="1" applyFill="1" applyAlignment="1">
      <alignment vertical="center"/>
    </xf>
    <xf numFmtId="0" fontId="10" fillId="3" borderId="41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176" fontId="29" fillId="0" borderId="0" xfId="0" applyNumberFormat="1" applyFont="1" applyFill="1" applyAlignment="1">
      <alignment vertical="center"/>
    </xf>
    <xf numFmtId="176" fontId="29" fillId="0" borderId="0" xfId="0" applyNumberFormat="1" applyFont="1" applyAlignment="1">
      <alignment vertical="center"/>
    </xf>
    <xf numFmtId="0" fontId="19" fillId="0" borderId="41" xfId="0" applyFont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23" fillId="0" borderId="41" xfId="0" applyFont="1" applyBorder="1" applyAlignment="1">
      <alignment horizontal="center" vertical="center"/>
    </xf>
    <xf numFmtId="0" fontId="23" fillId="0" borderId="4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4" borderId="43" xfId="0" applyFont="1" applyFill="1" applyBorder="1" applyAlignment="1">
      <alignment horizontal="center" vertical="center"/>
    </xf>
    <xf numFmtId="0" fontId="10" fillId="4" borderId="44" xfId="0" applyFont="1" applyFill="1" applyBorder="1" applyAlignment="1">
      <alignment vertical="center"/>
    </xf>
    <xf numFmtId="0" fontId="9" fillId="4" borderId="44" xfId="0" applyFont="1" applyFill="1" applyBorder="1" applyAlignment="1">
      <alignment horizontal="center" vertical="center"/>
    </xf>
    <xf numFmtId="176" fontId="10" fillId="4" borderId="44" xfId="0" applyNumberFormat="1" applyFont="1" applyFill="1" applyBorder="1" applyAlignment="1">
      <alignment vertical="center"/>
    </xf>
    <xf numFmtId="176" fontId="10" fillId="4" borderId="45" xfId="0" applyNumberFormat="1" applyFont="1" applyFill="1" applyBorder="1" applyAlignment="1">
      <alignment vertical="center"/>
    </xf>
    <xf numFmtId="176" fontId="10" fillId="4" borderId="43" xfId="0" applyNumberFormat="1" applyFont="1" applyFill="1" applyBorder="1" applyAlignment="1">
      <alignment vertical="center"/>
    </xf>
    <xf numFmtId="176" fontId="10" fillId="4" borderId="54" xfId="0" applyNumberFormat="1" applyFont="1" applyFill="1" applyBorder="1" applyAlignment="1">
      <alignment vertical="center"/>
    </xf>
    <xf numFmtId="176" fontId="10" fillId="4" borderId="41" xfId="0" applyNumberFormat="1" applyFont="1" applyFill="1" applyBorder="1" applyAlignment="1">
      <alignment horizontal="center" vertical="center"/>
    </xf>
    <xf numFmtId="176" fontId="10" fillId="2" borderId="41" xfId="0" applyNumberFormat="1" applyFont="1" applyFill="1" applyBorder="1" applyAlignment="1">
      <alignment horizontal="center" vertical="center"/>
    </xf>
    <xf numFmtId="176" fontId="10" fillId="3" borderId="41" xfId="0" applyNumberFormat="1" applyFont="1" applyFill="1" applyBorder="1" applyAlignment="1">
      <alignment horizontal="center" vertical="center"/>
    </xf>
    <xf numFmtId="176" fontId="9" fillId="0" borderId="43" xfId="0" applyNumberFormat="1" applyFont="1" applyBorder="1" applyAlignment="1">
      <alignment horizontal="center" vertical="center"/>
    </xf>
    <xf numFmtId="176" fontId="10" fillId="4" borderId="0" xfId="0" applyNumberFormat="1" applyFont="1" applyFill="1" applyAlignment="1">
      <alignment vertical="center"/>
    </xf>
    <xf numFmtId="176" fontId="10" fillId="2" borderId="0" xfId="0" applyNumberFormat="1" applyFont="1" applyFill="1" applyAlignment="1">
      <alignment vertical="center"/>
    </xf>
    <xf numFmtId="176" fontId="10" fillId="3" borderId="0" xfId="0" applyNumberFormat="1" applyFont="1" applyFill="1" applyAlignment="1">
      <alignment vertical="center"/>
    </xf>
    <xf numFmtId="176" fontId="10" fillId="0" borderId="89" xfId="0" applyNumberFormat="1" applyFont="1" applyBorder="1" applyAlignment="1">
      <alignment vertical="center"/>
    </xf>
    <xf numFmtId="176" fontId="23" fillId="0" borderId="33" xfId="0" applyNumberFormat="1" applyFont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25" fillId="0" borderId="59" xfId="0" applyFont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Border="1" applyAlignment="1">
      <alignment horizontal="center" vertical="center" wrapText="1"/>
    </xf>
    <xf numFmtId="181" fontId="25" fillId="0" borderId="0" xfId="0" applyNumberFormat="1" applyFont="1" applyBorder="1" applyAlignment="1">
      <alignment vertical="center" wrapText="1"/>
    </xf>
    <xf numFmtId="181" fontId="25" fillId="0" borderId="60" xfId="0" applyNumberFormat="1" applyFont="1" applyBorder="1" applyAlignment="1">
      <alignment horizontal="right" vertical="center" wrapText="1"/>
    </xf>
    <xf numFmtId="0" fontId="10" fillId="2" borderId="59" xfId="0" applyFont="1" applyFill="1" applyBorder="1" applyAlignment="1">
      <alignment vertical="center"/>
    </xf>
    <xf numFmtId="181" fontId="10" fillId="2" borderId="0" xfId="0" applyNumberFormat="1" applyFont="1" applyFill="1" applyBorder="1" applyAlignment="1">
      <alignment vertical="center"/>
    </xf>
    <xf numFmtId="181" fontId="10" fillId="2" borderId="60" xfId="0" applyNumberFormat="1" applyFont="1" applyFill="1" applyBorder="1" applyAlignment="1">
      <alignment vertical="center"/>
    </xf>
    <xf numFmtId="0" fontId="10" fillId="3" borderId="59" xfId="0" applyFont="1" applyFill="1" applyBorder="1" applyAlignment="1">
      <alignment vertical="center"/>
    </xf>
    <xf numFmtId="181" fontId="10" fillId="3" borderId="0" xfId="0" applyNumberFormat="1" applyFont="1" applyFill="1" applyBorder="1" applyAlignment="1">
      <alignment vertical="center"/>
    </xf>
    <xf numFmtId="181" fontId="10" fillId="3" borderId="60" xfId="0" applyNumberFormat="1" applyFont="1" applyFill="1" applyBorder="1" applyAlignment="1">
      <alignment vertical="center"/>
    </xf>
    <xf numFmtId="181" fontId="25" fillId="0" borderId="60" xfId="0" applyNumberFormat="1" applyFont="1" applyBorder="1" applyAlignment="1">
      <alignment vertical="center" wrapText="1"/>
    </xf>
    <xf numFmtId="0" fontId="25" fillId="0" borderId="61" xfId="0" applyFont="1" applyBorder="1" applyAlignment="1">
      <alignment vertical="center" wrapText="1"/>
    </xf>
    <xf numFmtId="0" fontId="25" fillId="0" borderId="62" xfId="0" applyFont="1" applyBorder="1" applyAlignment="1">
      <alignment vertical="center" wrapText="1"/>
    </xf>
    <xf numFmtId="0" fontId="25" fillId="0" borderId="62" xfId="0" applyFont="1" applyBorder="1" applyAlignment="1">
      <alignment horizontal="center" vertical="center" wrapText="1"/>
    </xf>
    <xf numFmtId="181" fontId="25" fillId="0" borderId="62" xfId="0" applyNumberFormat="1" applyFont="1" applyBorder="1" applyAlignment="1">
      <alignment vertical="center" wrapText="1"/>
    </xf>
    <xf numFmtId="181" fontId="25" fillId="0" borderId="63" xfId="0" applyNumberFormat="1" applyFont="1" applyBorder="1" applyAlignment="1">
      <alignment vertical="center" wrapText="1"/>
    </xf>
    <xf numFmtId="3" fontId="8" fillId="0" borderId="0" xfId="0" applyNumberFormat="1" applyFont="1" applyAlignment="1">
      <alignment vertical="center"/>
    </xf>
    <xf numFmtId="176" fontId="11" fillId="5" borderId="38" xfId="0" applyNumberFormat="1" applyFont="1" applyFill="1" applyBorder="1" applyAlignment="1">
      <alignment horizontal="center" vertical="center"/>
    </xf>
    <xf numFmtId="176" fontId="11" fillId="5" borderId="39" xfId="0" applyNumberFormat="1" applyFont="1" applyFill="1" applyBorder="1" applyAlignment="1">
      <alignment horizontal="center" vertical="center"/>
    </xf>
    <xf numFmtId="176" fontId="11" fillId="5" borderId="40" xfId="0" applyNumberFormat="1" applyFont="1" applyFill="1" applyBorder="1" applyAlignment="1">
      <alignment horizontal="center" vertical="center"/>
    </xf>
    <xf numFmtId="176" fontId="10" fillId="0" borderId="62" xfId="0" applyNumberFormat="1" applyFont="1" applyBorder="1" applyAlignment="1">
      <alignment vertical="center"/>
    </xf>
    <xf numFmtId="176" fontId="9" fillId="9" borderId="5" xfId="0" applyNumberFormat="1" applyFont="1" applyFill="1" applyBorder="1" applyAlignment="1">
      <alignment horizontal="center" vertical="center"/>
    </xf>
    <xf numFmtId="176" fontId="9" fillId="9" borderId="6" xfId="0" applyNumberFormat="1" applyFont="1" applyFill="1" applyBorder="1" applyAlignment="1">
      <alignment vertical="center"/>
    </xf>
    <xf numFmtId="176" fontId="10" fillId="0" borderId="0" xfId="0" applyNumberFormat="1" applyFont="1" applyFill="1" applyBorder="1" applyAlignment="1">
      <alignment horizontal="center" vertical="center"/>
    </xf>
    <xf numFmtId="176" fontId="26" fillId="0" borderId="0" xfId="0" applyNumberFormat="1" applyFont="1" applyBorder="1" applyAlignment="1">
      <alignment horizontal="left" vertical="center"/>
    </xf>
    <xf numFmtId="176" fontId="10" fillId="0" borderId="0" xfId="1" applyNumberFormat="1" applyFont="1" applyBorder="1" applyAlignment="1">
      <alignment horizontal="center" vertical="center"/>
    </xf>
    <xf numFmtId="176" fontId="27" fillId="0" borderId="41" xfId="0" applyNumberFormat="1" applyFont="1" applyBorder="1" applyAlignment="1">
      <alignment vertical="center"/>
    </xf>
    <xf numFmtId="176" fontId="28" fillId="0" borderId="0" xfId="4" applyNumberFormat="1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left" vertical="center"/>
    </xf>
    <xf numFmtId="176" fontId="9" fillId="0" borderId="0" xfId="1" applyNumberFormat="1" applyFont="1" applyBorder="1" applyAlignment="1">
      <alignment vertical="center"/>
    </xf>
    <xf numFmtId="176" fontId="9" fillId="0" borderId="0" xfId="0" applyNumberFormat="1" applyFont="1"/>
    <xf numFmtId="176" fontId="27" fillId="0" borderId="41" xfId="0" applyNumberFormat="1" applyFont="1" applyFill="1" applyBorder="1" applyAlignment="1">
      <alignment vertical="center"/>
    </xf>
    <xf numFmtId="176" fontId="28" fillId="0" borderId="0" xfId="4" applyNumberFormat="1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left" vertical="center"/>
    </xf>
    <xf numFmtId="176" fontId="9" fillId="0" borderId="0" xfId="1" applyNumberFormat="1" applyFont="1" applyFill="1" applyBorder="1" applyAlignment="1">
      <alignment vertical="center"/>
    </xf>
    <xf numFmtId="176" fontId="28" fillId="0" borderId="0" xfId="4" applyNumberFormat="1" applyFont="1" applyFill="1" applyBorder="1" applyAlignment="1">
      <alignment horizontal="left" vertical="center"/>
    </xf>
    <xf numFmtId="176" fontId="28" fillId="0" borderId="0" xfId="4" applyNumberFormat="1" applyFont="1" applyFill="1" applyBorder="1" applyAlignment="1">
      <alignment horizontal="left" vertical="top"/>
    </xf>
    <xf numFmtId="176" fontId="27" fillId="0" borderId="0" xfId="0" applyNumberFormat="1" applyFont="1" applyFill="1" applyBorder="1" applyAlignment="1">
      <alignment horizontal="center" vertical="center"/>
    </xf>
    <xf numFmtId="176" fontId="27" fillId="0" borderId="0" xfId="0" applyNumberFormat="1" applyFont="1" applyFill="1" applyBorder="1" applyAlignment="1">
      <alignment horizontal="left" vertical="center"/>
    </xf>
    <xf numFmtId="176" fontId="27" fillId="9" borderId="41" xfId="0" applyNumberFormat="1" applyFont="1" applyFill="1" applyBorder="1" applyAlignment="1">
      <alignment vertical="center"/>
    </xf>
    <xf numFmtId="176" fontId="27" fillId="0" borderId="43" xfId="0" applyNumberFormat="1" applyFont="1" applyFill="1" applyBorder="1" applyAlignment="1">
      <alignment vertical="center"/>
    </xf>
    <xf numFmtId="176" fontId="27" fillId="0" borderId="44" xfId="0" applyNumberFormat="1" applyFont="1" applyFill="1" applyBorder="1" applyAlignment="1">
      <alignment horizontal="center" vertical="center"/>
    </xf>
    <xf numFmtId="176" fontId="27" fillId="0" borderId="44" xfId="0" applyNumberFormat="1" applyFont="1" applyFill="1" applyBorder="1" applyAlignment="1">
      <alignment horizontal="left" vertical="center"/>
    </xf>
    <xf numFmtId="176" fontId="27" fillId="0" borderId="0" xfId="0" applyNumberFormat="1" applyFont="1" applyBorder="1" applyAlignment="1">
      <alignment horizontal="left" vertical="center"/>
    </xf>
    <xf numFmtId="176" fontId="28" fillId="9" borderId="0" xfId="4" applyNumberFormat="1" applyFont="1" applyFill="1" applyBorder="1" applyAlignment="1">
      <alignment horizontal="center" vertical="center"/>
    </xf>
    <xf numFmtId="176" fontId="9" fillId="9" borderId="0" xfId="0" applyNumberFormat="1" applyFont="1" applyFill="1" applyBorder="1" applyAlignment="1">
      <alignment horizontal="left" vertical="center"/>
    </xf>
    <xf numFmtId="176" fontId="29" fillId="0" borderId="0" xfId="0" applyNumberFormat="1" applyFont="1" applyBorder="1" applyAlignment="1">
      <alignment horizontal="center" vertical="center"/>
    </xf>
    <xf numFmtId="176" fontId="29" fillId="0" borderId="0" xfId="0" applyNumberFormat="1" applyFont="1"/>
    <xf numFmtId="176" fontId="29" fillId="0" borderId="0" xfId="0" applyNumberFormat="1" applyFont="1" applyFill="1"/>
    <xf numFmtId="176" fontId="8" fillId="0" borderId="0" xfId="0" applyNumberFormat="1" applyFont="1" applyFill="1"/>
    <xf numFmtId="176" fontId="8" fillId="0" borderId="0" xfId="0" applyNumberFormat="1" applyFont="1" applyFill="1" applyBorder="1" applyAlignment="1">
      <alignment vertical="center"/>
    </xf>
    <xf numFmtId="183" fontId="9" fillId="0" borderId="0" xfId="0" applyNumberFormat="1" applyFont="1" applyAlignment="1">
      <alignment horizontal="center" vertical="center"/>
    </xf>
    <xf numFmtId="183" fontId="11" fillId="5" borderId="2" xfId="0" applyNumberFormat="1" applyFont="1" applyFill="1" applyBorder="1" applyAlignment="1">
      <alignment horizontal="center" vertical="center" wrapText="1"/>
    </xf>
    <xf numFmtId="176" fontId="10" fillId="5" borderId="3" xfId="0" applyNumberFormat="1" applyFont="1" applyFill="1" applyBorder="1" applyAlignment="1">
      <alignment horizontal="center" vertical="center" wrapText="1"/>
    </xf>
    <xf numFmtId="176" fontId="31" fillId="18" borderId="0" xfId="0" applyNumberFormat="1" applyFont="1" applyFill="1" applyAlignment="1">
      <alignment vertical="center"/>
    </xf>
    <xf numFmtId="176" fontId="9" fillId="18" borderId="0" xfId="0" applyNumberFormat="1" applyFont="1" applyFill="1" applyAlignment="1">
      <alignment vertical="center"/>
    </xf>
    <xf numFmtId="176" fontId="9" fillId="19" borderId="0" xfId="0" applyNumberFormat="1" applyFont="1" applyFill="1" applyAlignment="1">
      <alignment vertical="center"/>
    </xf>
    <xf numFmtId="176" fontId="9" fillId="20" borderId="0" xfId="0" applyNumberFormat="1" applyFont="1" applyFill="1" applyAlignment="1">
      <alignment vertical="center"/>
    </xf>
    <xf numFmtId="176" fontId="9" fillId="21" borderId="0" xfId="0" applyNumberFormat="1" applyFont="1" applyFill="1" applyAlignment="1">
      <alignment vertical="center"/>
    </xf>
    <xf numFmtId="176" fontId="9" fillId="22" borderId="0" xfId="0" applyNumberFormat="1" applyFont="1" applyFill="1" applyAlignment="1">
      <alignment vertical="center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176" fontId="11" fillId="5" borderId="57" xfId="0" applyNumberFormat="1" applyFont="1" applyFill="1" applyBorder="1" applyAlignment="1">
      <alignment horizontal="center" vertical="center"/>
    </xf>
    <xf numFmtId="176" fontId="8" fillId="0" borderId="0" xfId="0" applyNumberFormat="1" applyFont="1" applyBorder="1" applyAlignment="1">
      <alignment horizontal="right" vertical="center"/>
    </xf>
    <xf numFmtId="176" fontId="23" fillId="0" borderId="61" xfId="0" applyNumberFormat="1" applyFont="1" applyBorder="1" applyAlignment="1">
      <alignment horizontal="right" vertical="center"/>
    </xf>
    <xf numFmtId="176" fontId="23" fillId="0" borderId="62" xfId="0" applyNumberFormat="1" applyFont="1" applyBorder="1" applyAlignment="1">
      <alignment horizontal="right" vertical="center"/>
    </xf>
    <xf numFmtId="176" fontId="23" fillId="0" borderId="63" xfId="0" applyNumberFormat="1" applyFont="1" applyBorder="1" applyAlignment="1">
      <alignment horizontal="right" vertical="center"/>
    </xf>
    <xf numFmtId="176" fontId="10" fillId="0" borderId="0" xfId="0" quotePrefix="1" applyNumberFormat="1" applyFont="1" applyAlignment="1">
      <alignment vertical="center"/>
    </xf>
    <xf numFmtId="176" fontId="31" fillId="20" borderId="0" xfId="0" applyNumberFormat="1" applyFont="1" applyFill="1" applyAlignment="1">
      <alignment vertical="center"/>
    </xf>
    <xf numFmtId="176" fontId="9" fillId="9" borderId="0" xfId="0" applyNumberFormat="1" applyFont="1" applyFill="1" applyAlignment="1">
      <alignment vertical="center"/>
    </xf>
    <xf numFmtId="41" fontId="19" fillId="0" borderId="0" xfId="1" applyFont="1" applyBorder="1" applyAlignment="1">
      <alignment horizontal="center" vertical="center"/>
    </xf>
    <xf numFmtId="41" fontId="23" fillId="0" borderId="0" xfId="1" applyFont="1" applyBorder="1" applyAlignment="1">
      <alignment vertical="center"/>
    </xf>
    <xf numFmtId="41" fontId="19" fillId="0" borderId="56" xfId="1" applyFont="1" applyBorder="1" applyAlignment="1">
      <alignment horizontal="center" vertical="center"/>
    </xf>
    <xf numFmtId="41" fontId="19" fillId="0" borderId="58" xfId="1" applyFont="1" applyBorder="1" applyAlignment="1">
      <alignment horizontal="center" vertical="center"/>
    </xf>
    <xf numFmtId="41" fontId="23" fillId="0" borderId="59" xfId="1" applyFont="1" applyBorder="1" applyAlignment="1">
      <alignment horizontal="center" vertical="center"/>
    </xf>
    <xf numFmtId="41" fontId="23" fillId="0" borderId="60" xfId="1" applyFont="1" applyBorder="1" applyAlignment="1">
      <alignment vertical="center"/>
    </xf>
    <xf numFmtId="41" fontId="23" fillId="0" borderId="61" xfId="1" applyFont="1" applyBorder="1" applyAlignment="1">
      <alignment horizontal="center" vertical="center"/>
    </xf>
    <xf numFmtId="41" fontId="23" fillId="0" borderId="63" xfId="1" applyFont="1" applyBorder="1" applyAlignment="1">
      <alignment vertical="center"/>
    </xf>
    <xf numFmtId="176" fontId="29" fillId="9" borderId="0" xfId="0" applyNumberFormat="1" applyFont="1" applyFill="1"/>
    <xf numFmtId="41" fontId="23" fillId="9" borderId="59" xfId="1" applyFont="1" applyFill="1" applyBorder="1" applyAlignment="1">
      <alignment horizontal="center" vertical="center"/>
    </xf>
    <xf numFmtId="41" fontId="23" fillId="9" borderId="60" xfId="1" applyFont="1" applyFill="1" applyBorder="1" applyAlignment="1">
      <alignment vertical="center"/>
    </xf>
    <xf numFmtId="176" fontId="9" fillId="9" borderId="0" xfId="1" applyNumberFormat="1" applyFont="1" applyFill="1" applyBorder="1" applyAlignment="1">
      <alignment vertical="center"/>
    </xf>
    <xf numFmtId="0" fontId="30" fillId="13" borderId="0" xfId="0" applyFont="1" applyFill="1" applyAlignment="1">
      <alignment horizontal="center" vertical="center" wrapText="1"/>
    </xf>
    <xf numFmtId="0" fontId="32" fillId="14" borderId="86" xfId="0" applyFont="1" applyFill="1" applyBorder="1" applyAlignment="1">
      <alignment vertical="center"/>
    </xf>
    <xf numFmtId="179" fontId="32" fillId="14" borderId="86" xfId="0" applyNumberFormat="1" applyFont="1" applyFill="1" applyBorder="1" applyAlignment="1">
      <alignment vertical="center"/>
    </xf>
    <xf numFmtId="179" fontId="32" fillId="20" borderId="86" xfId="0" applyNumberFormat="1" applyFont="1" applyFill="1" applyBorder="1" applyAlignment="1">
      <alignment vertical="center"/>
    </xf>
    <xf numFmtId="176" fontId="10" fillId="3" borderId="0" xfId="0" applyNumberFormat="1" applyFont="1" applyFill="1" applyAlignment="1">
      <alignment horizontal="left" vertical="center"/>
    </xf>
    <xf numFmtId="176" fontId="10" fillId="2" borderId="0" xfId="0" applyNumberFormat="1" applyFont="1" applyFill="1" applyAlignment="1">
      <alignment horizontal="left" vertical="center"/>
    </xf>
    <xf numFmtId="176" fontId="10" fillId="2" borderId="0" xfId="0" applyNumberFormat="1" applyFont="1" applyFill="1" applyAlignment="1">
      <alignment horizontal="right" vertical="center"/>
    </xf>
    <xf numFmtId="176" fontId="9" fillId="0" borderId="42" xfId="0" applyNumberFormat="1" applyFont="1" applyFill="1" applyBorder="1" applyAlignment="1">
      <alignment vertical="center"/>
    </xf>
    <xf numFmtId="176" fontId="27" fillId="9" borderId="0" xfId="0" applyNumberFormat="1" applyFont="1" applyFill="1" applyBorder="1" applyAlignment="1">
      <alignment horizontal="center" vertical="center"/>
    </xf>
    <xf numFmtId="176" fontId="27" fillId="9" borderId="0" xfId="0" applyNumberFormat="1" applyFont="1" applyFill="1" applyBorder="1" applyAlignment="1">
      <alignment horizontal="left" vertical="center"/>
    </xf>
    <xf numFmtId="0" fontId="25" fillId="0" borderId="59" xfId="0" applyFont="1" applyBorder="1" applyAlignment="1">
      <alignment vertical="center"/>
    </xf>
    <xf numFmtId="0" fontId="9" fillId="9" borderId="0" xfId="0" applyFont="1" applyFill="1" applyBorder="1" applyAlignment="1">
      <alignment vertical="center"/>
    </xf>
    <xf numFmtId="0" fontId="9" fillId="9" borderId="41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right" vertical="center"/>
    </xf>
    <xf numFmtId="0" fontId="23" fillId="9" borderId="0" xfId="0" applyFont="1" applyFill="1" applyBorder="1" applyAlignment="1">
      <alignment horizontal="center" vertical="center"/>
    </xf>
    <xf numFmtId="0" fontId="35" fillId="0" borderId="103" xfId="5" applyFont="1" applyAlignment="1">
      <alignment vertical="center"/>
    </xf>
    <xf numFmtId="41" fontId="35" fillId="0" borderId="103" xfId="5" applyNumberFormat="1" applyFont="1" applyAlignment="1">
      <alignment vertical="center"/>
    </xf>
    <xf numFmtId="0" fontId="34" fillId="0" borderId="104" xfId="5" applyFont="1" applyBorder="1" applyAlignment="1">
      <alignment vertical="center"/>
    </xf>
    <xf numFmtId="181" fontId="34" fillId="0" borderId="104" xfId="5" applyNumberFormat="1" applyFont="1" applyBorder="1" applyAlignment="1">
      <alignment vertical="center"/>
    </xf>
    <xf numFmtId="41" fontId="34" fillId="0" borderId="104" xfId="5" applyNumberFormat="1" applyFont="1" applyBorder="1" applyAlignment="1">
      <alignment vertical="center"/>
    </xf>
    <xf numFmtId="0" fontId="34" fillId="0" borderId="103" xfId="5" applyFont="1" applyBorder="1" applyAlignment="1">
      <alignment vertical="center"/>
    </xf>
    <xf numFmtId="41" fontId="34" fillId="0" borderId="103" xfId="5" applyNumberFormat="1" applyFont="1" applyBorder="1" applyAlignment="1">
      <alignment vertical="center"/>
    </xf>
    <xf numFmtId="176" fontId="24" fillId="2" borderId="48" xfId="0" applyNumberFormat="1" applyFont="1" applyFill="1" applyBorder="1" applyAlignment="1">
      <alignment vertical="center"/>
    </xf>
    <xf numFmtId="176" fontId="24" fillId="2" borderId="49" xfId="0" applyNumberFormat="1" applyFont="1" applyFill="1" applyBorder="1" applyAlignment="1">
      <alignment horizontal="right" vertical="center"/>
    </xf>
    <xf numFmtId="176" fontId="10" fillId="2" borderId="49" xfId="0" applyNumberFormat="1" applyFont="1" applyFill="1" applyBorder="1" applyAlignment="1">
      <alignment vertical="center"/>
    </xf>
    <xf numFmtId="176" fontId="10" fillId="2" borderId="90" xfId="0" applyNumberFormat="1" applyFont="1" applyFill="1" applyBorder="1" applyAlignment="1">
      <alignment vertical="center"/>
    </xf>
    <xf numFmtId="176" fontId="10" fillId="2" borderId="48" xfId="0" applyNumberFormat="1" applyFont="1" applyFill="1" applyBorder="1" applyAlignment="1">
      <alignment vertical="center"/>
    </xf>
    <xf numFmtId="176" fontId="10" fillId="2" borderId="50" xfId="0" applyNumberFormat="1" applyFont="1" applyFill="1" applyBorder="1" applyAlignment="1">
      <alignment vertical="center"/>
    </xf>
    <xf numFmtId="176" fontId="10" fillId="2" borderId="51" xfId="0" applyNumberFormat="1" applyFont="1" applyFill="1" applyBorder="1" applyAlignment="1">
      <alignment vertical="center"/>
    </xf>
    <xf numFmtId="176" fontId="10" fillId="2" borderId="91" xfId="0" applyNumberFormat="1" applyFont="1" applyFill="1" applyBorder="1" applyAlignment="1">
      <alignment vertical="center"/>
    </xf>
    <xf numFmtId="176" fontId="24" fillId="2" borderId="105" xfId="0" applyNumberFormat="1" applyFont="1" applyFill="1" applyBorder="1" applyAlignment="1">
      <alignment horizontal="right" vertical="center" wrapText="1"/>
    </xf>
    <xf numFmtId="176" fontId="24" fillId="6" borderId="105" xfId="0" applyNumberFormat="1" applyFont="1" applyFill="1" applyBorder="1" applyAlignment="1">
      <alignment horizontal="right" vertical="center" wrapText="1"/>
    </xf>
    <xf numFmtId="176" fontId="24" fillId="3" borderId="105" xfId="0" applyNumberFormat="1" applyFont="1" applyFill="1" applyBorder="1" applyAlignment="1">
      <alignment horizontal="right" vertical="center" wrapText="1"/>
    </xf>
    <xf numFmtId="176" fontId="25" fillId="0" borderId="105" xfId="0" applyNumberFormat="1" applyFont="1" applyBorder="1" applyAlignment="1">
      <alignment horizontal="right" vertical="center" wrapText="1"/>
    </xf>
    <xf numFmtId="176" fontId="25" fillId="6" borderId="105" xfId="0" applyNumberFormat="1" applyFont="1" applyFill="1" applyBorder="1" applyAlignment="1">
      <alignment horizontal="right" vertical="center" wrapText="1"/>
    </xf>
    <xf numFmtId="176" fontId="24" fillId="2" borderId="106" xfId="0" applyNumberFormat="1" applyFont="1" applyFill="1" applyBorder="1" applyAlignment="1">
      <alignment horizontal="right" vertical="center" wrapText="1"/>
    </xf>
    <xf numFmtId="176" fontId="24" fillId="2" borderId="108" xfId="0" applyNumberFormat="1" applyFont="1" applyFill="1" applyBorder="1" applyAlignment="1">
      <alignment horizontal="right" vertical="center" wrapText="1"/>
    </xf>
    <xf numFmtId="176" fontId="24" fillId="6" borderId="108" xfId="0" applyNumberFormat="1" applyFont="1" applyFill="1" applyBorder="1" applyAlignment="1">
      <alignment horizontal="right" vertical="center" wrapText="1"/>
    </xf>
    <xf numFmtId="176" fontId="10" fillId="3" borderId="108" xfId="0" applyNumberFormat="1" applyFont="1" applyFill="1" applyBorder="1" applyAlignment="1">
      <alignment vertical="center"/>
    </xf>
    <xf numFmtId="176" fontId="9" fillId="0" borderId="108" xfId="0" applyNumberFormat="1" applyFont="1" applyBorder="1" applyAlignment="1">
      <alignment vertical="center"/>
    </xf>
    <xf numFmtId="176" fontId="24" fillId="3" borderId="108" xfId="0" applyNumberFormat="1" applyFont="1" applyFill="1" applyBorder="1" applyAlignment="1">
      <alignment horizontal="right" vertical="center" wrapText="1"/>
    </xf>
    <xf numFmtId="176" fontId="9" fillId="6" borderId="108" xfId="0" applyNumberFormat="1" applyFont="1" applyFill="1" applyBorder="1" applyAlignment="1">
      <alignment vertical="center"/>
    </xf>
    <xf numFmtId="176" fontId="10" fillId="2" borderId="108" xfId="0" applyNumberFormat="1" applyFont="1" applyFill="1" applyBorder="1" applyAlignment="1">
      <alignment vertical="center"/>
    </xf>
    <xf numFmtId="176" fontId="24" fillId="2" borderId="107" xfId="0" applyNumberFormat="1" applyFont="1" applyFill="1" applyBorder="1" applyAlignment="1">
      <alignment horizontal="right" vertical="center" wrapText="1"/>
    </xf>
    <xf numFmtId="176" fontId="25" fillId="0" borderId="96" xfId="0" applyNumberFormat="1" applyFont="1" applyBorder="1" applyAlignment="1">
      <alignment horizontal="right" vertical="center" wrapText="1"/>
    </xf>
    <xf numFmtId="0" fontId="11" fillId="10" borderId="0" xfId="0" applyFont="1" applyFill="1" applyBorder="1" applyAlignment="1">
      <alignment horizontal="center" vertical="center"/>
    </xf>
    <xf numFmtId="0" fontId="11" fillId="5" borderId="56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176" fontId="11" fillId="5" borderId="46" xfId="0" applyNumberFormat="1" applyFont="1" applyFill="1" applyBorder="1" applyAlignment="1">
      <alignment horizontal="center" vertical="center"/>
    </xf>
    <xf numFmtId="176" fontId="11" fillId="5" borderId="48" xfId="0" applyNumberFormat="1" applyFont="1" applyFill="1" applyBorder="1" applyAlignment="1">
      <alignment horizontal="center" vertical="center"/>
    </xf>
    <xf numFmtId="176" fontId="11" fillId="5" borderId="47" xfId="0" applyNumberFormat="1" applyFont="1" applyFill="1" applyBorder="1" applyAlignment="1">
      <alignment horizontal="center" vertical="center"/>
    </xf>
    <xf numFmtId="176" fontId="11" fillId="5" borderId="49" xfId="0" applyNumberFormat="1" applyFont="1" applyFill="1" applyBorder="1" applyAlignment="1">
      <alignment horizontal="center" vertical="center"/>
    </xf>
    <xf numFmtId="176" fontId="11" fillId="5" borderId="85" xfId="0" applyNumberFormat="1" applyFont="1" applyFill="1" applyBorder="1" applyAlignment="1">
      <alignment horizontal="center" vertical="center"/>
    </xf>
    <xf numFmtId="176" fontId="11" fillId="5" borderId="90" xfId="0" applyNumberFormat="1" applyFont="1" applyFill="1" applyBorder="1" applyAlignment="1">
      <alignment horizontal="center" vertical="center"/>
    </xf>
    <xf numFmtId="176" fontId="11" fillId="5" borderId="82" xfId="0" applyNumberFormat="1" applyFont="1" applyFill="1" applyBorder="1" applyAlignment="1">
      <alignment horizontal="center" vertical="center"/>
    </xf>
    <xf numFmtId="176" fontId="11" fillId="5" borderId="83" xfId="0" applyNumberFormat="1" applyFont="1" applyFill="1" applyBorder="1" applyAlignment="1">
      <alignment horizontal="center" vertical="center"/>
    </xf>
    <xf numFmtId="176" fontId="11" fillId="5" borderId="84" xfId="0" applyNumberFormat="1" applyFont="1" applyFill="1" applyBorder="1" applyAlignment="1">
      <alignment horizontal="center" vertical="center"/>
    </xf>
    <xf numFmtId="176" fontId="11" fillId="5" borderId="73" xfId="0" applyNumberFormat="1" applyFont="1" applyFill="1" applyBorder="1" applyAlignment="1">
      <alignment horizontal="center" vertical="center"/>
    </xf>
    <xf numFmtId="176" fontId="11" fillId="5" borderId="74" xfId="0" applyNumberFormat="1" applyFont="1" applyFill="1" applyBorder="1" applyAlignment="1">
      <alignment horizontal="center" vertical="center"/>
    </xf>
    <xf numFmtId="176" fontId="11" fillId="5" borderId="75" xfId="0" applyNumberFormat="1" applyFont="1" applyFill="1" applyBorder="1" applyAlignment="1">
      <alignment horizontal="center" vertical="center"/>
    </xf>
    <xf numFmtId="176" fontId="23" fillId="0" borderId="19" xfId="0" applyNumberFormat="1" applyFont="1" applyBorder="1" applyAlignment="1">
      <alignment horizontal="center" vertical="center" wrapText="1"/>
    </xf>
    <xf numFmtId="176" fontId="23" fillId="0" borderId="32" xfId="0" applyNumberFormat="1" applyFont="1" applyBorder="1" applyAlignment="1">
      <alignment horizontal="center" vertical="center" wrapText="1"/>
    </xf>
    <xf numFmtId="176" fontId="19" fillId="0" borderId="35" xfId="0" applyNumberFormat="1" applyFont="1" applyBorder="1" applyAlignment="1">
      <alignment horizontal="center" vertical="center"/>
    </xf>
    <xf numFmtId="176" fontId="19" fillId="0" borderId="36" xfId="0" applyNumberFormat="1" applyFont="1" applyBorder="1" applyAlignment="1">
      <alignment horizontal="center" vertical="center"/>
    </xf>
    <xf numFmtId="176" fontId="23" fillId="0" borderId="30" xfId="0" applyNumberFormat="1" applyFont="1" applyBorder="1" applyAlignment="1">
      <alignment horizontal="center" vertical="center" wrapText="1"/>
    </xf>
    <xf numFmtId="176" fontId="23" fillId="0" borderId="35" xfId="0" applyNumberFormat="1" applyFont="1" applyBorder="1" applyAlignment="1">
      <alignment horizontal="center" vertical="center"/>
    </xf>
    <xf numFmtId="176" fontId="23" fillId="0" borderId="36" xfId="0" applyNumberFormat="1" applyFont="1" applyBorder="1" applyAlignment="1">
      <alignment horizontal="center" vertical="center"/>
    </xf>
    <xf numFmtId="14" fontId="11" fillId="7" borderId="27" xfId="0" applyNumberFormat="1" applyFont="1" applyFill="1" applyBorder="1" applyAlignment="1">
      <alignment horizontal="center" vertical="center"/>
    </xf>
    <xf numFmtId="14" fontId="11" fillId="7" borderId="28" xfId="0" applyNumberFormat="1" applyFont="1" applyFill="1" applyBorder="1" applyAlignment="1">
      <alignment horizontal="center" vertical="center"/>
    </xf>
    <xf numFmtId="14" fontId="11" fillId="7" borderId="29" xfId="0" applyNumberFormat="1" applyFont="1" applyFill="1" applyBorder="1" applyAlignment="1">
      <alignment horizontal="center" vertical="center"/>
    </xf>
    <xf numFmtId="14" fontId="4" fillId="7" borderId="27" xfId="0" applyNumberFormat="1" applyFont="1" applyFill="1" applyBorder="1" applyAlignment="1">
      <alignment horizontal="center" vertical="center"/>
    </xf>
    <xf numFmtId="14" fontId="4" fillId="7" borderId="28" xfId="0" applyNumberFormat="1" applyFont="1" applyFill="1" applyBorder="1" applyAlignment="1">
      <alignment horizontal="center" vertical="center"/>
    </xf>
    <xf numFmtId="14" fontId="4" fillId="7" borderId="29" xfId="0" applyNumberFormat="1" applyFont="1" applyFill="1" applyBorder="1" applyAlignment="1">
      <alignment horizontal="center" vertical="center"/>
    </xf>
    <xf numFmtId="176" fontId="20" fillId="5" borderId="0" xfId="0" applyNumberFormat="1" applyFont="1" applyFill="1" applyBorder="1" applyAlignment="1">
      <alignment horizontal="center" vertical="center"/>
    </xf>
    <xf numFmtId="176" fontId="11" fillId="5" borderId="0" xfId="0" applyNumberFormat="1" applyFont="1" applyFill="1" applyBorder="1" applyAlignment="1">
      <alignment horizontal="center" vertical="center"/>
    </xf>
    <xf numFmtId="176" fontId="20" fillId="5" borderId="0" xfId="0" applyNumberFormat="1" applyFont="1" applyFill="1" applyAlignment="1">
      <alignment horizontal="center" vertical="center"/>
    </xf>
    <xf numFmtId="176" fontId="11" fillId="5" borderId="38" xfId="0" applyNumberFormat="1" applyFont="1" applyFill="1" applyBorder="1" applyAlignment="1">
      <alignment horizontal="center" vertical="center"/>
    </xf>
    <xf numFmtId="176" fontId="11" fillId="5" borderId="41" xfId="0" applyNumberFormat="1" applyFont="1" applyFill="1" applyBorder="1" applyAlignment="1">
      <alignment horizontal="center" vertical="center"/>
    </xf>
    <xf numFmtId="176" fontId="11" fillId="5" borderId="0" xfId="0" applyNumberFormat="1" applyFont="1" applyFill="1" applyAlignment="1">
      <alignment horizontal="center" vertical="center"/>
    </xf>
    <xf numFmtId="176" fontId="11" fillId="5" borderId="39" xfId="0" applyNumberFormat="1" applyFont="1" applyFill="1" applyBorder="1" applyAlignment="1">
      <alignment horizontal="center" vertical="center"/>
    </xf>
    <xf numFmtId="176" fontId="11" fillId="5" borderId="40" xfId="0" applyNumberFormat="1" applyFont="1" applyFill="1" applyBorder="1" applyAlignment="1">
      <alignment horizontal="center" vertical="center"/>
    </xf>
    <xf numFmtId="176" fontId="11" fillId="5" borderId="42" xfId="0" applyNumberFormat="1" applyFont="1" applyFill="1" applyBorder="1" applyAlignment="1">
      <alignment horizontal="center" vertical="center"/>
    </xf>
    <xf numFmtId="176" fontId="11" fillId="5" borderId="56" xfId="0" applyNumberFormat="1" applyFont="1" applyFill="1" applyBorder="1" applyAlignment="1">
      <alignment horizontal="center" vertical="center"/>
    </xf>
    <xf numFmtId="176" fontId="11" fillId="5" borderId="59" xfId="0" applyNumberFormat="1" applyFont="1" applyFill="1" applyBorder="1" applyAlignment="1">
      <alignment horizontal="center" vertical="center"/>
    </xf>
    <xf numFmtId="176" fontId="11" fillId="5" borderId="57" xfId="0" applyNumberFormat="1" applyFont="1" applyFill="1" applyBorder="1" applyAlignment="1">
      <alignment horizontal="center" vertical="center"/>
    </xf>
    <xf numFmtId="0" fontId="36" fillId="23" borderId="109" xfId="6" applyFont="1" applyAlignment="1">
      <alignment horizontal="left" vertical="top" wrapText="1"/>
    </xf>
    <xf numFmtId="3" fontId="36" fillId="23" borderId="109" xfId="6" applyNumberFormat="1" applyFont="1" applyAlignment="1">
      <alignment horizontal="right" vertical="center" wrapText="1"/>
    </xf>
    <xf numFmtId="176" fontId="37" fillId="0" borderId="109" xfId="6" applyNumberFormat="1" applyFont="1" applyFill="1" applyAlignment="1">
      <alignment horizontal="right" vertical="center"/>
    </xf>
    <xf numFmtId="41" fontId="9" fillId="0" borderId="0" xfId="1" applyFont="1" applyBorder="1" applyAlignment="1">
      <alignment vertical="center"/>
    </xf>
    <xf numFmtId="0" fontId="25" fillId="0" borderId="22" xfId="0" applyFont="1" applyFill="1" applyBorder="1" applyAlignment="1">
      <alignment horizontal="left" vertical="center" indent="1"/>
    </xf>
    <xf numFmtId="0" fontId="25" fillId="0" borderId="1" xfId="0" applyFont="1" applyFill="1" applyBorder="1" applyAlignment="1">
      <alignment vertical="center"/>
    </xf>
    <xf numFmtId="176" fontId="25" fillId="0" borderId="1" xfId="0" applyNumberFormat="1" applyFont="1" applyFill="1" applyBorder="1" applyAlignment="1">
      <alignment horizontal="right" vertical="center"/>
    </xf>
    <xf numFmtId="176" fontId="25" fillId="0" borderId="23" xfId="0" applyNumberFormat="1" applyFont="1" applyFill="1" applyBorder="1" applyAlignment="1">
      <alignment horizontal="right" vertical="center"/>
    </xf>
  </cellXfs>
  <cellStyles count="7">
    <cellStyle name="메모" xfId="6" builtinId="10"/>
    <cellStyle name="백분율" xfId="2" builtinId="5"/>
    <cellStyle name="쉼표 [0]" xfId="1" builtinId="6"/>
    <cellStyle name="요약" xfId="5" builtinId="25"/>
    <cellStyle name="표준" xfId="0" builtinId="0"/>
    <cellStyle name="표준 3" xfId="3" xr:uid="{00000000-0005-0000-0000-000003000000}"/>
    <cellStyle name="표준 8 4" xfId="4" xr:uid="{00000000-0005-0000-0000-000004000000}"/>
  </cellStyles>
  <dxfs count="0"/>
  <tableStyles count="0" defaultTableStyle="TableStyleMedium2" defaultPivotStyle="PivotStyleLight16"/>
  <colors>
    <mruColors>
      <color rgb="FF223055"/>
      <color rgb="FFF0F2F4"/>
      <color rgb="FF0015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E6"/>
  <sheetViews>
    <sheetView workbookViewId="0">
      <selection activeCell="G16" sqref="G16"/>
    </sheetView>
  </sheetViews>
  <sheetFormatPr defaultColWidth="8.75" defaultRowHeight="18" customHeight="1"/>
  <cols>
    <col min="1" max="3" width="2.375" style="30" customWidth="1"/>
    <col min="4" max="22" width="20.375" style="30" customWidth="1"/>
    <col min="23" max="16384" width="8.75" style="30"/>
  </cols>
  <sheetData>
    <row r="3" spans="4:5" s="29" customFormat="1" ht="18" customHeight="1">
      <c r="D3" s="29" t="s">
        <v>1958</v>
      </c>
      <c r="E3" s="29" t="s">
        <v>1959</v>
      </c>
    </row>
    <row r="4" spans="4:5" s="29" customFormat="1" ht="18" customHeight="1"/>
    <row r="5" spans="4:5" s="29" customFormat="1" ht="18" customHeight="1"/>
    <row r="6" spans="4:5" ht="18" customHeight="1">
      <c r="D6" s="29"/>
    </row>
  </sheetData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D3:Q313"/>
  <sheetViews>
    <sheetView showGridLines="0" topLeftCell="A2" zoomScale="90" zoomScaleNormal="90" workbookViewId="0">
      <pane xSplit="8" ySplit="3" topLeftCell="I266" activePane="bottomRight" state="frozen"/>
      <selection sqref="A1:XFD1048576"/>
      <selection pane="topRight" sqref="A1:XFD1048576"/>
      <selection pane="bottomLeft" sqref="A1:XFD1048576"/>
      <selection pane="bottomRight" activeCell="K279" sqref="K279"/>
    </sheetView>
  </sheetViews>
  <sheetFormatPr defaultColWidth="8.75" defaultRowHeight="18" customHeight="1"/>
  <cols>
    <col min="1" max="3" width="2.375" style="28" customWidth="1"/>
    <col min="4" max="4" width="9.875" style="565" customWidth="1"/>
    <col min="5" max="7" width="9.875" style="564" customWidth="1"/>
    <col min="8" max="8" width="37.375" style="564" bestFit="1" customWidth="1"/>
    <col min="9" max="9" width="2.25" style="564" bestFit="1" customWidth="1"/>
    <col min="10" max="10" width="18.125" style="564" customWidth="1"/>
    <col min="11" max="13" width="21.875" style="564" customWidth="1"/>
    <col min="14" max="14" width="2.125" style="28" customWidth="1"/>
    <col min="15" max="15" width="17.375" style="170" customWidth="1"/>
    <col min="16" max="16" width="17.375" style="564" customWidth="1"/>
    <col min="17" max="17" width="17.375" style="212" customWidth="1"/>
    <col min="18" max="16384" width="8.75" style="28"/>
  </cols>
  <sheetData>
    <row r="3" spans="4:17" s="27" customFormat="1" ht="18" customHeight="1" thickBot="1">
      <c r="D3" s="535"/>
      <c r="K3" s="27">
        <f>K313</f>
        <v>0</v>
      </c>
      <c r="L3" s="27" t="b">
        <f t="shared" ref="L3:M3" si="0">L313=0</f>
        <v>1</v>
      </c>
      <c r="M3" s="27" t="b">
        <f t="shared" si="0"/>
        <v>1</v>
      </c>
      <c r="O3" s="170"/>
      <c r="P3" s="170"/>
      <c r="Q3" s="536"/>
    </row>
    <row r="4" spans="4:17" s="196" customFormat="1" ht="18" customHeight="1" thickBot="1">
      <c r="D4" s="537" t="s">
        <v>1543</v>
      </c>
      <c r="E4" s="484" t="s">
        <v>1544</v>
      </c>
      <c r="F4" s="484" t="s">
        <v>1545</v>
      </c>
      <c r="G4" s="484" t="s">
        <v>1546</v>
      </c>
      <c r="H4" s="484" t="s">
        <v>698</v>
      </c>
      <c r="I4" s="484"/>
      <c r="J4" s="484" t="s">
        <v>1547</v>
      </c>
      <c r="K4" s="484" t="s">
        <v>1595</v>
      </c>
      <c r="L4" s="484" t="s">
        <v>1594</v>
      </c>
      <c r="M4" s="485" t="s">
        <v>1593</v>
      </c>
      <c r="O4" s="538" t="s">
        <v>18</v>
      </c>
      <c r="P4" s="539" t="s">
        <v>615</v>
      </c>
      <c r="Q4" s="540" t="s">
        <v>479</v>
      </c>
    </row>
    <row r="5" spans="4:17" ht="18" customHeight="1">
      <c r="D5" s="541">
        <v>2019</v>
      </c>
      <c r="E5" s="542">
        <v>12</v>
      </c>
      <c r="F5" s="542" t="s">
        <v>1548</v>
      </c>
      <c r="G5" s="542" t="s">
        <v>699</v>
      </c>
      <c r="H5" s="542" t="s">
        <v>700</v>
      </c>
      <c r="I5" s="542">
        <v>1</v>
      </c>
      <c r="J5" s="542" t="s">
        <v>1549</v>
      </c>
      <c r="K5" s="542">
        <f>SUM(K6,K8,K62,K106,K146)</f>
        <v>-1387694872</v>
      </c>
      <c r="L5" s="542">
        <f>SUM(L6,L8,L62,L106,L146)</f>
        <v>-1387694872</v>
      </c>
      <c r="M5" s="543">
        <f>SUM(M6,M8,M62,M106,M146)</f>
        <v>0</v>
      </c>
      <c r="O5" s="177"/>
      <c r="P5" s="544"/>
      <c r="Q5" s="545"/>
    </row>
    <row r="6" spans="4:17" ht="18" customHeight="1">
      <c r="D6" s="541">
        <v>2019</v>
      </c>
      <c r="E6" s="542">
        <v>12</v>
      </c>
      <c r="F6" s="542" t="s">
        <v>637</v>
      </c>
      <c r="G6" s="542" t="s">
        <v>701</v>
      </c>
      <c r="H6" s="542" t="s">
        <v>210</v>
      </c>
      <c r="I6" s="542">
        <v>2</v>
      </c>
      <c r="J6" s="542" t="s">
        <v>475</v>
      </c>
      <c r="K6" s="542">
        <f>K7</f>
        <v>-48005522146</v>
      </c>
      <c r="L6" s="542">
        <f>L7</f>
        <v>-48005522146</v>
      </c>
      <c r="M6" s="543">
        <f t="shared" ref="M6:M7" si="1">L6-K6</f>
        <v>0</v>
      </c>
      <c r="O6" s="177"/>
      <c r="P6" s="544"/>
      <c r="Q6" s="545"/>
    </row>
    <row r="7" spans="4:17" ht="18" customHeight="1">
      <c r="D7" s="546">
        <v>2019</v>
      </c>
      <c r="E7" s="544">
        <v>12</v>
      </c>
      <c r="F7" s="544" t="s">
        <v>637</v>
      </c>
      <c r="G7" s="544" t="s">
        <v>702</v>
      </c>
      <c r="H7" s="544" t="s">
        <v>703</v>
      </c>
      <c r="I7" s="544">
        <v>3</v>
      </c>
      <c r="J7" s="544" t="s">
        <v>475</v>
      </c>
      <c r="K7" s="544">
        <f>SUMIF('CF.1'!$D:$D,CFS!G7,'CF.1'!$X:$X)</f>
        <v>-48005522146</v>
      </c>
      <c r="L7" s="544">
        <f>K7</f>
        <v>-48005522146</v>
      </c>
      <c r="M7" s="547">
        <f t="shared" si="1"/>
        <v>0</v>
      </c>
      <c r="O7" s="177">
        <f>SUM(T198_TB!M86:M152)</f>
        <v>47206880227</v>
      </c>
      <c r="P7" s="544">
        <f>O7+L7</f>
        <v>-798641919</v>
      </c>
      <c r="Q7" s="545"/>
    </row>
    <row r="8" spans="4:17" ht="18" customHeight="1">
      <c r="D8" s="541">
        <v>2019</v>
      </c>
      <c r="E8" s="542">
        <v>12</v>
      </c>
      <c r="F8" s="542" t="s">
        <v>637</v>
      </c>
      <c r="G8" s="542" t="s">
        <v>704</v>
      </c>
      <c r="H8" s="542" t="s">
        <v>1550</v>
      </c>
      <c r="I8" s="542">
        <v>2</v>
      </c>
      <c r="J8" s="542" t="s">
        <v>475</v>
      </c>
      <c r="K8" s="542">
        <f>SUM(K9:K61)</f>
        <v>48439170260</v>
      </c>
      <c r="L8" s="542">
        <f t="shared" ref="L8:M8" si="2">SUM(L9:L61)</f>
        <v>48439170260</v>
      </c>
      <c r="M8" s="543">
        <f t="shared" si="2"/>
        <v>0</v>
      </c>
      <c r="O8" s="177"/>
      <c r="P8" s="544"/>
      <c r="Q8" s="545"/>
    </row>
    <row r="9" spans="4:17" s="194" customFormat="1" ht="18" customHeight="1">
      <c r="D9" s="548">
        <v>2019</v>
      </c>
      <c r="E9" s="549">
        <v>12</v>
      </c>
      <c r="F9" s="549" t="s">
        <v>637</v>
      </c>
      <c r="G9" s="549" t="s">
        <v>706</v>
      </c>
      <c r="H9" s="549" t="s">
        <v>492</v>
      </c>
      <c r="I9" s="549">
        <v>3</v>
      </c>
      <c r="J9" s="549" t="s">
        <v>475</v>
      </c>
      <c r="K9" s="544">
        <f>SUMIF('CF.1'!$D:$D,CFS!G9,'CF.1'!$X:$X)</f>
        <v>3630891654</v>
      </c>
      <c r="L9" s="544">
        <f t="shared" ref="L9:L74" si="3">K9</f>
        <v>3630891654</v>
      </c>
      <c r="M9" s="550">
        <f t="shared" ref="M9:M26" si="4">L9-K9</f>
        <v>0</v>
      </c>
      <c r="O9" s="551">
        <f>SUM(T198_TB!M103,T198_TB!M104,T198_TB!M105,T198_TB!M106)</f>
        <v>2993228820</v>
      </c>
      <c r="P9" s="549">
        <f>O9-L9</f>
        <v>-637662834</v>
      </c>
      <c r="Q9" s="552" t="s">
        <v>1817</v>
      </c>
    </row>
    <row r="10" spans="4:17" ht="18" customHeight="1">
      <c r="D10" s="546">
        <v>2019</v>
      </c>
      <c r="E10" s="544">
        <v>12</v>
      </c>
      <c r="F10" s="544" t="s">
        <v>637</v>
      </c>
      <c r="G10" s="544" t="s">
        <v>707</v>
      </c>
      <c r="H10" s="544" t="s">
        <v>387</v>
      </c>
      <c r="I10" s="549">
        <v>3</v>
      </c>
      <c r="J10" s="544" t="s">
        <v>475</v>
      </c>
      <c r="K10" s="544">
        <f>SUMIF('CF.1'!$D:$D,CFS!G10,'CF.1'!$X:$X)</f>
        <v>7923879010</v>
      </c>
      <c r="L10" s="544">
        <f t="shared" si="3"/>
        <v>7923879010</v>
      </c>
      <c r="M10" s="547">
        <f t="shared" si="4"/>
        <v>0</v>
      </c>
      <c r="O10" s="551">
        <f>SUMIF(T198_TB!$G:$G,CFS!H10,T198_TB!$M:$M)</f>
        <v>7923879010</v>
      </c>
      <c r="P10" s="549">
        <f t="shared" ref="P10:P75" si="5">O10-L10</f>
        <v>0</v>
      </c>
      <c r="Q10" s="545"/>
    </row>
    <row r="11" spans="4:17" ht="18" customHeight="1">
      <c r="D11" s="546">
        <v>2019</v>
      </c>
      <c r="E11" s="544">
        <v>12</v>
      </c>
      <c r="F11" s="544" t="s">
        <v>637</v>
      </c>
      <c r="G11" s="544" t="s">
        <v>708</v>
      </c>
      <c r="H11" s="544" t="s">
        <v>263</v>
      </c>
      <c r="I11" s="549">
        <v>3</v>
      </c>
      <c r="J11" s="544" t="s">
        <v>475</v>
      </c>
      <c r="K11" s="544">
        <f>SUMIF('CF.1'!$D:$D,CFS!G11,'CF.1'!$X:$X)</f>
        <v>1094304358</v>
      </c>
      <c r="L11" s="544">
        <f t="shared" si="3"/>
        <v>1094304358</v>
      </c>
      <c r="M11" s="547">
        <f t="shared" si="4"/>
        <v>0</v>
      </c>
      <c r="O11" s="551">
        <f>SUMIF(T198_TB!$G:$G,CFS!H11,T198_TB!$M:$M)</f>
        <v>1094304358</v>
      </c>
      <c r="P11" s="549">
        <f t="shared" si="5"/>
        <v>0</v>
      </c>
      <c r="Q11" s="545"/>
    </row>
    <row r="12" spans="4:17" ht="18" customHeight="1">
      <c r="D12" s="546">
        <v>2019</v>
      </c>
      <c r="E12" s="544">
        <v>12</v>
      </c>
      <c r="F12" s="544" t="s">
        <v>637</v>
      </c>
      <c r="G12" s="544" t="s">
        <v>709</v>
      </c>
      <c r="H12" s="544" t="s">
        <v>303</v>
      </c>
      <c r="I12" s="549">
        <v>3</v>
      </c>
      <c r="J12" s="544" t="s">
        <v>475</v>
      </c>
      <c r="K12" s="544">
        <f>SUMIF('CF.1'!$D:$D,CFS!G12,'CF.1'!$X:$X)</f>
        <v>370148656</v>
      </c>
      <c r="L12" s="544">
        <f t="shared" si="3"/>
        <v>370148656</v>
      </c>
      <c r="M12" s="547">
        <f t="shared" si="4"/>
        <v>0</v>
      </c>
      <c r="O12" s="551">
        <f>SUMIF(T198_TB!$G:$G,CFS!H12,T198_TB!$M:$M)</f>
        <v>370148656</v>
      </c>
      <c r="P12" s="549">
        <f t="shared" si="5"/>
        <v>0</v>
      </c>
      <c r="Q12" s="545"/>
    </row>
    <row r="13" spans="4:17" ht="18" customHeight="1">
      <c r="D13" s="546">
        <v>2019</v>
      </c>
      <c r="E13" s="544">
        <v>12</v>
      </c>
      <c r="F13" s="544" t="s">
        <v>637</v>
      </c>
      <c r="G13" s="544" t="s">
        <v>710</v>
      </c>
      <c r="H13" s="544" t="s">
        <v>688</v>
      </c>
      <c r="I13" s="549">
        <v>3</v>
      </c>
      <c r="J13" s="544" t="s">
        <v>475</v>
      </c>
      <c r="K13" s="544">
        <f>SUMIF('CF.1'!$D:$D,CFS!G13,'CF.1'!$X:$X)</f>
        <v>409104361</v>
      </c>
      <c r="L13" s="544">
        <f t="shared" si="3"/>
        <v>409104361</v>
      </c>
      <c r="M13" s="547">
        <f t="shared" si="4"/>
        <v>0</v>
      </c>
      <c r="O13" s="551">
        <f>SUMIF(T198_TB!$G:$G,CFS!H13,T198_TB!$M:$M)</f>
        <v>409104361</v>
      </c>
      <c r="P13" s="549">
        <f t="shared" si="5"/>
        <v>0</v>
      </c>
      <c r="Q13" s="545"/>
    </row>
    <row r="14" spans="4:17" ht="18" customHeight="1">
      <c r="D14" s="546">
        <v>2019</v>
      </c>
      <c r="E14" s="544">
        <v>12</v>
      </c>
      <c r="F14" s="544" t="s">
        <v>637</v>
      </c>
      <c r="G14" s="544" t="s">
        <v>711</v>
      </c>
      <c r="H14" s="544" t="s">
        <v>712</v>
      </c>
      <c r="I14" s="549">
        <v>3</v>
      </c>
      <c r="J14" s="544" t="s">
        <v>475</v>
      </c>
      <c r="K14" s="544">
        <f>SUMIF('CF.1'!$D:$D,CFS!G14,'CF.1'!$X:$X)</f>
        <v>0</v>
      </c>
      <c r="L14" s="544">
        <f t="shared" si="3"/>
        <v>0</v>
      </c>
      <c r="M14" s="547">
        <f t="shared" si="4"/>
        <v>0</v>
      </c>
      <c r="O14" s="551">
        <f>SUMIF(T198_TB!$G:$G,CFS!H14,T198_TB!$M:$M)</f>
        <v>0</v>
      </c>
      <c r="P14" s="549">
        <f t="shared" si="5"/>
        <v>0</v>
      </c>
      <c r="Q14" s="545"/>
    </row>
    <row r="15" spans="4:17" ht="18" customHeight="1">
      <c r="D15" s="546">
        <v>2019</v>
      </c>
      <c r="E15" s="544">
        <v>12</v>
      </c>
      <c r="F15" s="544" t="s">
        <v>637</v>
      </c>
      <c r="G15" s="544" t="s">
        <v>713</v>
      </c>
      <c r="H15" s="544" t="s">
        <v>714</v>
      </c>
      <c r="I15" s="549">
        <v>3</v>
      </c>
      <c r="J15" s="544" t="s">
        <v>475</v>
      </c>
      <c r="K15" s="544">
        <f>SUMIF('CF.1'!$D:$D,CFS!G15,'CF.1'!$X:$X)</f>
        <v>0</v>
      </c>
      <c r="L15" s="544">
        <f t="shared" si="3"/>
        <v>0</v>
      </c>
      <c r="M15" s="547">
        <f t="shared" si="4"/>
        <v>0</v>
      </c>
      <c r="O15" s="551">
        <f>SUMIF(T198_TB!$G:$G,CFS!H15,T198_TB!$M:$M)</f>
        <v>0</v>
      </c>
      <c r="P15" s="549">
        <f t="shared" si="5"/>
        <v>0</v>
      </c>
      <c r="Q15" s="545"/>
    </row>
    <row r="16" spans="4:17" ht="18" customHeight="1">
      <c r="D16" s="546">
        <v>2019</v>
      </c>
      <c r="E16" s="544">
        <v>12</v>
      </c>
      <c r="F16" s="544" t="s">
        <v>637</v>
      </c>
      <c r="G16" s="544" t="s">
        <v>1551</v>
      </c>
      <c r="H16" s="544" t="s">
        <v>1552</v>
      </c>
      <c r="I16" s="549">
        <v>3</v>
      </c>
      <c r="J16" s="544" t="s">
        <v>475</v>
      </c>
      <c r="K16" s="544">
        <f>SUMIF('CF.1'!$D:$D,CFS!G16,'CF.1'!$X:$X)</f>
        <v>0</v>
      </c>
      <c r="L16" s="544">
        <f t="shared" si="3"/>
        <v>0</v>
      </c>
      <c r="M16" s="547">
        <f t="shared" si="4"/>
        <v>0</v>
      </c>
      <c r="O16" s="551">
        <f>SUMIF(T198_TB!$G:$G,CFS!H16,T198_TB!$M:$M)</f>
        <v>0</v>
      </c>
      <c r="P16" s="549">
        <f t="shared" si="5"/>
        <v>0</v>
      </c>
      <c r="Q16" s="545"/>
    </row>
    <row r="17" spans="4:17" ht="18" customHeight="1">
      <c r="D17" s="546">
        <v>2019</v>
      </c>
      <c r="E17" s="544">
        <v>12</v>
      </c>
      <c r="F17" s="544" t="s">
        <v>637</v>
      </c>
      <c r="G17" s="544" t="s">
        <v>1553</v>
      </c>
      <c r="H17" s="544" t="s">
        <v>1554</v>
      </c>
      <c r="I17" s="549">
        <v>3</v>
      </c>
      <c r="J17" s="544" t="s">
        <v>475</v>
      </c>
      <c r="K17" s="544">
        <f>SUMIF('CF.1'!$D:$D,CFS!G17,'CF.1'!$X:$X)</f>
        <v>0</v>
      </c>
      <c r="L17" s="544">
        <f t="shared" si="3"/>
        <v>0</v>
      </c>
      <c r="M17" s="547">
        <f t="shared" si="4"/>
        <v>0</v>
      </c>
      <c r="O17" s="551">
        <f>SUMIF(T198_TB!$G:$G,CFS!H17,T198_TB!$M:$M)</f>
        <v>0</v>
      </c>
      <c r="P17" s="549">
        <f t="shared" si="5"/>
        <v>0</v>
      </c>
      <c r="Q17" s="545"/>
    </row>
    <row r="18" spans="4:17" ht="18" customHeight="1">
      <c r="D18" s="546">
        <v>2019</v>
      </c>
      <c r="E18" s="544">
        <v>12</v>
      </c>
      <c r="F18" s="544" t="s">
        <v>637</v>
      </c>
      <c r="G18" s="544" t="s">
        <v>715</v>
      </c>
      <c r="H18" s="544" t="s">
        <v>716</v>
      </c>
      <c r="I18" s="549">
        <v>3</v>
      </c>
      <c r="J18" s="544" t="s">
        <v>475</v>
      </c>
      <c r="K18" s="544">
        <f>SUMIF('CF.1'!$D:$D,CFS!G18,'CF.1'!$X:$X)</f>
        <v>0</v>
      </c>
      <c r="L18" s="544">
        <f t="shared" si="3"/>
        <v>0</v>
      </c>
      <c r="M18" s="547">
        <f t="shared" si="4"/>
        <v>0</v>
      </c>
      <c r="O18" s="551">
        <f>SUMIF(T198_TB!$G:$G,CFS!H18,T198_TB!$M:$M)</f>
        <v>0</v>
      </c>
      <c r="P18" s="549">
        <f t="shared" si="5"/>
        <v>0</v>
      </c>
      <c r="Q18" s="545"/>
    </row>
    <row r="19" spans="4:17" ht="18" customHeight="1">
      <c r="D19" s="546">
        <v>2019</v>
      </c>
      <c r="E19" s="544">
        <v>12</v>
      </c>
      <c r="F19" s="544" t="s">
        <v>637</v>
      </c>
      <c r="G19" s="544" t="s">
        <v>717</v>
      </c>
      <c r="H19" s="544" t="s">
        <v>718</v>
      </c>
      <c r="I19" s="549">
        <v>3</v>
      </c>
      <c r="J19" s="544" t="s">
        <v>475</v>
      </c>
      <c r="K19" s="544">
        <f>SUMIF('CF.1'!$D:$D,CFS!G19,'CF.1'!$X:$X)</f>
        <v>0</v>
      </c>
      <c r="L19" s="544">
        <f t="shared" si="3"/>
        <v>0</v>
      </c>
      <c r="M19" s="547">
        <f t="shared" si="4"/>
        <v>0</v>
      </c>
      <c r="O19" s="551">
        <f>SUMIF(T198_TB!$G:$G,CFS!H19,T198_TB!$M:$M)</f>
        <v>0</v>
      </c>
      <c r="P19" s="549">
        <f t="shared" si="5"/>
        <v>0</v>
      </c>
      <c r="Q19" s="545"/>
    </row>
    <row r="20" spans="4:17" ht="18" customHeight="1">
      <c r="D20" s="546">
        <v>2019</v>
      </c>
      <c r="E20" s="544">
        <v>12</v>
      </c>
      <c r="F20" s="544" t="s">
        <v>637</v>
      </c>
      <c r="G20" s="544" t="s">
        <v>719</v>
      </c>
      <c r="H20" s="544" t="s">
        <v>720</v>
      </c>
      <c r="I20" s="549">
        <v>3</v>
      </c>
      <c r="J20" s="544" t="s">
        <v>475</v>
      </c>
      <c r="K20" s="544">
        <f>SUMIF('CF.1'!$D:$D,CFS!G20,'CF.1'!$X:$X)</f>
        <v>798641919</v>
      </c>
      <c r="L20" s="544">
        <f t="shared" si="3"/>
        <v>798641919</v>
      </c>
      <c r="M20" s="547">
        <f t="shared" si="4"/>
        <v>0</v>
      </c>
      <c r="O20" s="551">
        <f>SUMIF(T198_TB!$G:$G,CFS!H20,T198_TB!$M:$M)</f>
        <v>0</v>
      </c>
      <c r="P20" s="549">
        <f t="shared" si="5"/>
        <v>-798641919</v>
      </c>
      <c r="Q20" s="545"/>
    </row>
    <row r="21" spans="4:17" ht="18" customHeight="1">
      <c r="D21" s="546">
        <v>2019</v>
      </c>
      <c r="E21" s="544">
        <v>12</v>
      </c>
      <c r="F21" s="544" t="s">
        <v>637</v>
      </c>
      <c r="G21" s="544" t="s">
        <v>721</v>
      </c>
      <c r="H21" s="544" t="s">
        <v>722</v>
      </c>
      <c r="I21" s="549">
        <v>3</v>
      </c>
      <c r="J21" s="544" t="s">
        <v>475</v>
      </c>
      <c r="K21" s="544">
        <f>SUMIF('CF.1'!$D:$D,CFS!G21,'CF.1'!$X:$X)</f>
        <v>0</v>
      </c>
      <c r="L21" s="544">
        <f t="shared" si="3"/>
        <v>0</v>
      </c>
      <c r="M21" s="547">
        <f t="shared" si="4"/>
        <v>0</v>
      </c>
      <c r="O21" s="551">
        <f>SUMIF(T198_TB!$G:$G,CFS!H21,T198_TB!$M:$M)</f>
        <v>0</v>
      </c>
      <c r="P21" s="549">
        <f t="shared" si="5"/>
        <v>0</v>
      </c>
      <c r="Q21" s="545"/>
    </row>
    <row r="22" spans="4:17" ht="18" customHeight="1">
      <c r="D22" s="546">
        <v>2019</v>
      </c>
      <c r="E22" s="544">
        <v>12</v>
      </c>
      <c r="F22" s="544" t="s">
        <v>637</v>
      </c>
      <c r="G22" s="544" t="s">
        <v>723</v>
      </c>
      <c r="H22" s="544" t="s">
        <v>724</v>
      </c>
      <c r="I22" s="549">
        <v>3</v>
      </c>
      <c r="J22" s="544" t="s">
        <v>475</v>
      </c>
      <c r="K22" s="544">
        <f>SUMIF('CF.1'!$D:$D,CFS!G22,'CF.1'!$X:$X)</f>
        <v>0</v>
      </c>
      <c r="L22" s="544">
        <f t="shared" si="3"/>
        <v>0</v>
      </c>
      <c r="M22" s="547">
        <f t="shared" si="4"/>
        <v>0</v>
      </c>
      <c r="O22" s="551">
        <f>SUMIF(T198_TB!$G:$G,CFS!H22,T198_TB!$M:$M)</f>
        <v>0</v>
      </c>
      <c r="P22" s="549">
        <f t="shared" si="5"/>
        <v>0</v>
      </c>
      <c r="Q22" s="545"/>
    </row>
    <row r="23" spans="4:17" ht="18" customHeight="1">
      <c r="D23" s="546">
        <v>2019</v>
      </c>
      <c r="E23" s="544">
        <v>12</v>
      </c>
      <c r="F23" s="544" t="s">
        <v>637</v>
      </c>
      <c r="G23" s="544" t="s">
        <v>725</v>
      </c>
      <c r="H23" s="544" t="s">
        <v>726</v>
      </c>
      <c r="I23" s="549">
        <v>3</v>
      </c>
      <c r="J23" s="544" t="s">
        <v>475</v>
      </c>
      <c r="K23" s="544">
        <f>SUMIF('CF.1'!$D:$D,CFS!G23,'CF.1'!$X:$X)</f>
        <v>0</v>
      </c>
      <c r="L23" s="544">
        <f t="shared" si="3"/>
        <v>0</v>
      </c>
      <c r="M23" s="547">
        <f t="shared" si="4"/>
        <v>0</v>
      </c>
      <c r="O23" s="551">
        <f>SUMIF(T198_TB!$G:$G,CFS!H23,T198_TB!$M:$M)</f>
        <v>0</v>
      </c>
      <c r="P23" s="549">
        <f t="shared" si="5"/>
        <v>0</v>
      </c>
      <c r="Q23" s="545"/>
    </row>
    <row r="24" spans="4:17" ht="18" customHeight="1">
      <c r="D24" s="546">
        <v>2019</v>
      </c>
      <c r="E24" s="544">
        <v>12</v>
      </c>
      <c r="F24" s="544" t="s">
        <v>637</v>
      </c>
      <c r="G24" s="544" t="s">
        <v>727</v>
      </c>
      <c r="H24" s="544" t="s">
        <v>728</v>
      </c>
      <c r="I24" s="549">
        <v>3</v>
      </c>
      <c r="J24" s="544" t="s">
        <v>475</v>
      </c>
      <c r="K24" s="544">
        <f>SUMIF('CF.1'!$D:$D,CFS!G24,'CF.1'!$X:$X)</f>
        <v>0</v>
      </c>
      <c r="L24" s="544">
        <f t="shared" si="3"/>
        <v>0</v>
      </c>
      <c r="M24" s="547">
        <f t="shared" si="4"/>
        <v>0</v>
      </c>
      <c r="O24" s="551">
        <f>SUMIF(T198_TB!$G:$G,CFS!H24,T198_TB!$M:$M)</f>
        <v>0</v>
      </c>
      <c r="P24" s="549">
        <f t="shared" si="5"/>
        <v>0</v>
      </c>
      <c r="Q24" s="545"/>
    </row>
    <row r="25" spans="4:17" ht="18" customHeight="1">
      <c r="D25" s="546">
        <v>2019</v>
      </c>
      <c r="E25" s="544">
        <v>12</v>
      </c>
      <c r="F25" s="544" t="s">
        <v>637</v>
      </c>
      <c r="G25" s="544" t="s">
        <v>729</v>
      </c>
      <c r="H25" s="544" t="s">
        <v>730</v>
      </c>
      <c r="I25" s="549">
        <v>3</v>
      </c>
      <c r="J25" s="544" t="s">
        <v>475</v>
      </c>
      <c r="K25" s="544">
        <f>SUMIF('CF.1'!$D:$D,CFS!G25,'CF.1'!$X:$X)</f>
        <v>0</v>
      </c>
      <c r="L25" s="544">
        <f t="shared" si="3"/>
        <v>0</v>
      </c>
      <c r="M25" s="547">
        <f t="shared" si="4"/>
        <v>0</v>
      </c>
      <c r="O25" s="551">
        <f>SUMIF(T198_TB!$G:$G,CFS!H25,T198_TB!$M:$M)</f>
        <v>0</v>
      </c>
      <c r="P25" s="549">
        <f t="shared" si="5"/>
        <v>0</v>
      </c>
      <c r="Q25" s="545"/>
    </row>
    <row r="26" spans="4:17" ht="18" customHeight="1">
      <c r="D26" s="546">
        <v>2019</v>
      </c>
      <c r="E26" s="544">
        <v>12</v>
      </c>
      <c r="F26" s="544" t="s">
        <v>637</v>
      </c>
      <c r="G26" s="544" t="s">
        <v>731</v>
      </c>
      <c r="H26" s="544" t="s">
        <v>732</v>
      </c>
      <c r="I26" s="549">
        <v>3</v>
      </c>
      <c r="J26" s="544" t="s">
        <v>475</v>
      </c>
      <c r="K26" s="544">
        <f>SUMIF('CF.1'!$D:$D,CFS!G26,'CF.1'!$X:$X)</f>
        <v>0</v>
      </c>
      <c r="L26" s="544">
        <f t="shared" si="3"/>
        <v>0</v>
      </c>
      <c r="M26" s="547">
        <f t="shared" si="4"/>
        <v>0</v>
      </c>
      <c r="O26" s="551">
        <f>SUMIF(T198_TB!$G:$G,CFS!H26,T198_TB!$M:$M)</f>
        <v>0</v>
      </c>
      <c r="P26" s="549">
        <f t="shared" si="5"/>
        <v>0</v>
      </c>
      <c r="Q26" s="545"/>
    </row>
    <row r="27" spans="4:17" ht="18" customHeight="1">
      <c r="D27" s="546">
        <v>2019</v>
      </c>
      <c r="E27" s="544">
        <v>12</v>
      </c>
      <c r="F27" s="544" t="s">
        <v>637</v>
      </c>
      <c r="G27" s="544" t="s">
        <v>733</v>
      </c>
      <c r="H27" s="544" t="s">
        <v>734</v>
      </c>
      <c r="I27" s="549">
        <v>3</v>
      </c>
      <c r="J27" s="544" t="s">
        <v>475</v>
      </c>
      <c r="K27" s="544">
        <f>SUMIF('CF.1'!$D:$D,CFS!G27,'CF.1'!$X:$X)</f>
        <v>0</v>
      </c>
      <c r="L27" s="544">
        <f t="shared" si="3"/>
        <v>0</v>
      </c>
      <c r="M27" s="547">
        <f t="shared" ref="M27:M61" si="6">L27-K27</f>
        <v>0</v>
      </c>
      <c r="O27" s="551">
        <f>SUMIF(T198_TB!$G:$G,CFS!H27,T198_TB!$M:$M)</f>
        <v>0</v>
      </c>
      <c r="P27" s="549">
        <f t="shared" si="5"/>
        <v>0</v>
      </c>
      <c r="Q27" s="545"/>
    </row>
    <row r="28" spans="4:17" ht="18" customHeight="1">
      <c r="D28" s="546">
        <v>2019</v>
      </c>
      <c r="E28" s="544">
        <v>12</v>
      </c>
      <c r="F28" s="544" t="s">
        <v>637</v>
      </c>
      <c r="G28" s="544" t="s">
        <v>735</v>
      </c>
      <c r="H28" s="544" t="s">
        <v>736</v>
      </c>
      <c r="I28" s="549">
        <v>3</v>
      </c>
      <c r="J28" s="544" t="s">
        <v>475</v>
      </c>
      <c r="K28" s="544">
        <f>SUMIF('CF.1'!$D:$D,CFS!G28,'CF.1'!$X:$X)</f>
        <v>0</v>
      </c>
      <c r="L28" s="544">
        <f t="shared" si="3"/>
        <v>0</v>
      </c>
      <c r="M28" s="547">
        <f t="shared" si="6"/>
        <v>0</v>
      </c>
      <c r="O28" s="551">
        <f>SUMIF(T198_TB!$G:$G,CFS!H28,T198_TB!$M:$M)</f>
        <v>0</v>
      </c>
      <c r="P28" s="549">
        <f t="shared" si="5"/>
        <v>0</v>
      </c>
      <c r="Q28" s="545"/>
    </row>
    <row r="29" spans="4:17" ht="18" customHeight="1">
      <c r="D29" s="546">
        <v>2019</v>
      </c>
      <c r="E29" s="544">
        <v>12</v>
      </c>
      <c r="F29" s="544" t="s">
        <v>637</v>
      </c>
      <c r="G29" s="544" t="s">
        <v>737</v>
      </c>
      <c r="H29" s="544" t="s">
        <v>692</v>
      </c>
      <c r="I29" s="549">
        <v>3</v>
      </c>
      <c r="J29" s="544" t="s">
        <v>475</v>
      </c>
      <c r="K29" s="544">
        <f>SUMIF('CF.1'!$D:$D,CFS!G29,'CF.1'!$X:$X)</f>
        <v>25430480</v>
      </c>
      <c r="L29" s="544">
        <f t="shared" si="3"/>
        <v>25430480</v>
      </c>
      <c r="M29" s="547">
        <f t="shared" si="6"/>
        <v>0</v>
      </c>
      <c r="O29" s="551">
        <f>SUMIF(T198_TB!$G:$G,CFS!H29,T198_TB!$M:$M)</f>
        <v>25430480</v>
      </c>
      <c r="P29" s="549">
        <f t="shared" si="5"/>
        <v>0</v>
      </c>
      <c r="Q29" s="545"/>
    </row>
    <row r="30" spans="4:17" ht="18" customHeight="1">
      <c r="D30" s="546">
        <v>2019</v>
      </c>
      <c r="E30" s="544">
        <v>12</v>
      </c>
      <c r="F30" s="544" t="s">
        <v>637</v>
      </c>
      <c r="G30" s="544" t="s">
        <v>738</v>
      </c>
      <c r="H30" s="544" t="s">
        <v>739</v>
      </c>
      <c r="I30" s="549">
        <v>3</v>
      </c>
      <c r="J30" s="544" t="s">
        <v>475</v>
      </c>
      <c r="K30" s="544">
        <f>SUMIF('CF.1'!$D:$D,CFS!G30,'CF.1'!$X:$X)</f>
        <v>127467924</v>
      </c>
      <c r="L30" s="544">
        <f t="shared" si="3"/>
        <v>127467924</v>
      </c>
      <c r="M30" s="547">
        <f t="shared" si="6"/>
        <v>0</v>
      </c>
      <c r="O30" s="551">
        <f>SUMIF(T198_TB!$G:$G,CFS!H30,T198_TB!$M:$M)</f>
        <v>127467924</v>
      </c>
      <c r="P30" s="549">
        <f t="shared" si="5"/>
        <v>0</v>
      </c>
      <c r="Q30" s="545"/>
    </row>
    <row r="31" spans="4:17" ht="18" customHeight="1">
      <c r="D31" s="546">
        <v>2019</v>
      </c>
      <c r="E31" s="544">
        <v>12</v>
      </c>
      <c r="F31" s="544" t="s">
        <v>637</v>
      </c>
      <c r="G31" s="544" t="s">
        <v>740</v>
      </c>
      <c r="H31" s="544" t="s">
        <v>741</v>
      </c>
      <c r="I31" s="549">
        <v>3</v>
      </c>
      <c r="J31" s="544" t="s">
        <v>475</v>
      </c>
      <c r="K31" s="544">
        <f>SUMIF('CF.1'!$D:$D,CFS!G31,'CF.1'!$X:$X)</f>
        <v>15979275</v>
      </c>
      <c r="L31" s="544">
        <f t="shared" si="3"/>
        <v>15979275</v>
      </c>
      <c r="M31" s="547">
        <f t="shared" si="6"/>
        <v>0</v>
      </c>
      <c r="O31" s="551">
        <f>SUMIF(T198_TB!$G:$G,CFS!H31,T198_TB!$M:$M)</f>
        <v>15979275</v>
      </c>
      <c r="P31" s="549">
        <f t="shared" si="5"/>
        <v>0</v>
      </c>
      <c r="Q31" s="545"/>
    </row>
    <row r="32" spans="4:17" ht="18" customHeight="1">
      <c r="D32" s="546">
        <v>2019</v>
      </c>
      <c r="E32" s="544">
        <v>12</v>
      </c>
      <c r="F32" s="544" t="s">
        <v>637</v>
      </c>
      <c r="G32" s="544" t="s">
        <v>742</v>
      </c>
      <c r="H32" s="544" t="s">
        <v>483</v>
      </c>
      <c r="I32" s="549">
        <v>3</v>
      </c>
      <c r="J32" s="544" t="s">
        <v>475</v>
      </c>
      <c r="K32" s="544">
        <f>SUMIF('CF.1'!$D:$D,CFS!G32,'CF.1'!$X:$X)</f>
        <v>0</v>
      </c>
      <c r="L32" s="544">
        <f t="shared" si="3"/>
        <v>0</v>
      </c>
      <c r="M32" s="547">
        <f t="shared" si="6"/>
        <v>0</v>
      </c>
      <c r="O32" s="551">
        <f>SUMIF(T198_TB!$G:$G,CFS!H32,T198_TB!$M:$M)</f>
        <v>0</v>
      </c>
      <c r="P32" s="549">
        <f t="shared" si="5"/>
        <v>0</v>
      </c>
      <c r="Q32" s="545"/>
    </row>
    <row r="33" spans="4:17" ht="18" customHeight="1">
      <c r="D33" s="546">
        <v>2019</v>
      </c>
      <c r="E33" s="544">
        <v>12</v>
      </c>
      <c r="F33" s="544" t="s">
        <v>637</v>
      </c>
      <c r="G33" s="544" t="s">
        <v>743</v>
      </c>
      <c r="H33" s="544" t="s">
        <v>691</v>
      </c>
      <c r="I33" s="549">
        <v>3</v>
      </c>
      <c r="J33" s="544" t="s">
        <v>475</v>
      </c>
      <c r="K33" s="544">
        <f>SUMIF('CF.1'!$D:$D,CFS!G33,'CF.1'!$X:$X)</f>
        <v>21824681843</v>
      </c>
      <c r="L33" s="544">
        <f t="shared" si="3"/>
        <v>21824681843</v>
      </c>
      <c r="M33" s="547">
        <f t="shared" si="6"/>
        <v>0</v>
      </c>
      <c r="O33" s="551">
        <f>SUMIF(T198_TB!$G:$G,CFS!H33,T198_TB!$M:$M)</f>
        <v>21824681843</v>
      </c>
      <c r="P33" s="549">
        <f t="shared" si="5"/>
        <v>0</v>
      </c>
      <c r="Q33" s="545"/>
    </row>
    <row r="34" spans="4:17" ht="18" customHeight="1">
      <c r="D34" s="546">
        <v>2019</v>
      </c>
      <c r="E34" s="544">
        <v>12</v>
      </c>
      <c r="F34" s="544" t="s">
        <v>637</v>
      </c>
      <c r="G34" s="544" t="s">
        <v>744</v>
      </c>
      <c r="H34" s="544" t="s">
        <v>745</v>
      </c>
      <c r="I34" s="549">
        <v>3</v>
      </c>
      <c r="J34" s="544" t="s">
        <v>475</v>
      </c>
      <c r="K34" s="544">
        <f>SUMIF('CF.1'!$D:$D,CFS!G34,'CF.1'!$X:$X)</f>
        <v>11063844077</v>
      </c>
      <c r="L34" s="544">
        <f t="shared" si="3"/>
        <v>11063844077</v>
      </c>
      <c r="M34" s="547">
        <f t="shared" si="6"/>
        <v>0</v>
      </c>
      <c r="O34" s="551">
        <f>SUMIF(T198_TB!$G:$G,CFS!H34,T198_TB!$M:$M)</f>
        <v>0</v>
      </c>
      <c r="P34" s="549">
        <f t="shared" si="5"/>
        <v>-11063844077</v>
      </c>
      <c r="Q34" s="545" t="s">
        <v>1818</v>
      </c>
    </row>
    <row r="35" spans="4:17" ht="18" customHeight="1">
      <c r="D35" s="546">
        <v>2019</v>
      </c>
      <c r="E35" s="544">
        <v>12</v>
      </c>
      <c r="F35" s="544" t="s">
        <v>637</v>
      </c>
      <c r="G35" s="544" t="s">
        <v>746</v>
      </c>
      <c r="H35" s="544" t="s">
        <v>747</v>
      </c>
      <c r="I35" s="549">
        <v>3</v>
      </c>
      <c r="J35" s="544" t="s">
        <v>475</v>
      </c>
      <c r="K35" s="544">
        <f>SUMIF('CF.1'!$D:$D,CFS!G35,'CF.1'!$X:$X)</f>
        <v>0</v>
      </c>
      <c r="L35" s="544">
        <f t="shared" si="3"/>
        <v>0</v>
      </c>
      <c r="M35" s="547">
        <f t="shared" si="6"/>
        <v>0</v>
      </c>
      <c r="O35" s="551">
        <f>SUMIF(T198_TB!$G:$G,CFS!H35,T198_TB!$M:$M)</f>
        <v>0</v>
      </c>
      <c r="P35" s="549">
        <f t="shared" si="5"/>
        <v>0</v>
      </c>
      <c r="Q35" s="545"/>
    </row>
    <row r="36" spans="4:17" ht="18" customHeight="1">
      <c r="D36" s="546">
        <v>2019</v>
      </c>
      <c r="E36" s="544">
        <v>12</v>
      </c>
      <c r="F36" s="544" t="s">
        <v>637</v>
      </c>
      <c r="G36" s="544" t="s">
        <v>748</v>
      </c>
      <c r="H36" s="544" t="s">
        <v>749</v>
      </c>
      <c r="I36" s="549">
        <v>3</v>
      </c>
      <c r="J36" s="544" t="s">
        <v>475</v>
      </c>
      <c r="K36" s="544">
        <f>SUMIF('CF.1'!$D:$D,CFS!G36,'CF.1'!$X:$X)</f>
        <v>0</v>
      </c>
      <c r="L36" s="544">
        <f t="shared" si="3"/>
        <v>0</v>
      </c>
      <c r="M36" s="547">
        <f t="shared" si="6"/>
        <v>0</v>
      </c>
      <c r="O36" s="551">
        <f>SUMIF(T198_TB!$G:$G,CFS!H36,T198_TB!$M:$M)</f>
        <v>0</v>
      </c>
      <c r="P36" s="549">
        <f t="shared" si="5"/>
        <v>0</v>
      </c>
      <c r="Q36" s="545"/>
    </row>
    <row r="37" spans="4:17" ht="18" customHeight="1">
      <c r="D37" s="546">
        <v>2019</v>
      </c>
      <c r="E37" s="544">
        <v>12</v>
      </c>
      <c r="F37" s="544" t="s">
        <v>637</v>
      </c>
      <c r="G37" s="544" t="s">
        <v>750</v>
      </c>
      <c r="H37" s="544" t="s">
        <v>751</v>
      </c>
      <c r="I37" s="549">
        <v>3</v>
      </c>
      <c r="J37" s="544" t="s">
        <v>475</v>
      </c>
      <c r="K37" s="544">
        <f>SUMIF('CF.1'!$D:$D,CFS!G37,'CF.1'!$X:$X)</f>
        <v>0</v>
      </c>
      <c r="L37" s="544">
        <f t="shared" si="3"/>
        <v>0</v>
      </c>
      <c r="M37" s="547">
        <f t="shared" si="6"/>
        <v>0</v>
      </c>
      <c r="O37" s="551">
        <f>SUMIF(T198_TB!$G:$G,CFS!H37,T198_TB!$M:$M)</f>
        <v>0</v>
      </c>
      <c r="P37" s="549">
        <f t="shared" si="5"/>
        <v>0</v>
      </c>
      <c r="Q37" s="545"/>
    </row>
    <row r="38" spans="4:17" ht="18" customHeight="1">
      <c r="D38" s="546">
        <v>2019</v>
      </c>
      <c r="E38" s="544">
        <v>12</v>
      </c>
      <c r="F38" s="544" t="s">
        <v>637</v>
      </c>
      <c r="G38" s="544" t="s">
        <v>752</v>
      </c>
      <c r="H38" s="544" t="s">
        <v>753</v>
      </c>
      <c r="I38" s="549">
        <v>3</v>
      </c>
      <c r="J38" s="544" t="s">
        <v>475</v>
      </c>
      <c r="K38" s="544">
        <f>SUMIF('CF.1'!$D:$D,CFS!G38,'CF.1'!$X:$X)</f>
        <v>0</v>
      </c>
      <c r="L38" s="544">
        <f t="shared" si="3"/>
        <v>0</v>
      </c>
      <c r="M38" s="547">
        <f t="shared" si="6"/>
        <v>0</v>
      </c>
      <c r="O38" s="551">
        <f>SUMIF(T198_TB!$G:$G,CFS!H38,T198_TB!$M:$M)</f>
        <v>0</v>
      </c>
      <c r="P38" s="549">
        <f t="shared" si="5"/>
        <v>0</v>
      </c>
      <c r="Q38" s="545"/>
    </row>
    <row r="39" spans="4:17" ht="18" customHeight="1">
      <c r="D39" s="546">
        <v>2019</v>
      </c>
      <c r="E39" s="544">
        <v>12</v>
      </c>
      <c r="F39" s="544" t="s">
        <v>637</v>
      </c>
      <c r="G39" s="544" t="s">
        <v>754</v>
      </c>
      <c r="H39" s="544" t="s">
        <v>755</v>
      </c>
      <c r="I39" s="549">
        <v>3</v>
      </c>
      <c r="J39" s="544" t="s">
        <v>475</v>
      </c>
      <c r="K39" s="544">
        <f>SUMIF('CF.1'!$D:$D,CFS!G39,'CF.1'!$X:$X)</f>
        <v>0</v>
      </c>
      <c r="L39" s="544">
        <f t="shared" si="3"/>
        <v>0</v>
      </c>
      <c r="M39" s="547">
        <f t="shared" si="6"/>
        <v>0</v>
      </c>
      <c r="O39" s="551">
        <f>SUMIF(T198_TB!$G:$G,CFS!H39,T198_TB!$M:$M)</f>
        <v>0</v>
      </c>
      <c r="P39" s="549">
        <f t="shared" si="5"/>
        <v>0</v>
      </c>
      <c r="Q39" s="545"/>
    </row>
    <row r="40" spans="4:17" ht="18" customHeight="1">
      <c r="D40" s="546">
        <v>2019</v>
      </c>
      <c r="E40" s="544">
        <v>12</v>
      </c>
      <c r="F40" s="544" t="s">
        <v>637</v>
      </c>
      <c r="G40" s="544" t="s">
        <v>756</v>
      </c>
      <c r="H40" s="544" t="s">
        <v>757</v>
      </c>
      <c r="I40" s="549">
        <v>3</v>
      </c>
      <c r="J40" s="544" t="s">
        <v>475</v>
      </c>
      <c r="K40" s="544">
        <f>SUMIF('CF.1'!$D:$D,CFS!G40,'CF.1'!$X:$X)</f>
        <v>0</v>
      </c>
      <c r="L40" s="544">
        <f t="shared" si="3"/>
        <v>0</v>
      </c>
      <c r="M40" s="547">
        <f t="shared" si="6"/>
        <v>0</v>
      </c>
      <c r="O40" s="551">
        <f>SUMIF(T198_TB!$G:$G,CFS!H40,T198_TB!$M:$M)</f>
        <v>0</v>
      </c>
      <c r="P40" s="549">
        <f t="shared" si="5"/>
        <v>0</v>
      </c>
      <c r="Q40" s="545"/>
    </row>
    <row r="41" spans="4:17" ht="18" customHeight="1">
      <c r="D41" s="546">
        <v>2019</v>
      </c>
      <c r="E41" s="544">
        <v>12</v>
      </c>
      <c r="F41" s="544" t="s">
        <v>637</v>
      </c>
      <c r="G41" s="544" t="s">
        <v>758</v>
      </c>
      <c r="H41" s="544" t="s">
        <v>759</v>
      </c>
      <c r="I41" s="549">
        <v>3</v>
      </c>
      <c r="J41" s="544" t="s">
        <v>475</v>
      </c>
      <c r="K41" s="544">
        <f>SUMIF('CF.1'!$D:$D,CFS!G41,'CF.1'!$X:$X)</f>
        <v>0</v>
      </c>
      <c r="L41" s="544">
        <f t="shared" si="3"/>
        <v>0</v>
      </c>
      <c r="M41" s="547">
        <f t="shared" si="6"/>
        <v>0</v>
      </c>
      <c r="O41" s="551">
        <f>SUMIF(T198_TB!$G:$G,CFS!H41,T198_TB!$M:$M)</f>
        <v>0</v>
      </c>
      <c r="P41" s="549">
        <f t="shared" si="5"/>
        <v>0</v>
      </c>
      <c r="Q41" s="545"/>
    </row>
    <row r="42" spans="4:17" ht="18" customHeight="1">
      <c r="D42" s="546">
        <v>2019</v>
      </c>
      <c r="E42" s="544">
        <v>12</v>
      </c>
      <c r="F42" s="544" t="s">
        <v>637</v>
      </c>
      <c r="G42" s="544" t="s">
        <v>760</v>
      </c>
      <c r="H42" s="544" t="s">
        <v>761</v>
      </c>
      <c r="I42" s="549">
        <v>3</v>
      </c>
      <c r="J42" s="544" t="s">
        <v>475</v>
      </c>
      <c r="K42" s="544">
        <f>SUMIF('CF.1'!$D:$D,CFS!G42,'CF.1'!$X:$X)</f>
        <v>0</v>
      </c>
      <c r="L42" s="544">
        <f t="shared" si="3"/>
        <v>0</v>
      </c>
      <c r="M42" s="547">
        <f t="shared" si="6"/>
        <v>0</v>
      </c>
      <c r="O42" s="551">
        <f>SUMIF(T198_TB!$G:$G,CFS!H42,T198_TB!$M:$M)</f>
        <v>0</v>
      </c>
      <c r="P42" s="549">
        <f t="shared" si="5"/>
        <v>0</v>
      </c>
      <c r="Q42" s="545"/>
    </row>
    <row r="43" spans="4:17" ht="18" customHeight="1">
      <c r="D43" s="546">
        <v>2019</v>
      </c>
      <c r="E43" s="544">
        <v>12</v>
      </c>
      <c r="F43" s="544" t="s">
        <v>637</v>
      </c>
      <c r="G43" s="544" t="s">
        <v>762</v>
      </c>
      <c r="H43" s="544" t="s">
        <v>763</v>
      </c>
      <c r="I43" s="549">
        <v>3</v>
      </c>
      <c r="J43" s="544" t="s">
        <v>475</v>
      </c>
      <c r="K43" s="544">
        <f>SUMIF('CF.1'!$D:$D,CFS!G43,'CF.1'!$X:$X)</f>
        <v>0</v>
      </c>
      <c r="L43" s="544">
        <f t="shared" si="3"/>
        <v>0</v>
      </c>
      <c r="M43" s="547">
        <f t="shared" si="6"/>
        <v>0</v>
      </c>
      <c r="O43" s="551">
        <f>SUMIF(T198_TB!$G:$G,CFS!H43,T198_TB!$M:$M)</f>
        <v>0</v>
      </c>
      <c r="P43" s="549">
        <f t="shared" si="5"/>
        <v>0</v>
      </c>
      <c r="Q43" s="545"/>
    </row>
    <row r="44" spans="4:17" ht="18" customHeight="1">
      <c r="D44" s="546">
        <v>2019</v>
      </c>
      <c r="E44" s="544">
        <v>12</v>
      </c>
      <c r="F44" s="544" t="s">
        <v>637</v>
      </c>
      <c r="G44" s="544" t="s">
        <v>764</v>
      </c>
      <c r="H44" s="544" t="s">
        <v>765</v>
      </c>
      <c r="I44" s="549">
        <v>3</v>
      </c>
      <c r="J44" s="544" t="s">
        <v>475</v>
      </c>
      <c r="K44" s="544">
        <f>SUMIF('CF.1'!$D:$D,CFS!G44,'CF.1'!$X:$X)</f>
        <v>674683389</v>
      </c>
      <c r="L44" s="544">
        <f t="shared" si="3"/>
        <v>674683389</v>
      </c>
      <c r="M44" s="547">
        <f t="shared" si="6"/>
        <v>0</v>
      </c>
      <c r="O44" s="551">
        <f>SUMIF(T198_TB!$G:$G,CFS!H44,T198_TB!$M:$M)</f>
        <v>674683389</v>
      </c>
      <c r="P44" s="549">
        <f t="shared" si="5"/>
        <v>0</v>
      </c>
      <c r="Q44" s="545"/>
    </row>
    <row r="45" spans="4:17" ht="18" customHeight="1">
      <c r="D45" s="546">
        <v>2019</v>
      </c>
      <c r="E45" s="544">
        <v>12</v>
      </c>
      <c r="F45" s="544" t="s">
        <v>637</v>
      </c>
      <c r="G45" s="544" t="s">
        <v>766</v>
      </c>
      <c r="H45" s="544" t="s">
        <v>767</v>
      </c>
      <c r="I45" s="549">
        <v>3</v>
      </c>
      <c r="J45" s="544" t="s">
        <v>475</v>
      </c>
      <c r="K45" s="544">
        <f>SUMIF('CF.1'!$D:$D,CFS!G45,'CF.1'!$X:$X)</f>
        <v>0</v>
      </c>
      <c r="L45" s="544">
        <f t="shared" si="3"/>
        <v>0</v>
      </c>
      <c r="M45" s="547">
        <f t="shared" si="6"/>
        <v>0</v>
      </c>
      <c r="O45" s="551">
        <f>SUMIF(T198_TB!$G:$G,CFS!H45,T198_TB!$M:$M)</f>
        <v>0</v>
      </c>
      <c r="P45" s="549">
        <f t="shared" si="5"/>
        <v>0</v>
      </c>
      <c r="Q45" s="545"/>
    </row>
    <row r="46" spans="4:17" ht="18" customHeight="1">
      <c r="D46" s="546">
        <v>2019</v>
      </c>
      <c r="E46" s="544">
        <v>12</v>
      </c>
      <c r="F46" s="544" t="s">
        <v>637</v>
      </c>
      <c r="G46" s="544" t="s">
        <v>768</v>
      </c>
      <c r="H46" s="544" t="s">
        <v>769</v>
      </c>
      <c r="I46" s="549">
        <v>3</v>
      </c>
      <c r="J46" s="544" t="s">
        <v>475</v>
      </c>
      <c r="K46" s="544">
        <f>SUMIF('CF.1'!$D:$D,CFS!G46,'CF.1'!$X:$X)</f>
        <v>0</v>
      </c>
      <c r="L46" s="544">
        <f t="shared" si="3"/>
        <v>0</v>
      </c>
      <c r="M46" s="547">
        <f t="shared" si="6"/>
        <v>0</v>
      </c>
      <c r="O46" s="551">
        <f>SUMIF(T198_TB!$G:$G,CFS!H46,T198_TB!$M:$M)</f>
        <v>0</v>
      </c>
      <c r="P46" s="549">
        <f t="shared" si="5"/>
        <v>0</v>
      </c>
      <c r="Q46" s="545"/>
    </row>
    <row r="47" spans="4:17" ht="18" customHeight="1">
      <c r="D47" s="546">
        <v>2019</v>
      </c>
      <c r="E47" s="544">
        <v>12</v>
      </c>
      <c r="F47" s="544" t="s">
        <v>637</v>
      </c>
      <c r="G47" s="544" t="s">
        <v>770</v>
      </c>
      <c r="H47" s="544" t="s">
        <v>771</v>
      </c>
      <c r="I47" s="549">
        <v>3</v>
      </c>
      <c r="J47" s="544" t="s">
        <v>475</v>
      </c>
      <c r="K47" s="544">
        <f>SUMIF('CF.1'!$D:$D,CFS!G47,'CF.1'!$X:$X)</f>
        <v>0</v>
      </c>
      <c r="L47" s="544">
        <f t="shared" si="3"/>
        <v>0</v>
      </c>
      <c r="M47" s="547">
        <f t="shared" si="6"/>
        <v>0</v>
      </c>
      <c r="O47" s="551">
        <f>SUMIF(T198_TB!$G:$G,CFS!H47,T198_TB!$M:$M)</f>
        <v>0</v>
      </c>
      <c r="P47" s="549">
        <f t="shared" si="5"/>
        <v>0</v>
      </c>
      <c r="Q47" s="545"/>
    </row>
    <row r="48" spans="4:17" ht="18" customHeight="1">
      <c r="D48" s="546">
        <v>2019</v>
      </c>
      <c r="E48" s="544">
        <v>12</v>
      </c>
      <c r="F48" s="544" t="s">
        <v>637</v>
      </c>
      <c r="G48" s="544" t="s">
        <v>772</v>
      </c>
      <c r="H48" s="544" t="s">
        <v>1555</v>
      </c>
      <c r="I48" s="549">
        <v>3</v>
      </c>
      <c r="J48" s="544" t="s">
        <v>475</v>
      </c>
      <c r="K48" s="544">
        <f>SUMIF('CF.1'!$D:$D,CFS!G48,'CF.1'!$X:$X)</f>
        <v>-123226078</v>
      </c>
      <c r="L48" s="544">
        <f t="shared" si="3"/>
        <v>-123226078</v>
      </c>
      <c r="M48" s="547">
        <f t="shared" si="6"/>
        <v>0</v>
      </c>
      <c r="O48" s="551">
        <f>SUMIF(T198_TB!$G:$G,CFS!H48,T198_TB!$M:$M)</f>
        <v>0</v>
      </c>
      <c r="P48" s="549">
        <f t="shared" si="5"/>
        <v>123226078</v>
      </c>
      <c r="Q48" s="545"/>
    </row>
    <row r="49" spans="4:17" ht="18" customHeight="1">
      <c r="D49" s="546">
        <v>2019</v>
      </c>
      <c r="E49" s="544">
        <v>12</v>
      </c>
      <c r="F49" s="544" t="s">
        <v>637</v>
      </c>
      <c r="G49" s="544" t="s">
        <v>773</v>
      </c>
      <c r="H49" s="544" t="s">
        <v>774</v>
      </c>
      <c r="I49" s="549">
        <v>3</v>
      </c>
      <c r="J49" s="544" t="s">
        <v>475</v>
      </c>
      <c r="K49" s="544">
        <f>SUMIF('CF.1'!$D:$D,CFS!G49,'CF.1'!$X:$X)</f>
        <v>0</v>
      </c>
      <c r="L49" s="544">
        <f t="shared" si="3"/>
        <v>0</v>
      </c>
      <c r="M49" s="547">
        <f t="shared" si="6"/>
        <v>0</v>
      </c>
      <c r="O49" s="551">
        <f>SUMIF(T198_TB!$G:$G,CFS!H49,T198_TB!$M:$M)</f>
        <v>0</v>
      </c>
      <c r="P49" s="549">
        <f t="shared" si="5"/>
        <v>0</v>
      </c>
      <c r="Q49" s="545"/>
    </row>
    <row r="50" spans="4:17" ht="18" customHeight="1">
      <c r="D50" s="546">
        <v>2019</v>
      </c>
      <c r="E50" s="544">
        <v>12</v>
      </c>
      <c r="F50" s="544" t="s">
        <v>637</v>
      </c>
      <c r="G50" s="544" t="s">
        <v>775</v>
      </c>
      <c r="H50" s="544" t="s">
        <v>776</v>
      </c>
      <c r="I50" s="549">
        <v>3</v>
      </c>
      <c r="J50" s="544" t="s">
        <v>475</v>
      </c>
      <c r="K50" s="544">
        <f>SUMIF('CF.1'!$D:$D,CFS!G50,'CF.1'!$X:$X)</f>
        <v>0</v>
      </c>
      <c r="L50" s="544">
        <f t="shared" si="3"/>
        <v>0</v>
      </c>
      <c r="M50" s="547">
        <f t="shared" si="6"/>
        <v>0</v>
      </c>
      <c r="O50" s="551">
        <f>SUMIF(T198_TB!$G:$G,CFS!H50,T198_TB!$M:$M)</f>
        <v>0</v>
      </c>
      <c r="P50" s="549">
        <f t="shared" si="5"/>
        <v>0</v>
      </c>
      <c r="Q50" s="545"/>
    </row>
    <row r="51" spans="4:17" ht="18" customHeight="1">
      <c r="D51" s="546">
        <v>2019</v>
      </c>
      <c r="E51" s="544">
        <v>12</v>
      </c>
      <c r="F51" s="544" t="s">
        <v>637</v>
      </c>
      <c r="G51" s="544" t="s">
        <v>777</v>
      </c>
      <c r="H51" s="544" t="s">
        <v>778</v>
      </c>
      <c r="I51" s="549">
        <v>3</v>
      </c>
      <c r="J51" s="544" t="s">
        <v>475</v>
      </c>
      <c r="K51" s="544">
        <f>SUMIF('CF.1'!$D:$D,CFS!G51,'CF.1'!$X:$X)</f>
        <v>0</v>
      </c>
      <c r="L51" s="544">
        <f t="shared" si="3"/>
        <v>0</v>
      </c>
      <c r="M51" s="547">
        <f t="shared" si="6"/>
        <v>0</v>
      </c>
      <c r="O51" s="551">
        <f>SUMIF(T198_TB!$G:$G,CFS!H51,T198_TB!$M:$M)</f>
        <v>0</v>
      </c>
      <c r="P51" s="549">
        <f t="shared" si="5"/>
        <v>0</v>
      </c>
      <c r="Q51" s="545"/>
    </row>
    <row r="52" spans="4:17" ht="18" customHeight="1">
      <c r="D52" s="546">
        <v>2019</v>
      </c>
      <c r="E52" s="544">
        <v>12</v>
      </c>
      <c r="F52" s="544" t="s">
        <v>637</v>
      </c>
      <c r="G52" s="544" t="s">
        <v>779</v>
      </c>
      <c r="H52" s="544" t="s">
        <v>261</v>
      </c>
      <c r="I52" s="549">
        <v>3</v>
      </c>
      <c r="J52" s="544" t="s">
        <v>475</v>
      </c>
      <c r="K52" s="544">
        <f>SUMIF('CF.1'!$D:$D,CFS!G52,'CF.1'!$X:$X)</f>
        <v>0</v>
      </c>
      <c r="L52" s="544">
        <f t="shared" si="3"/>
        <v>0</v>
      </c>
      <c r="M52" s="547">
        <f t="shared" si="6"/>
        <v>0</v>
      </c>
      <c r="O52" s="551">
        <f>SUMIF(T198_TB!$G:$G,CFS!H52,T198_TB!$M:$M)</f>
        <v>13873735120</v>
      </c>
      <c r="P52" s="549">
        <f t="shared" si="5"/>
        <v>13873735120</v>
      </c>
      <c r="Q52" s="545"/>
    </row>
    <row r="53" spans="4:17" ht="18" customHeight="1">
      <c r="D53" s="546">
        <v>2019</v>
      </c>
      <c r="E53" s="544">
        <v>12</v>
      </c>
      <c r="F53" s="544" t="s">
        <v>637</v>
      </c>
      <c r="G53" s="544" t="s">
        <v>780</v>
      </c>
      <c r="H53" s="544" t="s">
        <v>781</v>
      </c>
      <c r="I53" s="549">
        <v>3</v>
      </c>
      <c r="J53" s="544" t="s">
        <v>475</v>
      </c>
      <c r="K53" s="544">
        <f>SUMIF('CF.1'!$D:$D,CFS!G53,'CF.1'!$X:$X)</f>
        <v>0</v>
      </c>
      <c r="L53" s="544">
        <f t="shared" si="3"/>
        <v>0</v>
      </c>
      <c r="M53" s="547">
        <f t="shared" si="6"/>
        <v>0</v>
      </c>
      <c r="O53" s="551">
        <f>SUMIF(T198_TB!$G:$G,CFS!H53,T198_TB!$M:$M)</f>
        <v>0</v>
      </c>
      <c r="P53" s="549">
        <f t="shared" si="5"/>
        <v>0</v>
      </c>
      <c r="Q53" s="545"/>
    </row>
    <row r="54" spans="4:17" ht="18" customHeight="1">
      <c r="D54" s="546">
        <v>2019</v>
      </c>
      <c r="E54" s="544">
        <v>12</v>
      </c>
      <c r="F54" s="544" t="s">
        <v>637</v>
      </c>
      <c r="G54" s="544" t="s">
        <v>782</v>
      </c>
      <c r="H54" s="544" t="s">
        <v>783</v>
      </c>
      <c r="I54" s="549">
        <v>3</v>
      </c>
      <c r="J54" s="544" t="s">
        <v>475</v>
      </c>
      <c r="K54" s="544">
        <f>SUMIF('CF.1'!$D:$D,CFS!G54,'CF.1'!$X:$X)</f>
        <v>0</v>
      </c>
      <c r="L54" s="544">
        <f t="shared" si="3"/>
        <v>0</v>
      </c>
      <c r="M54" s="547">
        <f t="shared" si="6"/>
        <v>0</v>
      </c>
      <c r="O54" s="551">
        <f>SUMIF(T198_TB!$G:$G,CFS!H54,T198_TB!$M:$M)</f>
        <v>0</v>
      </c>
      <c r="P54" s="549">
        <f t="shared" si="5"/>
        <v>0</v>
      </c>
      <c r="Q54" s="545"/>
    </row>
    <row r="55" spans="4:17" ht="18" customHeight="1">
      <c r="D55" s="546">
        <v>2019</v>
      </c>
      <c r="E55" s="544">
        <v>12</v>
      </c>
      <c r="F55" s="544" t="s">
        <v>637</v>
      </c>
      <c r="G55" s="544" t="s">
        <v>784</v>
      </c>
      <c r="H55" s="544" t="s">
        <v>785</v>
      </c>
      <c r="I55" s="549">
        <v>3</v>
      </c>
      <c r="J55" s="544" t="s">
        <v>475</v>
      </c>
      <c r="K55" s="544">
        <f>SUMIF('CF.1'!$D:$D,CFS!G55,'CF.1'!$X:$X)</f>
        <v>0</v>
      </c>
      <c r="L55" s="544">
        <f t="shared" si="3"/>
        <v>0</v>
      </c>
      <c r="M55" s="547">
        <f t="shared" si="6"/>
        <v>0</v>
      </c>
      <c r="O55" s="551">
        <f>SUMIF(T198_TB!$G:$G,CFS!H55,T198_TB!$M:$M)</f>
        <v>0</v>
      </c>
      <c r="P55" s="549">
        <f t="shared" si="5"/>
        <v>0</v>
      </c>
      <c r="Q55" s="545"/>
    </row>
    <row r="56" spans="4:17" ht="18" customHeight="1">
      <c r="D56" s="546">
        <v>2019</v>
      </c>
      <c r="E56" s="544">
        <v>12</v>
      </c>
      <c r="F56" s="544" t="s">
        <v>637</v>
      </c>
      <c r="G56" s="544" t="s">
        <v>786</v>
      </c>
      <c r="H56" s="544" t="s">
        <v>787</v>
      </c>
      <c r="I56" s="549">
        <v>3</v>
      </c>
      <c r="J56" s="544" t="s">
        <v>475</v>
      </c>
      <c r="K56" s="544">
        <f>SUMIF('CF.1'!$D:$D,CFS!G56,'CF.1'!$X:$X)</f>
        <v>0</v>
      </c>
      <c r="L56" s="544">
        <f t="shared" si="3"/>
        <v>0</v>
      </c>
      <c r="M56" s="547">
        <f t="shared" si="6"/>
        <v>0</v>
      </c>
      <c r="O56" s="551">
        <f>SUMIF(T198_TB!$G:$G,CFS!H56,T198_TB!$M:$M)</f>
        <v>0</v>
      </c>
      <c r="P56" s="549">
        <f t="shared" si="5"/>
        <v>0</v>
      </c>
      <c r="Q56" s="545"/>
    </row>
    <row r="57" spans="4:17" ht="18" customHeight="1">
      <c r="D57" s="546">
        <v>2019</v>
      </c>
      <c r="E57" s="544">
        <v>12</v>
      </c>
      <c r="F57" s="544" t="s">
        <v>637</v>
      </c>
      <c r="G57" s="544" t="s">
        <v>788</v>
      </c>
      <c r="H57" s="544" t="s">
        <v>693</v>
      </c>
      <c r="I57" s="549">
        <v>3</v>
      </c>
      <c r="J57" s="544" t="s">
        <v>475</v>
      </c>
      <c r="K57" s="544">
        <f>SUMIF('CF.1'!$D:$D,CFS!G57,'CF.1'!$X:$X)</f>
        <v>0</v>
      </c>
      <c r="L57" s="544">
        <f t="shared" si="3"/>
        <v>0</v>
      </c>
      <c r="M57" s="547">
        <f t="shared" si="6"/>
        <v>0</v>
      </c>
      <c r="O57" s="551">
        <f>SUMIF(T198_TB!$G:$G,CFS!H57,T198_TB!$M:$M)</f>
        <v>34396117</v>
      </c>
      <c r="P57" s="549">
        <f t="shared" si="5"/>
        <v>34396117</v>
      </c>
      <c r="Q57" s="545"/>
    </row>
    <row r="58" spans="4:17" ht="18" customHeight="1">
      <c r="D58" s="546">
        <v>2019</v>
      </c>
      <c r="E58" s="544">
        <v>12</v>
      </c>
      <c r="F58" s="544" t="s">
        <v>637</v>
      </c>
      <c r="G58" s="544" t="s">
        <v>789</v>
      </c>
      <c r="H58" s="544" t="s">
        <v>686</v>
      </c>
      <c r="I58" s="549">
        <v>3</v>
      </c>
      <c r="J58" s="544" t="s">
        <v>475</v>
      </c>
      <c r="K58" s="544">
        <f>SUMIF('CF.1'!$D:$D,CFS!G58,'CF.1'!$X:$X)</f>
        <v>533101318</v>
      </c>
      <c r="L58" s="544">
        <f t="shared" si="3"/>
        <v>533101318</v>
      </c>
      <c r="M58" s="547">
        <f t="shared" si="6"/>
        <v>0</v>
      </c>
      <c r="O58" s="551">
        <f>SUM(T198_TB!M137:M138)</f>
        <v>533101318</v>
      </c>
      <c r="P58" s="549">
        <f t="shared" si="5"/>
        <v>0</v>
      </c>
      <c r="Q58" s="545"/>
    </row>
    <row r="59" spans="4:17" ht="18" customHeight="1">
      <c r="D59" s="546">
        <v>2019</v>
      </c>
      <c r="E59" s="544">
        <v>12</v>
      </c>
      <c r="F59" s="544" t="s">
        <v>637</v>
      </c>
      <c r="G59" s="544" t="s">
        <v>790</v>
      </c>
      <c r="H59" s="544" t="s">
        <v>381</v>
      </c>
      <c r="I59" s="549">
        <v>3</v>
      </c>
      <c r="J59" s="544" t="s">
        <v>475</v>
      </c>
      <c r="K59" s="544">
        <f>SUMIF('CF.1'!$D:$D,CFS!G59,'CF.1'!$X:$X)</f>
        <v>70238074</v>
      </c>
      <c r="L59" s="544">
        <f t="shared" si="3"/>
        <v>70238074</v>
      </c>
      <c r="M59" s="547">
        <f t="shared" si="6"/>
        <v>0</v>
      </c>
      <c r="O59" s="551">
        <f>SUMIF(T198_TB!$G:$G,CFS!H59,T198_TB!$M:$M)</f>
        <v>70238074</v>
      </c>
      <c r="P59" s="549">
        <f t="shared" si="5"/>
        <v>0</v>
      </c>
      <c r="Q59" s="545"/>
    </row>
    <row r="60" spans="4:17" ht="18" customHeight="1">
      <c r="D60" s="546">
        <v>2019</v>
      </c>
      <c r="E60" s="544">
        <v>12</v>
      </c>
      <c r="F60" s="544" t="s">
        <v>637</v>
      </c>
      <c r="G60" s="544" t="s">
        <v>1556</v>
      </c>
      <c r="H60" s="544" t="s">
        <v>1557</v>
      </c>
      <c r="I60" s="549">
        <v>3</v>
      </c>
      <c r="J60" s="544" t="s">
        <v>475</v>
      </c>
      <c r="K60" s="544">
        <f>SUMIF('CF.1'!$D:$D,CFS!G60,'CF.1'!$X:$X)</f>
        <v>0</v>
      </c>
      <c r="L60" s="544">
        <f t="shared" si="3"/>
        <v>0</v>
      </c>
      <c r="M60" s="547">
        <f t="shared" si="6"/>
        <v>0</v>
      </c>
      <c r="O60" s="551">
        <f>SUMIF(T198_TB!$G:$G,CFS!H60,T198_TB!$M:$M)</f>
        <v>0</v>
      </c>
      <c r="P60" s="549">
        <f t="shared" si="5"/>
        <v>0</v>
      </c>
      <c r="Q60" s="545"/>
    </row>
    <row r="61" spans="4:17" ht="18" customHeight="1">
      <c r="D61" s="546">
        <v>2019</v>
      </c>
      <c r="E61" s="544">
        <v>12</v>
      </c>
      <c r="F61" s="544" t="s">
        <v>637</v>
      </c>
      <c r="G61" s="544" t="s">
        <v>809</v>
      </c>
      <c r="H61" s="544" t="s">
        <v>1558</v>
      </c>
      <c r="I61" s="549">
        <v>3</v>
      </c>
      <c r="J61" s="544" t="s">
        <v>475</v>
      </c>
      <c r="K61" s="544">
        <f>SUMIF('CF.1'!$D:$D,CFS!G61,'CF.1'!$X:$X)</f>
        <v>0</v>
      </c>
      <c r="L61" s="544">
        <f t="shared" si="3"/>
        <v>0</v>
      </c>
      <c r="M61" s="547">
        <f t="shared" si="6"/>
        <v>0</v>
      </c>
      <c r="O61" s="551">
        <f>SUMIF(T198_TB!$G:$G,CFS!H61,T198_TB!$M:$M)</f>
        <v>0</v>
      </c>
      <c r="P61" s="549">
        <f t="shared" si="5"/>
        <v>0</v>
      </c>
      <c r="Q61" s="545"/>
    </row>
    <row r="62" spans="4:17" ht="18" customHeight="1">
      <c r="D62" s="541">
        <v>2019</v>
      </c>
      <c r="E62" s="542">
        <v>12</v>
      </c>
      <c r="F62" s="542" t="s">
        <v>637</v>
      </c>
      <c r="G62" s="542" t="s">
        <v>811</v>
      </c>
      <c r="H62" s="542" t="s">
        <v>812</v>
      </c>
      <c r="I62" s="542">
        <v>2</v>
      </c>
      <c r="J62" s="542" t="s">
        <v>475</v>
      </c>
      <c r="K62" s="542">
        <f>SUM(K63:K105)</f>
        <v>-1516687836</v>
      </c>
      <c r="L62" s="542">
        <f>SUM(L63:L105)</f>
        <v>-1516687836</v>
      </c>
      <c r="M62" s="543">
        <f>SUM(M63:M105)</f>
        <v>0</v>
      </c>
      <c r="O62" s="177">
        <f>K62-'CF.1'!X74</f>
        <v>0</v>
      </c>
      <c r="P62" s="544"/>
      <c r="Q62" s="545"/>
    </row>
    <row r="63" spans="4:17" ht="18" customHeight="1">
      <c r="D63" s="548">
        <v>2019</v>
      </c>
      <c r="E63" s="549">
        <v>12</v>
      </c>
      <c r="F63" s="549" t="s">
        <v>637</v>
      </c>
      <c r="G63" s="549" t="s">
        <v>813</v>
      </c>
      <c r="H63" s="549" t="s">
        <v>680</v>
      </c>
      <c r="I63" s="549">
        <v>3</v>
      </c>
      <c r="J63" s="549" t="s">
        <v>475</v>
      </c>
      <c r="K63" s="549">
        <f>SUMIF('CF.1'!$D:$D,CFS!G63,'CF.1'!$X:$X)</f>
        <v>-102383090</v>
      </c>
      <c r="L63" s="549">
        <f t="shared" si="3"/>
        <v>-102383090</v>
      </c>
      <c r="M63" s="550">
        <f t="shared" ref="M63:M105" si="7">L63-K63</f>
        <v>0</v>
      </c>
      <c r="O63" s="551">
        <f>SUMIF(T198_TB!$G:$G,CFS!H63,T198_TB!$M:$M)</f>
        <v>-102383090</v>
      </c>
      <c r="P63" s="549">
        <f t="shared" si="5"/>
        <v>0</v>
      </c>
      <c r="Q63" s="545"/>
    </row>
    <row r="64" spans="4:17" s="194" customFormat="1" ht="18" customHeight="1">
      <c r="D64" s="548">
        <v>2019</v>
      </c>
      <c r="E64" s="549">
        <v>12</v>
      </c>
      <c r="F64" s="549" t="s">
        <v>637</v>
      </c>
      <c r="G64" s="549" t="s">
        <v>814</v>
      </c>
      <c r="H64" s="549" t="s">
        <v>815</v>
      </c>
      <c r="I64" s="549">
        <v>3</v>
      </c>
      <c r="J64" s="549" t="s">
        <v>475</v>
      </c>
      <c r="K64" s="549">
        <v>0</v>
      </c>
      <c r="L64" s="549">
        <f t="shared" si="3"/>
        <v>0</v>
      </c>
      <c r="M64" s="550">
        <f t="shared" si="7"/>
        <v>0</v>
      </c>
      <c r="O64" s="551">
        <f>SUMIF(T198_TB!$G:$G,CFS!H64,T198_TB!$M:$M)</f>
        <v>0</v>
      </c>
      <c r="P64" s="549">
        <f t="shared" si="5"/>
        <v>0</v>
      </c>
      <c r="Q64" s="552"/>
    </row>
    <row r="65" spans="4:17" s="194" customFormat="1" ht="18" customHeight="1">
      <c r="D65" s="548">
        <v>2019</v>
      </c>
      <c r="E65" s="549">
        <v>12</v>
      </c>
      <c r="F65" s="549" t="s">
        <v>637</v>
      </c>
      <c r="G65" s="549" t="s">
        <v>816</v>
      </c>
      <c r="H65" s="549" t="s">
        <v>817</v>
      </c>
      <c r="I65" s="549">
        <v>3</v>
      </c>
      <c r="J65" s="549" t="s">
        <v>475</v>
      </c>
      <c r="K65" s="549">
        <f>SUMIF('CF.1'!$D:$D,CFS!G65,'CF.1'!$X:$X)</f>
        <v>-30066519</v>
      </c>
      <c r="L65" s="549">
        <f t="shared" si="3"/>
        <v>-30066519</v>
      </c>
      <c r="M65" s="550">
        <f t="shared" si="7"/>
        <v>0</v>
      </c>
      <c r="O65" s="551">
        <f>SUMIF(T198_TB!$G:$G,CFS!H65,T198_TB!$M:$M)</f>
        <v>0</v>
      </c>
      <c r="P65" s="549">
        <f t="shared" si="5"/>
        <v>30066519</v>
      </c>
      <c r="Q65" s="552"/>
    </row>
    <row r="66" spans="4:17" s="194" customFormat="1" ht="18" customHeight="1">
      <c r="D66" s="548">
        <v>2019</v>
      </c>
      <c r="E66" s="549">
        <v>12</v>
      </c>
      <c r="F66" s="549" t="s">
        <v>637</v>
      </c>
      <c r="G66" s="549" t="s">
        <v>1559</v>
      </c>
      <c r="H66" s="549" t="s">
        <v>1560</v>
      </c>
      <c r="I66" s="549">
        <v>3</v>
      </c>
      <c r="J66" s="549" t="s">
        <v>475</v>
      </c>
      <c r="K66" s="549">
        <v>-10629611</v>
      </c>
      <c r="L66" s="549">
        <v>-10629611</v>
      </c>
      <c r="M66" s="550">
        <f t="shared" si="7"/>
        <v>0</v>
      </c>
      <c r="O66" s="551">
        <f>SUMIF(T198_TB!$G:$G,CFS!H66,T198_TB!$M:$M)</f>
        <v>0</v>
      </c>
      <c r="P66" s="549">
        <f t="shared" si="5"/>
        <v>10629611</v>
      </c>
      <c r="Q66" s="552"/>
    </row>
    <row r="67" spans="4:17" ht="18" customHeight="1">
      <c r="D67" s="548">
        <v>2019</v>
      </c>
      <c r="E67" s="549">
        <v>12</v>
      </c>
      <c r="F67" s="549" t="s">
        <v>637</v>
      </c>
      <c r="G67" s="549" t="s">
        <v>1561</v>
      </c>
      <c r="H67" s="549" t="s">
        <v>1562</v>
      </c>
      <c r="I67" s="549">
        <v>3</v>
      </c>
      <c r="J67" s="549" t="s">
        <v>475</v>
      </c>
      <c r="K67" s="549">
        <f>SUMIF('CF.1'!$D:$D,CFS!G67,'CF.1'!$X:$X)</f>
        <v>0</v>
      </c>
      <c r="L67" s="549">
        <f t="shared" si="3"/>
        <v>0</v>
      </c>
      <c r="M67" s="550">
        <f t="shared" si="7"/>
        <v>0</v>
      </c>
      <c r="O67" s="551">
        <f>SUMIF(T198_TB!$G:$G,CFS!H67,T198_TB!$M:$M)</f>
        <v>0</v>
      </c>
      <c r="P67" s="549">
        <f t="shared" si="5"/>
        <v>0</v>
      </c>
      <c r="Q67" s="545"/>
    </row>
    <row r="68" spans="4:17" ht="18" customHeight="1">
      <c r="D68" s="548">
        <v>2019</v>
      </c>
      <c r="E68" s="549">
        <v>12</v>
      </c>
      <c r="F68" s="549" t="s">
        <v>637</v>
      </c>
      <c r="G68" s="549" t="s">
        <v>818</v>
      </c>
      <c r="H68" s="549" t="s">
        <v>819</v>
      </c>
      <c r="I68" s="549">
        <v>3</v>
      </c>
      <c r="J68" s="549" t="s">
        <v>475</v>
      </c>
      <c r="K68" s="549">
        <f>SUMIF('CF.1'!$D:$D,CFS!G68,'CF.1'!$X:$X)</f>
        <v>0</v>
      </c>
      <c r="L68" s="549">
        <f t="shared" si="3"/>
        <v>0</v>
      </c>
      <c r="M68" s="550">
        <f t="shared" si="7"/>
        <v>0</v>
      </c>
      <c r="O68" s="551">
        <f>SUMIF(T198_TB!$G:$G,CFS!H68,T198_TB!$M:$M)</f>
        <v>0</v>
      </c>
      <c r="P68" s="549">
        <f t="shared" si="5"/>
        <v>0</v>
      </c>
      <c r="Q68" s="545"/>
    </row>
    <row r="69" spans="4:17" ht="18" customHeight="1">
      <c r="D69" s="548">
        <v>2019</v>
      </c>
      <c r="E69" s="549">
        <v>12</v>
      </c>
      <c r="F69" s="549" t="s">
        <v>637</v>
      </c>
      <c r="G69" s="549" t="s">
        <v>887</v>
      </c>
      <c r="H69" s="549" t="s">
        <v>888</v>
      </c>
      <c r="I69" s="549">
        <v>3</v>
      </c>
      <c r="J69" s="549" t="s">
        <v>475</v>
      </c>
      <c r="K69" s="549">
        <f>SUMIF('CF.1'!$D:$D,CFS!G69,'CF.1'!$X:$X)</f>
        <v>0</v>
      </c>
      <c r="L69" s="549">
        <f t="shared" si="3"/>
        <v>0</v>
      </c>
      <c r="M69" s="550"/>
      <c r="O69" s="551"/>
      <c r="P69" s="549"/>
      <c r="Q69" s="545"/>
    </row>
    <row r="70" spans="4:17" ht="18" customHeight="1">
      <c r="D70" s="548">
        <v>2019</v>
      </c>
      <c r="E70" s="549">
        <v>12</v>
      </c>
      <c r="F70" s="549" t="s">
        <v>637</v>
      </c>
      <c r="G70" s="549" t="s">
        <v>889</v>
      </c>
      <c r="H70" s="549" t="s">
        <v>890</v>
      </c>
      <c r="I70" s="549">
        <v>3</v>
      </c>
      <c r="J70" s="549" t="s">
        <v>475</v>
      </c>
      <c r="K70" s="549">
        <f>SUMIF('CF.1'!$D:$D,CFS!G70,'CF.1'!$X:$X)</f>
        <v>0</v>
      </c>
      <c r="L70" s="549">
        <f t="shared" si="3"/>
        <v>0</v>
      </c>
      <c r="M70" s="550"/>
      <c r="O70" s="551"/>
      <c r="P70" s="549"/>
      <c r="Q70" s="545"/>
    </row>
    <row r="71" spans="4:17" ht="18" customHeight="1">
      <c r="D71" s="546">
        <v>2019</v>
      </c>
      <c r="E71" s="544">
        <v>12</v>
      </c>
      <c r="F71" s="544" t="s">
        <v>637</v>
      </c>
      <c r="G71" s="544" t="s">
        <v>820</v>
      </c>
      <c r="H71" s="544" t="s">
        <v>821</v>
      </c>
      <c r="I71" s="544">
        <v>3</v>
      </c>
      <c r="J71" s="544" t="s">
        <v>475</v>
      </c>
      <c r="K71" s="544">
        <f>SUMIF('CF.1'!$D:$D,CFS!G71,'CF.1'!$X:$X)</f>
        <v>0</v>
      </c>
      <c r="L71" s="544">
        <f t="shared" si="3"/>
        <v>0</v>
      </c>
      <c r="M71" s="547">
        <f t="shared" si="7"/>
        <v>0</v>
      </c>
      <c r="O71" s="551">
        <f>SUMIF(T198_TB!$G:$G,CFS!H71,T198_TB!$M:$M)</f>
        <v>0</v>
      </c>
      <c r="P71" s="549">
        <f t="shared" si="5"/>
        <v>0</v>
      </c>
      <c r="Q71" s="545"/>
    </row>
    <row r="72" spans="4:17" ht="18" customHeight="1">
      <c r="D72" s="546">
        <v>2019</v>
      </c>
      <c r="E72" s="544">
        <v>12</v>
      </c>
      <c r="F72" s="544" t="s">
        <v>637</v>
      </c>
      <c r="G72" s="544" t="s">
        <v>822</v>
      </c>
      <c r="H72" s="544" t="s">
        <v>823</v>
      </c>
      <c r="I72" s="544">
        <v>3</v>
      </c>
      <c r="J72" s="544" t="s">
        <v>475</v>
      </c>
      <c r="K72" s="544">
        <f>SUMIF('CF.1'!$D:$D,CFS!G72,'CF.1'!$X:$X)</f>
        <v>1199</v>
      </c>
      <c r="L72" s="544">
        <f t="shared" si="3"/>
        <v>1199</v>
      </c>
      <c r="M72" s="547">
        <f t="shared" si="7"/>
        <v>0</v>
      </c>
      <c r="O72" s="551">
        <f>SUMIF(T198_TB!$G:$G,CFS!H72,T198_TB!$M:$M)</f>
        <v>0</v>
      </c>
      <c r="P72" s="549">
        <f t="shared" si="5"/>
        <v>-1199</v>
      </c>
      <c r="Q72" s="545"/>
    </row>
    <row r="73" spans="4:17" ht="18" customHeight="1">
      <c r="D73" s="546">
        <v>2019</v>
      </c>
      <c r="E73" s="544">
        <v>12</v>
      </c>
      <c r="F73" s="544" t="s">
        <v>637</v>
      </c>
      <c r="G73" s="544" t="s">
        <v>824</v>
      </c>
      <c r="H73" s="544" t="s">
        <v>825</v>
      </c>
      <c r="I73" s="544">
        <v>3</v>
      </c>
      <c r="J73" s="544" t="s">
        <v>475</v>
      </c>
      <c r="K73" s="544">
        <f>SUMIF('CF.1'!$D:$D,CFS!G73,'CF.1'!$X:$X)</f>
        <v>0</v>
      </c>
      <c r="L73" s="544">
        <f t="shared" si="3"/>
        <v>0</v>
      </c>
      <c r="M73" s="547">
        <f t="shared" si="7"/>
        <v>0</v>
      </c>
      <c r="O73" s="551">
        <f>SUMIF(T198_TB!$G:$G,CFS!H73,T198_TB!$M:$M)</f>
        <v>0</v>
      </c>
      <c r="P73" s="549">
        <f t="shared" si="5"/>
        <v>0</v>
      </c>
      <c r="Q73" s="545"/>
    </row>
    <row r="74" spans="4:17" ht="18" customHeight="1">
      <c r="D74" s="546">
        <v>2019</v>
      </c>
      <c r="E74" s="544">
        <v>12</v>
      </c>
      <c r="F74" s="544" t="s">
        <v>637</v>
      </c>
      <c r="G74" s="544" t="s">
        <v>826</v>
      </c>
      <c r="H74" s="544" t="s">
        <v>827</v>
      </c>
      <c r="I74" s="544">
        <v>3</v>
      </c>
      <c r="J74" s="544" t="s">
        <v>475</v>
      </c>
      <c r="K74" s="544">
        <f>SUMIF('CF.1'!$D:$D,CFS!G74,'CF.1'!$X:$X)</f>
        <v>-1199</v>
      </c>
      <c r="L74" s="544">
        <f t="shared" si="3"/>
        <v>-1199</v>
      </c>
      <c r="M74" s="547">
        <f t="shared" si="7"/>
        <v>0</v>
      </c>
      <c r="O74" s="551">
        <f>SUMIF(T198_TB!$G:$G,CFS!H74,T198_TB!$M:$M)</f>
        <v>0</v>
      </c>
      <c r="P74" s="549">
        <f t="shared" si="5"/>
        <v>1199</v>
      </c>
      <c r="Q74" s="545"/>
    </row>
    <row r="75" spans="4:17" ht="18" customHeight="1">
      <c r="D75" s="546">
        <v>2019</v>
      </c>
      <c r="E75" s="544">
        <v>12</v>
      </c>
      <c r="F75" s="544" t="s">
        <v>637</v>
      </c>
      <c r="G75" s="544" t="s">
        <v>828</v>
      </c>
      <c r="H75" s="544" t="s">
        <v>829</v>
      </c>
      <c r="I75" s="544">
        <v>3</v>
      </c>
      <c r="J75" s="544" t="s">
        <v>475</v>
      </c>
      <c r="K75" s="544">
        <f>SUMIF('CF.1'!$D:$D,CFS!G75,'CF.1'!$X:$X)</f>
        <v>0</v>
      </c>
      <c r="L75" s="544">
        <f t="shared" ref="L75:L138" si="8">K75</f>
        <v>0</v>
      </c>
      <c r="M75" s="547">
        <f t="shared" si="7"/>
        <v>0</v>
      </c>
      <c r="O75" s="551">
        <f>SUMIF(T198_TB!$G:$G,CFS!H75,T198_TB!$M:$M)</f>
        <v>0</v>
      </c>
      <c r="P75" s="549">
        <f t="shared" si="5"/>
        <v>0</v>
      </c>
      <c r="Q75" s="545"/>
    </row>
    <row r="76" spans="4:17" ht="18" customHeight="1">
      <c r="D76" s="546">
        <v>2019</v>
      </c>
      <c r="E76" s="544">
        <v>12</v>
      </c>
      <c r="F76" s="544" t="s">
        <v>637</v>
      </c>
      <c r="G76" s="544" t="s">
        <v>830</v>
      </c>
      <c r="H76" s="544" t="s">
        <v>831</v>
      </c>
      <c r="I76" s="544">
        <v>3</v>
      </c>
      <c r="J76" s="544" t="s">
        <v>475</v>
      </c>
      <c r="K76" s="544">
        <f>SUMIF('CF.1'!$D:$D,CFS!G76,'CF.1'!$X:$X)</f>
        <v>0</v>
      </c>
      <c r="L76" s="544">
        <f t="shared" si="8"/>
        <v>0</v>
      </c>
      <c r="M76" s="547">
        <f t="shared" si="7"/>
        <v>0</v>
      </c>
      <c r="O76" s="551">
        <f>SUMIF(T198_TB!$G:$G,CFS!H76,T198_TB!$M:$M)</f>
        <v>0</v>
      </c>
      <c r="P76" s="549">
        <f t="shared" ref="P76:P105" si="9">O76-L76</f>
        <v>0</v>
      </c>
      <c r="Q76" s="545"/>
    </row>
    <row r="77" spans="4:17" ht="18" customHeight="1">
      <c r="D77" s="546">
        <v>2019</v>
      </c>
      <c r="E77" s="544">
        <v>12</v>
      </c>
      <c r="F77" s="544" t="s">
        <v>637</v>
      </c>
      <c r="G77" s="544" t="s">
        <v>832</v>
      </c>
      <c r="H77" s="544" t="s">
        <v>833</v>
      </c>
      <c r="I77" s="544">
        <v>3</v>
      </c>
      <c r="J77" s="544" t="s">
        <v>475</v>
      </c>
      <c r="K77" s="544">
        <f>SUMIF('CF.1'!$D:$D,CFS!G77,'CF.1'!$X:$X)</f>
        <v>0</v>
      </c>
      <c r="L77" s="544">
        <f t="shared" si="8"/>
        <v>0</v>
      </c>
      <c r="M77" s="547">
        <f t="shared" si="7"/>
        <v>0</v>
      </c>
      <c r="O77" s="551">
        <f>SUMIF(T198_TB!$G:$G,CFS!H77,T198_TB!$M:$M)</f>
        <v>0</v>
      </c>
      <c r="P77" s="549">
        <f t="shared" si="9"/>
        <v>0</v>
      </c>
      <c r="Q77" s="545"/>
    </row>
    <row r="78" spans="4:17" ht="18" customHeight="1">
      <c r="D78" s="546">
        <v>2019</v>
      </c>
      <c r="E78" s="544">
        <v>12</v>
      </c>
      <c r="F78" s="544" t="s">
        <v>637</v>
      </c>
      <c r="G78" s="544" t="s">
        <v>834</v>
      </c>
      <c r="H78" s="544" t="s">
        <v>835</v>
      </c>
      <c r="I78" s="544">
        <v>3</v>
      </c>
      <c r="J78" s="544" t="s">
        <v>475</v>
      </c>
      <c r="K78" s="544">
        <f>SUMIF('CF.1'!$D:$D,CFS!G78,'CF.1'!$X:$X)</f>
        <v>0</v>
      </c>
      <c r="L78" s="544">
        <f t="shared" si="8"/>
        <v>0</v>
      </c>
      <c r="M78" s="547">
        <f t="shared" si="7"/>
        <v>0</v>
      </c>
      <c r="O78" s="551">
        <f>SUMIF(T198_TB!$G:$G,CFS!H78,T198_TB!$M:$M)</f>
        <v>0</v>
      </c>
      <c r="P78" s="549">
        <f t="shared" si="9"/>
        <v>0</v>
      </c>
      <c r="Q78" s="545"/>
    </row>
    <row r="79" spans="4:17" ht="18" customHeight="1">
      <c r="D79" s="546">
        <v>2019</v>
      </c>
      <c r="E79" s="544">
        <v>12</v>
      </c>
      <c r="F79" s="544" t="s">
        <v>637</v>
      </c>
      <c r="G79" s="544" t="s">
        <v>836</v>
      </c>
      <c r="H79" s="544" t="s">
        <v>837</v>
      </c>
      <c r="I79" s="544">
        <v>3</v>
      </c>
      <c r="J79" s="544" t="s">
        <v>475</v>
      </c>
      <c r="K79" s="544">
        <f>SUMIF('CF.1'!$D:$D,CFS!G79,'CF.1'!$X:$X)</f>
        <v>0</v>
      </c>
      <c r="L79" s="544">
        <f t="shared" si="8"/>
        <v>0</v>
      </c>
      <c r="M79" s="547">
        <f t="shared" si="7"/>
        <v>0</v>
      </c>
      <c r="O79" s="551">
        <f>SUMIF(T198_TB!$G:$G,CFS!H79,T198_TB!$M:$M)</f>
        <v>0</v>
      </c>
      <c r="P79" s="549">
        <f t="shared" si="9"/>
        <v>0</v>
      </c>
      <c r="Q79" s="545"/>
    </row>
    <row r="80" spans="4:17" ht="18" customHeight="1">
      <c r="D80" s="546">
        <v>2019</v>
      </c>
      <c r="E80" s="544">
        <v>12</v>
      </c>
      <c r="F80" s="544" t="s">
        <v>637</v>
      </c>
      <c r="G80" s="544" t="s">
        <v>838</v>
      </c>
      <c r="H80" s="544" t="s">
        <v>839</v>
      </c>
      <c r="I80" s="544">
        <v>3</v>
      </c>
      <c r="J80" s="544" t="s">
        <v>475</v>
      </c>
      <c r="K80" s="544">
        <f>SUMIF('CF.1'!$D:$D,CFS!G80,'CF.1'!$X:$X)</f>
        <v>0</v>
      </c>
      <c r="L80" s="544">
        <f t="shared" si="8"/>
        <v>0</v>
      </c>
      <c r="M80" s="547">
        <f t="shared" si="7"/>
        <v>0</v>
      </c>
      <c r="O80" s="551">
        <f>SUMIF(T198_TB!$G:$G,CFS!H80,T198_TB!$M:$M)</f>
        <v>0</v>
      </c>
      <c r="P80" s="549">
        <f t="shared" si="9"/>
        <v>0</v>
      </c>
      <c r="Q80" s="545"/>
    </row>
    <row r="81" spans="4:17" ht="18" customHeight="1">
      <c r="D81" s="546">
        <v>2019</v>
      </c>
      <c r="E81" s="544">
        <v>12</v>
      </c>
      <c r="F81" s="544" t="s">
        <v>637</v>
      </c>
      <c r="G81" s="544" t="s">
        <v>840</v>
      </c>
      <c r="H81" s="544" t="s">
        <v>683</v>
      </c>
      <c r="I81" s="544">
        <v>3</v>
      </c>
      <c r="J81" s="544" t="s">
        <v>475</v>
      </c>
      <c r="K81" s="544">
        <f>SUMIF('CF.1'!$D:$D,CFS!G81,'CF.1'!$X:$X)</f>
        <v>-221590</v>
      </c>
      <c r="L81" s="544">
        <f t="shared" si="8"/>
        <v>-221590</v>
      </c>
      <c r="M81" s="547">
        <f t="shared" si="7"/>
        <v>0</v>
      </c>
      <c r="O81" s="551">
        <f>SUMIF(T198_TB!$G:$G,CFS!H81,T198_TB!$M:$M)</f>
        <v>-221590</v>
      </c>
      <c r="P81" s="549">
        <f t="shared" si="9"/>
        <v>0</v>
      </c>
      <c r="Q81" s="545"/>
    </row>
    <row r="82" spans="4:17" ht="18" customHeight="1">
      <c r="D82" s="546">
        <v>2019</v>
      </c>
      <c r="E82" s="544">
        <v>12</v>
      </c>
      <c r="F82" s="544" t="s">
        <v>637</v>
      </c>
      <c r="G82" s="544" t="s">
        <v>841</v>
      </c>
      <c r="H82" s="544" t="s">
        <v>842</v>
      </c>
      <c r="I82" s="544">
        <v>3</v>
      </c>
      <c r="J82" s="544" t="s">
        <v>475</v>
      </c>
      <c r="K82" s="544">
        <f>SUMIF('CF.1'!$D:$D,CFS!G82,'CF.1'!$X:$X)</f>
        <v>0</v>
      </c>
      <c r="L82" s="544">
        <f t="shared" si="8"/>
        <v>0</v>
      </c>
      <c r="M82" s="547">
        <f t="shared" si="7"/>
        <v>0</v>
      </c>
      <c r="O82" s="551">
        <f>SUMIF(T198_TB!$G:$G,CFS!H82,T198_TB!$M:$M)</f>
        <v>0</v>
      </c>
      <c r="P82" s="549">
        <f t="shared" si="9"/>
        <v>0</v>
      </c>
      <c r="Q82" s="545"/>
    </row>
    <row r="83" spans="4:17" ht="18" customHeight="1">
      <c r="D83" s="546">
        <v>2019</v>
      </c>
      <c r="E83" s="544">
        <v>12</v>
      </c>
      <c r="F83" s="544" t="s">
        <v>637</v>
      </c>
      <c r="G83" s="544" t="s">
        <v>843</v>
      </c>
      <c r="H83" s="544" t="s">
        <v>684</v>
      </c>
      <c r="I83" s="544">
        <v>3</v>
      </c>
      <c r="J83" s="544" t="s">
        <v>475</v>
      </c>
      <c r="K83" s="544">
        <f>SUMIF('CF.1'!$D:$D,CFS!G83,'CF.1'!$X:$X)</f>
        <v>0</v>
      </c>
      <c r="L83" s="544">
        <f t="shared" si="8"/>
        <v>0</v>
      </c>
      <c r="M83" s="547">
        <f t="shared" si="7"/>
        <v>0</v>
      </c>
      <c r="O83" s="551">
        <f>SUMIF(T198_TB!$G:$G,CFS!H83,T198_TB!$M:$M)</f>
        <v>0</v>
      </c>
      <c r="P83" s="549">
        <f t="shared" si="9"/>
        <v>0</v>
      </c>
      <c r="Q83" s="545"/>
    </row>
    <row r="84" spans="4:17" ht="18" customHeight="1">
      <c r="D84" s="546">
        <v>2019</v>
      </c>
      <c r="E84" s="544">
        <v>12</v>
      </c>
      <c r="F84" s="544" t="s">
        <v>637</v>
      </c>
      <c r="G84" s="544" t="s">
        <v>844</v>
      </c>
      <c r="H84" s="544" t="s">
        <v>845</v>
      </c>
      <c r="I84" s="544">
        <v>3</v>
      </c>
      <c r="J84" s="544" t="s">
        <v>475</v>
      </c>
      <c r="K84" s="544">
        <f>SUMIF('CF.1'!$D:$D,CFS!G84,'CF.1'!$X:$X)</f>
        <v>0</v>
      </c>
      <c r="L84" s="544">
        <f t="shared" si="8"/>
        <v>0</v>
      </c>
      <c r="M84" s="547">
        <f t="shared" si="7"/>
        <v>0</v>
      </c>
      <c r="O84" s="551">
        <f>SUMIF(T198_TB!$G:$G,CFS!H84,T198_TB!$M:$M)</f>
        <v>0</v>
      </c>
      <c r="P84" s="549">
        <f t="shared" si="9"/>
        <v>0</v>
      </c>
      <c r="Q84" s="545"/>
    </row>
    <row r="85" spans="4:17" ht="18" customHeight="1">
      <c r="D85" s="546">
        <v>2019</v>
      </c>
      <c r="E85" s="544">
        <v>12</v>
      </c>
      <c r="F85" s="544" t="s">
        <v>637</v>
      </c>
      <c r="G85" s="544" t="s">
        <v>846</v>
      </c>
      <c r="H85" s="544" t="s">
        <v>847</v>
      </c>
      <c r="I85" s="544">
        <v>3</v>
      </c>
      <c r="J85" s="544" t="s">
        <v>475</v>
      </c>
      <c r="K85" s="544">
        <f>SUMIF('CF.1'!$D:$D,CFS!G85,'CF.1'!$X:$X)</f>
        <v>0</v>
      </c>
      <c r="L85" s="544">
        <f t="shared" si="8"/>
        <v>0</v>
      </c>
      <c r="M85" s="547">
        <f t="shared" si="7"/>
        <v>0</v>
      </c>
      <c r="O85" s="551">
        <f>SUMIF(T198_TB!$G:$G,CFS!H85,T198_TB!$M:$M)</f>
        <v>0</v>
      </c>
      <c r="P85" s="549">
        <f t="shared" si="9"/>
        <v>0</v>
      </c>
      <c r="Q85" s="545"/>
    </row>
    <row r="86" spans="4:17" ht="18" customHeight="1">
      <c r="D86" s="546">
        <v>2019</v>
      </c>
      <c r="E86" s="544">
        <v>12</v>
      </c>
      <c r="F86" s="544" t="s">
        <v>637</v>
      </c>
      <c r="G86" s="544" t="s">
        <v>848</v>
      </c>
      <c r="H86" s="544" t="s">
        <v>849</v>
      </c>
      <c r="I86" s="544">
        <v>3</v>
      </c>
      <c r="J86" s="544" t="s">
        <v>475</v>
      </c>
      <c r="K86" s="544">
        <f>SUMIF('CF.1'!$D:$D,CFS!G86,'CF.1'!$X:$X)</f>
        <v>0</v>
      </c>
      <c r="L86" s="544">
        <f t="shared" si="8"/>
        <v>0</v>
      </c>
      <c r="M86" s="547">
        <f t="shared" si="7"/>
        <v>0</v>
      </c>
      <c r="O86" s="551">
        <f>SUMIF(T198_TB!$G:$G,CFS!H86,T198_TB!$M:$M)</f>
        <v>0</v>
      </c>
      <c r="P86" s="549">
        <f t="shared" si="9"/>
        <v>0</v>
      </c>
      <c r="Q86" s="545"/>
    </row>
    <row r="87" spans="4:17" ht="18" customHeight="1">
      <c r="D87" s="546">
        <v>2019</v>
      </c>
      <c r="E87" s="544">
        <v>12</v>
      </c>
      <c r="F87" s="544" t="s">
        <v>637</v>
      </c>
      <c r="G87" s="544" t="s">
        <v>850</v>
      </c>
      <c r="H87" s="544" t="s">
        <v>851</v>
      </c>
      <c r="I87" s="544">
        <v>3</v>
      </c>
      <c r="J87" s="544" t="s">
        <v>475</v>
      </c>
      <c r="K87" s="544">
        <f>SUMIF('CF.1'!$D:$D,CFS!G87,'CF.1'!$X:$X)</f>
        <v>0</v>
      </c>
      <c r="L87" s="544">
        <f t="shared" si="8"/>
        <v>0</v>
      </c>
      <c r="M87" s="547">
        <f t="shared" si="7"/>
        <v>0</v>
      </c>
      <c r="O87" s="551">
        <f>SUMIF(T198_TB!$G:$G,CFS!H87,T198_TB!$M:$M)</f>
        <v>0</v>
      </c>
      <c r="P87" s="549">
        <f t="shared" si="9"/>
        <v>0</v>
      </c>
      <c r="Q87" s="545"/>
    </row>
    <row r="88" spans="4:17" ht="18" customHeight="1">
      <c r="D88" s="546">
        <v>2019</v>
      </c>
      <c r="E88" s="544">
        <v>12</v>
      </c>
      <c r="F88" s="544" t="s">
        <v>637</v>
      </c>
      <c r="G88" s="544" t="s">
        <v>852</v>
      </c>
      <c r="H88" s="544" t="s">
        <v>853</v>
      </c>
      <c r="I88" s="544">
        <v>3</v>
      </c>
      <c r="J88" s="544" t="s">
        <v>475</v>
      </c>
      <c r="K88" s="544">
        <f>SUMIF('CF.1'!$D:$D,CFS!G88,'CF.1'!$X:$X)</f>
        <v>0</v>
      </c>
      <c r="L88" s="544">
        <f t="shared" si="8"/>
        <v>0</v>
      </c>
      <c r="M88" s="547">
        <f t="shared" si="7"/>
        <v>0</v>
      </c>
      <c r="O88" s="551">
        <f>SUMIF(T198_TB!$G:$G,CFS!H88,T198_TB!$M:$M)</f>
        <v>0</v>
      </c>
      <c r="P88" s="549">
        <f t="shared" si="9"/>
        <v>0</v>
      </c>
      <c r="Q88" s="545"/>
    </row>
    <row r="89" spans="4:17" ht="18" customHeight="1">
      <c r="D89" s="546">
        <v>2019</v>
      </c>
      <c r="E89" s="544">
        <v>12</v>
      </c>
      <c r="F89" s="544" t="s">
        <v>637</v>
      </c>
      <c r="G89" s="544" t="s">
        <v>854</v>
      </c>
      <c r="H89" s="544" t="s">
        <v>855</v>
      </c>
      <c r="I89" s="544">
        <v>3</v>
      </c>
      <c r="J89" s="544" t="s">
        <v>475</v>
      </c>
      <c r="K89" s="544">
        <f>SUMIF('CF.1'!$D:$D,CFS!G89,'CF.1'!$X:$X)</f>
        <v>0</v>
      </c>
      <c r="L89" s="544">
        <f t="shared" si="8"/>
        <v>0</v>
      </c>
      <c r="M89" s="547">
        <f t="shared" si="7"/>
        <v>0</v>
      </c>
      <c r="O89" s="551">
        <f>SUMIF(T198_TB!$G:$G,CFS!H89,T198_TB!$M:$M)</f>
        <v>0</v>
      </c>
      <c r="P89" s="549">
        <f t="shared" si="9"/>
        <v>0</v>
      </c>
      <c r="Q89" s="545"/>
    </row>
    <row r="90" spans="4:17" ht="18" customHeight="1">
      <c r="D90" s="546">
        <v>2019</v>
      </c>
      <c r="E90" s="544">
        <v>12</v>
      </c>
      <c r="F90" s="544" t="s">
        <v>637</v>
      </c>
      <c r="G90" s="544" t="s">
        <v>856</v>
      </c>
      <c r="H90" s="544" t="s">
        <v>857</v>
      </c>
      <c r="I90" s="544">
        <v>3</v>
      </c>
      <c r="J90" s="544" t="s">
        <v>475</v>
      </c>
      <c r="K90" s="544">
        <f>SUMIF('CF.1'!$D:$D,CFS!G90,'CF.1'!$X:$X)</f>
        <v>0</v>
      </c>
      <c r="L90" s="544">
        <f t="shared" si="8"/>
        <v>0</v>
      </c>
      <c r="M90" s="547">
        <f t="shared" si="7"/>
        <v>0</v>
      </c>
      <c r="O90" s="551">
        <f>SUMIF(T198_TB!$G:$G,CFS!H90,T198_TB!$M:$M)</f>
        <v>0</v>
      </c>
      <c r="P90" s="549">
        <f t="shared" si="9"/>
        <v>0</v>
      </c>
      <c r="Q90" s="545"/>
    </row>
    <row r="91" spans="4:17" ht="18" customHeight="1">
      <c r="D91" s="546">
        <v>2019</v>
      </c>
      <c r="E91" s="544">
        <v>12</v>
      </c>
      <c r="F91" s="544" t="s">
        <v>637</v>
      </c>
      <c r="G91" s="544" t="s">
        <v>858</v>
      </c>
      <c r="H91" s="544" t="s">
        <v>859</v>
      </c>
      <c r="I91" s="544">
        <v>3</v>
      </c>
      <c r="J91" s="544" t="s">
        <v>475</v>
      </c>
      <c r="K91" s="544">
        <f>SUMIF('CF.1'!$D:$D,CFS!G91,'CF.1'!$X:$X)</f>
        <v>0</v>
      </c>
      <c r="L91" s="544">
        <f t="shared" si="8"/>
        <v>0</v>
      </c>
      <c r="M91" s="547">
        <f t="shared" si="7"/>
        <v>0</v>
      </c>
      <c r="O91" s="551">
        <f>SUMIF(T198_TB!$G:$G,CFS!H91,T198_TB!$M:$M)</f>
        <v>0</v>
      </c>
      <c r="P91" s="549">
        <f t="shared" si="9"/>
        <v>0</v>
      </c>
      <c r="Q91" s="545"/>
    </row>
    <row r="92" spans="4:17" ht="18" customHeight="1">
      <c r="D92" s="546">
        <v>2019</v>
      </c>
      <c r="E92" s="544">
        <v>12</v>
      </c>
      <c r="F92" s="544" t="s">
        <v>637</v>
      </c>
      <c r="G92" s="544" t="s">
        <v>860</v>
      </c>
      <c r="H92" s="544" t="s">
        <v>861</v>
      </c>
      <c r="I92" s="544">
        <v>3</v>
      </c>
      <c r="J92" s="544" t="s">
        <v>475</v>
      </c>
      <c r="K92" s="544">
        <f>SUMIF('CF.1'!$D:$D,CFS!G92,'CF.1'!$X:$X)</f>
        <v>0</v>
      </c>
      <c r="L92" s="544">
        <f t="shared" si="8"/>
        <v>0</v>
      </c>
      <c r="M92" s="547">
        <f t="shared" si="7"/>
        <v>0</v>
      </c>
      <c r="O92" s="551">
        <f>SUMIF(T198_TB!$G:$G,CFS!H92,T198_TB!$M:$M)</f>
        <v>0</v>
      </c>
      <c r="P92" s="549">
        <f t="shared" si="9"/>
        <v>0</v>
      </c>
      <c r="Q92" s="545"/>
    </row>
    <row r="93" spans="4:17" ht="18" customHeight="1">
      <c r="D93" s="546">
        <v>2019</v>
      </c>
      <c r="E93" s="544">
        <v>12</v>
      </c>
      <c r="F93" s="544" t="s">
        <v>637</v>
      </c>
      <c r="G93" s="544" t="s">
        <v>862</v>
      </c>
      <c r="H93" s="544" t="s">
        <v>863</v>
      </c>
      <c r="I93" s="544">
        <v>3</v>
      </c>
      <c r="J93" s="544" t="s">
        <v>475</v>
      </c>
      <c r="K93" s="544">
        <f>SUMIF('CF.1'!$D:$D,CFS!G93,'CF.1'!$X:$X)</f>
        <v>0</v>
      </c>
      <c r="L93" s="544">
        <f t="shared" si="8"/>
        <v>0</v>
      </c>
      <c r="M93" s="547">
        <f t="shared" si="7"/>
        <v>0</v>
      </c>
      <c r="O93" s="551">
        <f>SUMIF(T198_TB!$G:$G,CFS!H93,T198_TB!$M:$M)</f>
        <v>0</v>
      </c>
      <c r="P93" s="549">
        <f t="shared" si="9"/>
        <v>0</v>
      </c>
      <c r="Q93" s="545"/>
    </row>
    <row r="94" spans="4:17" ht="18" customHeight="1">
      <c r="D94" s="546">
        <v>2019</v>
      </c>
      <c r="E94" s="544">
        <v>12</v>
      </c>
      <c r="F94" s="544" t="s">
        <v>637</v>
      </c>
      <c r="G94" s="544" t="s">
        <v>864</v>
      </c>
      <c r="H94" s="544" t="s">
        <v>865</v>
      </c>
      <c r="I94" s="544">
        <v>3</v>
      </c>
      <c r="J94" s="544" t="s">
        <v>475</v>
      </c>
      <c r="K94" s="544">
        <f>SUMIF('CF.1'!$D:$D,CFS!G94,'CF.1'!$X:$X)</f>
        <v>0</v>
      </c>
      <c r="L94" s="544">
        <f t="shared" si="8"/>
        <v>0</v>
      </c>
      <c r="M94" s="547">
        <f t="shared" si="7"/>
        <v>0</v>
      </c>
      <c r="O94" s="551">
        <f>SUMIF(T198_TB!$G:$G,CFS!H94,T198_TB!$M:$M)</f>
        <v>0</v>
      </c>
      <c r="P94" s="549">
        <f t="shared" si="9"/>
        <v>0</v>
      </c>
      <c r="Q94" s="545"/>
    </row>
    <row r="95" spans="4:17" ht="18" customHeight="1">
      <c r="D95" s="546">
        <v>2019</v>
      </c>
      <c r="E95" s="544">
        <v>12</v>
      </c>
      <c r="F95" s="544" t="s">
        <v>637</v>
      </c>
      <c r="G95" s="544" t="s">
        <v>866</v>
      </c>
      <c r="H95" s="544" t="s">
        <v>867</v>
      </c>
      <c r="I95" s="544">
        <v>3</v>
      </c>
      <c r="J95" s="544" t="s">
        <v>475</v>
      </c>
      <c r="K95" s="544">
        <f>SUMIF('CF.1'!$D:$D,CFS!G95,'CF.1'!$X:$X)</f>
        <v>0</v>
      </c>
      <c r="L95" s="544">
        <f t="shared" si="8"/>
        <v>0</v>
      </c>
      <c r="M95" s="547">
        <f t="shared" si="7"/>
        <v>0</v>
      </c>
      <c r="O95" s="551">
        <f>SUMIF(T198_TB!$G:$G,CFS!H95,T198_TB!$M:$M)</f>
        <v>0</v>
      </c>
      <c r="P95" s="549">
        <f t="shared" si="9"/>
        <v>0</v>
      </c>
      <c r="Q95" s="545"/>
    </row>
    <row r="96" spans="4:17" ht="18" customHeight="1">
      <c r="D96" s="546">
        <v>2019</v>
      </c>
      <c r="E96" s="544">
        <v>12</v>
      </c>
      <c r="F96" s="544" t="s">
        <v>637</v>
      </c>
      <c r="G96" s="544" t="s">
        <v>868</v>
      </c>
      <c r="H96" s="544" t="s">
        <v>869</v>
      </c>
      <c r="I96" s="544">
        <v>3</v>
      </c>
      <c r="J96" s="544" t="s">
        <v>475</v>
      </c>
      <c r="K96" s="544">
        <f>SUMIF('CF.1'!$D:$D,CFS!G96,'CF.1'!$X:$X)</f>
        <v>0</v>
      </c>
      <c r="L96" s="544">
        <f t="shared" si="8"/>
        <v>0</v>
      </c>
      <c r="M96" s="547">
        <f t="shared" si="7"/>
        <v>0</v>
      </c>
      <c r="O96" s="551">
        <f>SUMIF(T198_TB!$G:$G,CFS!H96,T198_TB!$M:$M)</f>
        <v>0</v>
      </c>
      <c r="P96" s="549">
        <f t="shared" si="9"/>
        <v>0</v>
      </c>
      <c r="Q96" s="545"/>
    </row>
    <row r="97" spans="4:17" ht="18" customHeight="1">
      <c r="D97" s="546">
        <v>2019</v>
      </c>
      <c r="E97" s="544">
        <v>12</v>
      </c>
      <c r="F97" s="544" t="s">
        <v>637</v>
      </c>
      <c r="G97" s="544" t="s">
        <v>870</v>
      </c>
      <c r="H97" s="544" t="s">
        <v>871</v>
      </c>
      <c r="I97" s="544">
        <v>3</v>
      </c>
      <c r="J97" s="544" t="s">
        <v>475</v>
      </c>
      <c r="K97" s="544">
        <f>SUMIF('CF.1'!$D:$D,CFS!G97,'CF.1'!$X:$X)</f>
        <v>0</v>
      </c>
      <c r="L97" s="544">
        <f t="shared" si="8"/>
        <v>0</v>
      </c>
      <c r="M97" s="547">
        <f t="shared" si="7"/>
        <v>0</v>
      </c>
      <c r="O97" s="551">
        <f>SUMIF(T198_TB!$G:$G,CFS!H97,T198_TB!$M:$M)</f>
        <v>0</v>
      </c>
      <c r="P97" s="549">
        <f t="shared" si="9"/>
        <v>0</v>
      </c>
      <c r="Q97" s="545"/>
    </row>
    <row r="98" spans="4:17" ht="18" customHeight="1">
      <c r="D98" s="546">
        <v>2019</v>
      </c>
      <c r="E98" s="544">
        <v>12</v>
      </c>
      <c r="F98" s="544" t="s">
        <v>637</v>
      </c>
      <c r="G98" s="544" t="s">
        <v>872</v>
      </c>
      <c r="H98" s="544" t="s">
        <v>873</v>
      </c>
      <c r="I98" s="544">
        <v>3</v>
      </c>
      <c r="J98" s="544" t="s">
        <v>475</v>
      </c>
      <c r="K98" s="544">
        <f>SUMIF('CF.1'!$D:$D,CFS!G98,'CF.1'!$X:$X)</f>
        <v>0</v>
      </c>
      <c r="L98" s="544">
        <f t="shared" si="8"/>
        <v>0</v>
      </c>
      <c r="M98" s="547">
        <f t="shared" si="7"/>
        <v>0</v>
      </c>
      <c r="O98" s="551">
        <f>SUMIF(T198_TB!$G:$G,CFS!H98,T198_TB!$M:$M)</f>
        <v>0</v>
      </c>
      <c r="P98" s="549">
        <f t="shared" si="9"/>
        <v>0</v>
      </c>
      <c r="Q98" s="545"/>
    </row>
    <row r="99" spans="4:17" ht="18" customHeight="1">
      <c r="D99" s="546">
        <v>2019</v>
      </c>
      <c r="E99" s="544">
        <v>12</v>
      </c>
      <c r="F99" s="544" t="s">
        <v>637</v>
      </c>
      <c r="G99" s="544" t="s">
        <v>874</v>
      </c>
      <c r="H99" s="544" t="s">
        <v>875</v>
      </c>
      <c r="I99" s="544">
        <v>3</v>
      </c>
      <c r="J99" s="544" t="s">
        <v>475</v>
      </c>
      <c r="K99" s="544">
        <f>SUMIF('CF.1'!$D:$D,CFS!G99,'CF.1'!$X:$X)</f>
        <v>0</v>
      </c>
      <c r="L99" s="544">
        <f t="shared" si="8"/>
        <v>0</v>
      </c>
      <c r="M99" s="547">
        <f t="shared" si="7"/>
        <v>0</v>
      </c>
      <c r="O99" s="551">
        <f>SUMIF(T198_TB!$G:$G,CFS!H99,T198_TB!$M:$M)</f>
        <v>0</v>
      </c>
      <c r="P99" s="549">
        <f t="shared" si="9"/>
        <v>0</v>
      </c>
      <c r="Q99" s="545"/>
    </row>
    <row r="100" spans="4:17" ht="18" customHeight="1">
      <c r="D100" s="546">
        <v>2019</v>
      </c>
      <c r="E100" s="544">
        <v>12</v>
      </c>
      <c r="F100" s="544" t="s">
        <v>637</v>
      </c>
      <c r="G100" s="544" t="s">
        <v>876</v>
      </c>
      <c r="H100" s="544" t="s">
        <v>877</v>
      </c>
      <c r="I100" s="544">
        <v>3</v>
      </c>
      <c r="J100" s="544" t="s">
        <v>475</v>
      </c>
      <c r="K100" s="544">
        <f>SUMIF('CF.1'!$D:$D,CFS!G100,'CF.1'!$X:$X)</f>
        <v>0</v>
      </c>
      <c r="L100" s="544">
        <f t="shared" si="8"/>
        <v>0</v>
      </c>
      <c r="M100" s="547">
        <f t="shared" si="7"/>
        <v>0</v>
      </c>
      <c r="O100" s="551">
        <f>SUMIF(T198_TB!$G:$G,CFS!H100,T198_TB!$M:$M)</f>
        <v>0</v>
      </c>
      <c r="P100" s="549">
        <f t="shared" si="9"/>
        <v>0</v>
      </c>
      <c r="Q100" s="545"/>
    </row>
    <row r="101" spans="4:17" ht="18" customHeight="1">
      <c r="D101" s="546">
        <v>2019</v>
      </c>
      <c r="E101" s="544">
        <v>12</v>
      </c>
      <c r="F101" s="544" t="s">
        <v>637</v>
      </c>
      <c r="G101" s="544" t="s">
        <v>878</v>
      </c>
      <c r="H101" s="544" t="s">
        <v>879</v>
      </c>
      <c r="I101" s="544">
        <v>3</v>
      </c>
      <c r="J101" s="544" t="s">
        <v>475</v>
      </c>
      <c r="K101" s="544">
        <f>SUMIF('CF.1'!$D:$D,CFS!G101,'CF.1'!$X:$X)</f>
        <v>0</v>
      </c>
      <c r="L101" s="544">
        <f t="shared" si="8"/>
        <v>0</v>
      </c>
      <c r="M101" s="547">
        <f t="shared" si="7"/>
        <v>0</v>
      </c>
      <c r="O101" s="551">
        <f>SUMIF(T198_TB!$G:$G,CFS!H101,T198_TB!$M:$M)</f>
        <v>0</v>
      </c>
      <c r="P101" s="549">
        <f t="shared" si="9"/>
        <v>0</v>
      </c>
      <c r="Q101" s="545"/>
    </row>
    <row r="102" spans="4:17" ht="18" customHeight="1">
      <c r="D102" s="546">
        <v>2019</v>
      </c>
      <c r="E102" s="544">
        <v>12</v>
      </c>
      <c r="F102" s="544" t="s">
        <v>637</v>
      </c>
      <c r="G102" s="544" t="s">
        <v>880</v>
      </c>
      <c r="H102" s="544" t="s">
        <v>678</v>
      </c>
      <c r="I102" s="544">
        <v>3</v>
      </c>
      <c r="J102" s="544" t="s">
        <v>475</v>
      </c>
      <c r="K102" s="544">
        <f>SUMIF('CF.1'!$D:$D,CFS!G102,'CF.1'!$X:$X)</f>
        <v>-1373387026</v>
      </c>
      <c r="L102" s="544">
        <f t="shared" si="8"/>
        <v>-1373387026</v>
      </c>
      <c r="M102" s="547">
        <f t="shared" si="7"/>
        <v>0</v>
      </c>
      <c r="O102" s="551">
        <f>SUMIF(T198_TB!$G:$G,CFS!H102,T198_TB!$M:$M)</f>
        <v>-1373387026</v>
      </c>
      <c r="P102" s="549">
        <f t="shared" si="9"/>
        <v>0</v>
      </c>
      <c r="Q102" s="545"/>
    </row>
    <row r="103" spans="4:17" ht="18" customHeight="1">
      <c r="D103" s="546">
        <v>2019</v>
      </c>
      <c r="E103" s="544">
        <v>12</v>
      </c>
      <c r="F103" s="544" t="s">
        <v>637</v>
      </c>
      <c r="G103" s="544" t="s">
        <v>1563</v>
      </c>
      <c r="H103" s="544" t="s">
        <v>1564</v>
      </c>
      <c r="I103" s="544">
        <v>3</v>
      </c>
      <c r="J103" s="544" t="s">
        <v>475</v>
      </c>
      <c r="K103" s="544">
        <f>SUMIF('CF.1'!$D:$D,CFS!G103,'CF.1'!$X:$X)</f>
        <v>0</v>
      </c>
      <c r="L103" s="544">
        <f t="shared" si="8"/>
        <v>0</v>
      </c>
      <c r="M103" s="547">
        <f t="shared" si="7"/>
        <v>0</v>
      </c>
      <c r="O103" s="551">
        <f>SUMIF(T198_TB!$G:$G,CFS!H103,T198_TB!$M:$M)</f>
        <v>0</v>
      </c>
      <c r="P103" s="549">
        <f t="shared" si="9"/>
        <v>0</v>
      </c>
      <c r="Q103" s="545"/>
    </row>
    <row r="104" spans="4:17" ht="18" customHeight="1">
      <c r="D104" s="546">
        <v>2019</v>
      </c>
      <c r="E104" s="544">
        <v>12</v>
      </c>
      <c r="F104" s="544" t="s">
        <v>637</v>
      </c>
      <c r="G104" s="544" t="s">
        <v>1565</v>
      </c>
      <c r="H104" s="544" t="s">
        <v>884</v>
      </c>
      <c r="I104" s="544">
        <v>3</v>
      </c>
      <c r="J104" s="544" t="s">
        <v>475</v>
      </c>
      <c r="K104" s="544">
        <f>SUMIF('CF.1'!$D:$D,CFS!G104,'CF.1'!$X:$X)</f>
        <v>0</v>
      </c>
      <c r="L104" s="544">
        <f t="shared" si="8"/>
        <v>0</v>
      </c>
      <c r="M104" s="547">
        <f t="shared" si="7"/>
        <v>0</v>
      </c>
      <c r="O104" s="551">
        <f>SUMIF(T198_TB!$G:$G,CFS!H104,T198_TB!$M:$M)</f>
        <v>0</v>
      </c>
      <c r="P104" s="549">
        <f t="shared" si="9"/>
        <v>0</v>
      </c>
      <c r="Q104" s="545"/>
    </row>
    <row r="105" spans="4:17" ht="18" customHeight="1">
      <c r="D105" s="546">
        <v>2019</v>
      </c>
      <c r="E105" s="544">
        <v>12</v>
      </c>
      <c r="F105" s="544" t="s">
        <v>637</v>
      </c>
      <c r="G105" s="544" t="s">
        <v>907</v>
      </c>
      <c r="H105" s="544" t="s">
        <v>1566</v>
      </c>
      <c r="I105" s="544">
        <v>3</v>
      </c>
      <c r="J105" s="544" t="s">
        <v>475</v>
      </c>
      <c r="K105" s="544">
        <f>SUMIF('CF.1'!$D:$D,CFS!G105,'CF.1'!$X:$X)</f>
        <v>0</v>
      </c>
      <c r="L105" s="544">
        <f t="shared" si="8"/>
        <v>0</v>
      </c>
      <c r="M105" s="547">
        <f t="shared" si="7"/>
        <v>0</v>
      </c>
      <c r="O105" s="551">
        <f>SUMIF(T198_TB!$G:$G,CFS!H105,T198_TB!$M:$M)</f>
        <v>0</v>
      </c>
      <c r="P105" s="549">
        <f t="shared" si="9"/>
        <v>0</v>
      </c>
      <c r="Q105" s="545"/>
    </row>
    <row r="106" spans="4:17" ht="18" customHeight="1">
      <c r="D106" s="541">
        <v>2019</v>
      </c>
      <c r="E106" s="542">
        <v>12</v>
      </c>
      <c r="F106" s="542" t="s">
        <v>637</v>
      </c>
      <c r="G106" s="542" t="s">
        <v>909</v>
      </c>
      <c r="H106" s="542" t="s">
        <v>1567</v>
      </c>
      <c r="I106" s="542">
        <v>2</v>
      </c>
      <c r="J106" s="542" t="s">
        <v>475</v>
      </c>
      <c r="K106" s="542">
        <f>SUM(K107:K145)</f>
        <v>-837383424</v>
      </c>
      <c r="L106" s="542">
        <f>SUM(L107:L145)</f>
        <v>-837383424</v>
      </c>
      <c r="M106" s="543">
        <f t="shared" ref="M106" si="10">SUM(M107:M144)</f>
        <v>0</v>
      </c>
      <c r="O106" s="177"/>
      <c r="P106" s="544"/>
      <c r="Q106" s="545"/>
    </row>
    <row r="107" spans="4:17" ht="18" customHeight="1">
      <c r="D107" s="546">
        <v>2019</v>
      </c>
      <c r="E107" s="544">
        <v>12</v>
      </c>
      <c r="F107" s="544" t="s">
        <v>637</v>
      </c>
      <c r="G107" s="544" t="s">
        <v>911</v>
      </c>
      <c r="H107" s="544" t="s">
        <v>912</v>
      </c>
      <c r="I107" s="544">
        <v>3</v>
      </c>
      <c r="J107" s="544" t="s">
        <v>475</v>
      </c>
      <c r="K107" s="544">
        <f>SUMIF('CF.1'!$D:$D,CFS!G107,'CF.1'!$X:$X)</f>
        <v>-7539631953</v>
      </c>
      <c r="L107" s="544">
        <f t="shared" si="8"/>
        <v>-7539631953</v>
      </c>
      <c r="M107" s="547">
        <f t="shared" ref="M107:M144" si="11">L107-K107</f>
        <v>0</v>
      </c>
      <c r="O107" s="177"/>
      <c r="P107" s="544"/>
      <c r="Q107" s="545"/>
    </row>
    <row r="108" spans="4:17" ht="18" customHeight="1">
      <c r="D108" s="546">
        <v>2019</v>
      </c>
      <c r="E108" s="544">
        <v>12</v>
      </c>
      <c r="F108" s="544" t="s">
        <v>637</v>
      </c>
      <c r="G108" s="544" t="s">
        <v>913</v>
      </c>
      <c r="H108" s="544" t="s">
        <v>914</v>
      </c>
      <c r="I108" s="544">
        <v>3</v>
      </c>
      <c r="J108" s="544" t="s">
        <v>475</v>
      </c>
      <c r="K108" s="544">
        <f>SUMIF('CF.1'!$D:$D,CFS!G108,'CF.1'!$X:$X)</f>
        <v>-5327396880</v>
      </c>
      <c r="L108" s="544">
        <f t="shared" si="8"/>
        <v>-5327396880</v>
      </c>
      <c r="M108" s="547">
        <f t="shared" si="11"/>
        <v>0</v>
      </c>
      <c r="O108" s="177"/>
      <c r="P108" s="544"/>
      <c r="Q108" s="545"/>
    </row>
    <row r="109" spans="4:17" ht="18" customHeight="1">
      <c r="D109" s="546">
        <v>2019</v>
      </c>
      <c r="E109" s="544">
        <v>12</v>
      </c>
      <c r="F109" s="544" t="s">
        <v>637</v>
      </c>
      <c r="G109" s="544" t="s">
        <v>915</v>
      </c>
      <c r="H109" s="544" t="s">
        <v>916</v>
      </c>
      <c r="I109" s="544">
        <v>3</v>
      </c>
      <c r="J109" s="544" t="s">
        <v>475</v>
      </c>
      <c r="K109" s="544">
        <f>SUMIF('CF.1'!$D:$D,CFS!G109,'CF.1'!$X:$X)</f>
        <v>-57882548</v>
      </c>
      <c r="L109" s="544">
        <f t="shared" si="8"/>
        <v>-57882548</v>
      </c>
      <c r="M109" s="547">
        <f t="shared" si="11"/>
        <v>0</v>
      </c>
      <c r="O109" s="177"/>
      <c r="P109" s="544"/>
      <c r="Q109" s="545"/>
    </row>
    <row r="110" spans="4:17" ht="18" customHeight="1">
      <c r="D110" s="546">
        <v>2019</v>
      </c>
      <c r="E110" s="544">
        <v>12</v>
      </c>
      <c r="F110" s="544" t="s">
        <v>637</v>
      </c>
      <c r="G110" s="544" t="s">
        <v>917</v>
      </c>
      <c r="H110" s="544" t="s">
        <v>918</v>
      </c>
      <c r="I110" s="544">
        <v>3</v>
      </c>
      <c r="J110" s="544" t="s">
        <v>475</v>
      </c>
      <c r="K110" s="544">
        <f>SUMIF('CF.1'!$D:$D,CFS!G110,'CF.1'!$X:$X)</f>
        <v>2243392131</v>
      </c>
      <c r="L110" s="544">
        <f t="shared" si="8"/>
        <v>2243392131</v>
      </c>
      <c r="M110" s="547">
        <f t="shared" si="11"/>
        <v>0</v>
      </c>
      <c r="O110" s="177"/>
      <c r="P110" s="544"/>
      <c r="Q110" s="545"/>
    </row>
    <row r="111" spans="4:17" ht="18" customHeight="1">
      <c r="D111" s="546">
        <v>2019</v>
      </c>
      <c r="E111" s="544">
        <v>12</v>
      </c>
      <c r="F111" s="544" t="s">
        <v>637</v>
      </c>
      <c r="G111" s="544" t="s">
        <v>919</v>
      </c>
      <c r="H111" s="544" t="s">
        <v>920</v>
      </c>
      <c r="I111" s="544">
        <v>3</v>
      </c>
      <c r="J111" s="544" t="s">
        <v>475</v>
      </c>
      <c r="K111" s="544">
        <f>SUMIF('CF.1'!$D:$D,CFS!G111,'CF.1'!$X:$X)</f>
        <v>0</v>
      </c>
      <c r="L111" s="544">
        <f t="shared" si="8"/>
        <v>0</v>
      </c>
      <c r="M111" s="547">
        <f t="shared" si="11"/>
        <v>0</v>
      </c>
      <c r="O111" s="177"/>
      <c r="P111" s="544"/>
      <c r="Q111" s="545"/>
    </row>
    <row r="112" spans="4:17" ht="18" customHeight="1">
      <c r="D112" s="546">
        <v>2019</v>
      </c>
      <c r="E112" s="544">
        <v>12</v>
      </c>
      <c r="F112" s="544" t="s">
        <v>637</v>
      </c>
      <c r="G112" s="544" t="s">
        <v>921</v>
      </c>
      <c r="H112" s="544" t="s">
        <v>922</v>
      </c>
      <c r="I112" s="544">
        <v>3</v>
      </c>
      <c r="J112" s="544" t="s">
        <v>475</v>
      </c>
      <c r="K112" s="544">
        <f>SUMIF('CF.1'!$D:$D,CFS!G112,'CF.1'!$X:$X)</f>
        <v>-460497236</v>
      </c>
      <c r="L112" s="544">
        <f t="shared" si="8"/>
        <v>-460497236</v>
      </c>
      <c r="M112" s="547">
        <f t="shared" si="11"/>
        <v>0</v>
      </c>
      <c r="O112" s="177"/>
      <c r="P112" s="544"/>
      <c r="Q112" s="545"/>
    </row>
    <row r="113" spans="4:17" ht="18" customHeight="1">
      <c r="D113" s="546">
        <v>2019</v>
      </c>
      <c r="E113" s="544">
        <v>12</v>
      </c>
      <c r="F113" s="544" t="s">
        <v>637</v>
      </c>
      <c r="G113" s="544" t="s">
        <v>923</v>
      </c>
      <c r="H113" s="544" t="s">
        <v>924</v>
      </c>
      <c r="I113" s="544">
        <v>3</v>
      </c>
      <c r="J113" s="544" t="s">
        <v>475</v>
      </c>
      <c r="K113" s="544">
        <f>SUMIF('CF.1'!$D:$D,CFS!G113,'CF.1'!$X:$X)</f>
        <v>0</v>
      </c>
      <c r="L113" s="544">
        <f t="shared" si="8"/>
        <v>0</v>
      </c>
      <c r="M113" s="547">
        <f t="shared" si="11"/>
        <v>0</v>
      </c>
      <c r="O113" s="177"/>
      <c r="P113" s="544"/>
      <c r="Q113" s="545"/>
    </row>
    <row r="114" spans="4:17" ht="18" customHeight="1">
      <c r="D114" s="546">
        <v>2019</v>
      </c>
      <c r="E114" s="544">
        <v>12</v>
      </c>
      <c r="F114" s="544" t="s">
        <v>637</v>
      </c>
      <c r="G114" s="544" t="s">
        <v>927</v>
      </c>
      <c r="H114" s="544" t="s">
        <v>928</v>
      </c>
      <c r="I114" s="544">
        <v>3</v>
      </c>
      <c r="J114" s="544" t="s">
        <v>475</v>
      </c>
      <c r="K114" s="544">
        <f>SUMIF('CF.1'!$D:$D,CFS!G114,'CF.1'!$X:$X)</f>
        <v>-28876620</v>
      </c>
      <c r="L114" s="544">
        <f t="shared" si="8"/>
        <v>-28876620</v>
      </c>
      <c r="M114" s="547">
        <f t="shared" si="11"/>
        <v>0</v>
      </c>
      <c r="O114" s="177"/>
      <c r="P114" s="544"/>
      <c r="Q114" s="545"/>
    </row>
    <row r="115" spans="4:17" ht="18" customHeight="1">
      <c r="D115" s="546">
        <v>2019</v>
      </c>
      <c r="E115" s="544">
        <v>12</v>
      </c>
      <c r="F115" s="544" t="s">
        <v>637</v>
      </c>
      <c r="G115" s="544" t="s">
        <v>929</v>
      </c>
      <c r="H115" s="544" t="s">
        <v>930</v>
      </c>
      <c r="I115" s="544">
        <v>3</v>
      </c>
      <c r="J115" s="544" t="s">
        <v>475</v>
      </c>
      <c r="K115" s="544">
        <f>SUMIF('CF.1'!$D:$D,CFS!G115,'CF.1'!$X:$X)</f>
        <v>-2405454959</v>
      </c>
      <c r="L115" s="544">
        <f t="shared" si="8"/>
        <v>-2405454959</v>
      </c>
      <c r="M115" s="547">
        <f t="shared" si="11"/>
        <v>0</v>
      </c>
      <c r="O115" s="177"/>
      <c r="P115" s="544"/>
      <c r="Q115" s="545"/>
    </row>
    <row r="116" spans="4:17" ht="18" customHeight="1">
      <c r="D116" s="546">
        <v>2019</v>
      </c>
      <c r="E116" s="544">
        <v>12</v>
      </c>
      <c r="F116" s="544" t="s">
        <v>637</v>
      </c>
      <c r="G116" s="544" t="s">
        <v>931</v>
      </c>
      <c r="H116" s="544" t="s">
        <v>932</v>
      </c>
      <c r="I116" s="544">
        <v>3</v>
      </c>
      <c r="J116" s="544" t="s">
        <v>475</v>
      </c>
      <c r="K116" s="544">
        <f>SUMIF('CF.1'!$D:$D,CFS!G116,'CF.1'!$X:$X)</f>
        <v>0</v>
      </c>
      <c r="L116" s="544">
        <f t="shared" si="8"/>
        <v>0</v>
      </c>
      <c r="M116" s="547">
        <f t="shared" si="11"/>
        <v>0</v>
      </c>
      <c r="O116" s="177"/>
      <c r="P116" s="544"/>
      <c r="Q116" s="545"/>
    </row>
    <row r="117" spans="4:17" ht="18" customHeight="1">
      <c r="D117" s="546">
        <v>2019</v>
      </c>
      <c r="E117" s="544">
        <v>12</v>
      </c>
      <c r="F117" s="544" t="s">
        <v>637</v>
      </c>
      <c r="G117" s="544" t="s">
        <v>939</v>
      </c>
      <c r="H117" s="544" t="s">
        <v>940</v>
      </c>
      <c r="I117" s="544">
        <v>3</v>
      </c>
      <c r="J117" s="544" t="s">
        <v>475</v>
      </c>
      <c r="K117" s="544">
        <f>SUMIF('CF.1'!$D:$D,CFS!G117,'CF.1'!$X:$X)</f>
        <v>0</v>
      </c>
      <c r="L117" s="544">
        <f t="shared" si="8"/>
        <v>0</v>
      </c>
      <c r="M117" s="547">
        <f t="shared" si="11"/>
        <v>0</v>
      </c>
      <c r="O117" s="177"/>
      <c r="P117" s="544"/>
      <c r="Q117" s="545"/>
    </row>
    <row r="118" spans="4:17" ht="18" customHeight="1">
      <c r="D118" s="546">
        <v>2019</v>
      </c>
      <c r="E118" s="544">
        <v>12</v>
      </c>
      <c r="F118" s="544" t="s">
        <v>637</v>
      </c>
      <c r="G118" s="544" t="s">
        <v>941</v>
      </c>
      <c r="H118" s="544" t="s">
        <v>942</v>
      </c>
      <c r="I118" s="544">
        <v>3</v>
      </c>
      <c r="J118" s="544" t="s">
        <v>475</v>
      </c>
      <c r="K118" s="544">
        <f>SUMIF('CF.1'!$D:$D,CFS!G118,'CF.1'!$X:$X)</f>
        <v>-300136621</v>
      </c>
      <c r="L118" s="544">
        <f t="shared" si="8"/>
        <v>-300136621</v>
      </c>
      <c r="M118" s="547">
        <f t="shared" si="11"/>
        <v>0</v>
      </c>
      <c r="O118" s="177"/>
      <c r="P118" s="544"/>
      <c r="Q118" s="545"/>
    </row>
    <row r="119" spans="4:17" ht="18" customHeight="1">
      <c r="D119" s="546">
        <v>2019</v>
      </c>
      <c r="E119" s="544">
        <v>12</v>
      </c>
      <c r="F119" s="544" t="s">
        <v>637</v>
      </c>
      <c r="G119" s="544" t="s">
        <v>943</v>
      </c>
      <c r="H119" s="544" t="s">
        <v>944</v>
      </c>
      <c r="I119" s="544">
        <v>3</v>
      </c>
      <c r="J119" s="544" t="s">
        <v>475</v>
      </c>
      <c r="K119" s="544">
        <f>SUMIF('CF.1'!$D:$D,CFS!G119,'CF.1'!$X:$X)</f>
        <v>0</v>
      </c>
      <c r="L119" s="544">
        <f t="shared" si="8"/>
        <v>0</v>
      </c>
      <c r="M119" s="547">
        <f t="shared" si="11"/>
        <v>0</v>
      </c>
      <c r="O119" s="177"/>
      <c r="P119" s="544"/>
      <c r="Q119" s="545"/>
    </row>
    <row r="120" spans="4:17" ht="18" customHeight="1">
      <c r="D120" s="546">
        <v>2019</v>
      </c>
      <c r="E120" s="544">
        <v>12</v>
      </c>
      <c r="F120" s="544" t="s">
        <v>637</v>
      </c>
      <c r="G120" s="544" t="s">
        <v>945</v>
      </c>
      <c r="H120" s="544" t="s">
        <v>946</v>
      </c>
      <c r="I120" s="544">
        <v>3</v>
      </c>
      <c r="J120" s="544" t="s">
        <v>475</v>
      </c>
      <c r="K120" s="544">
        <f>SUMIF('CF.1'!$D:$D,CFS!G120,'CF.1'!$X:$X)</f>
        <v>-129134010</v>
      </c>
      <c r="L120" s="544">
        <f t="shared" si="8"/>
        <v>-129134010</v>
      </c>
      <c r="M120" s="547">
        <f t="shared" si="11"/>
        <v>0</v>
      </c>
      <c r="O120" s="177"/>
      <c r="P120" s="544"/>
      <c r="Q120" s="545"/>
    </row>
    <row r="121" spans="4:17" ht="18" customHeight="1">
      <c r="D121" s="546">
        <v>2019</v>
      </c>
      <c r="E121" s="544">
        <v>12</v>
      </c>
      <c r="F121" s="544" t="s">
        <v>637</v>
      </c>
      <c r="G121" s="544" t="s">
        <v>947</v>
      </c>
      <c r="H121" s="544" t="s">
        <v>948</v>
      </c>
      <c r="I121" s="544">
        <v>3</v>
      </c>
      <c r="J121" s="544" t="s">
        <v>475</v>
      </c>
      <c r="K121" s="544">
        <f>SUMIF('CF.1'!$D:$D,CFS!G121,'CF.1'!$X:$X)</f>
        <v>14516220107</v>
      </c>
      <c r="L121" s="544">
        <f t="shared" si="8"/>
        <v>14516220107</v>
      </c>
      <c r="M121" s="547">
        <f t="shared" si="11"/>
        <v>0</v>
      </c>
      <c r="O121" s="177"/>
      <c r="P121" s="544"/>
      <c r="Q121" s="545"/>
    </row>
    <row r="122" spans="4:17" ht="18" customHeight="1">
      <c r="D122" s="553">
        <v>2019</v>
      </c>
      <c r="E122" s="554">
        <v>12</v>
      </c>
      <c r="F122" s="554" t="s">
        <v>637</v>
      </c>
      <c r="G122" s="554" t="s">
        <v>949</v>
      </c>
      <c r="H122" s="554" t="s">
        <v>950</v>
      </c>
      <c r="I122" s="544">
        <v>3</v>
      </c>
      <c r="J122" s="554" t="s">
        <v>475</v>
      </c>
      <c r="K122" s="554">
        <f>SUMIF('CF.1'!$D:$D,CFS!G122,'CF.1'!$X:$X)</f>
        <v>0</v>
      </c>
      <c r="L122" s="554">
        <f t="shared" si="8"/>
        <v>0</v>
      </c>
      <c r="M122" s="555">
        <f t="shared" si="11"/>
        <v>0</v>
      </c>
      <c r="O122" s="177"/>
      <c r="P122" s="544"/>
      <c r="Q122" s="545" t="s">
        <v>1828</v>
      </c>
    </row>
    <row r="123" spans="4:17" ht="18" customHeight="1">
      <c r="D123" s="546">
        <v>2019</v>
      </c>
      <c r="E123" s="544">
        <v>12</v>
      </c>
      <c r="F123" s="544" t="s">
        <v>637</v>
      </c>
      <c r="G123" s="544" t="s">
        <v>951</v>
      </c>
      <c r="H123" s="544" t="s">
        <v>952</v>
      </c>
      <c r="I123" s="544">
        <v>3</v>
      </c>
      <c r="J123" s="544" t="s">
        <v>475</v>
      </c>
      <c r="K123" s="544">
        <f>SUMIF('CF.1'!$D:$D,CFS!G123,'CF.1'!$X:$X)</f>
        <v>-7118429289</v>
      </c>
      <c r="L123" s="544">
        <f t="shared" si="8"/>
        <v>-7118429289</v>
      </c>
      <c r="M123" s="547">
        <f t="shared" si="11"/>
        <v>0</v>
      </c>
      <c r="O123" s="177"/>
      <c r="P123" s="544"/>
      <c r="Q123" s="545"/>
    </row>
    <row r="124" spans="4:17" ht="18" customHeight="1">
      <c r="D124" s="553">
        <v>2019</v>
      </c>
      <c r="E124" s="554">
        <v>12</v>
      </c>
      <c r="F124" s="554" t="s">
        <v>637</v>
      </c>
      <c r="G124" s="554" t="s">
        <v>953</v>
      </c>
      <c r="H124" s="554" t="s">
        <v>954</v>
      </c>
      <c r="I124" s="544">
        <v>3</v>
      </c>
      <c r="J124" s="554" t="s">
        <v>475</v>
      </c>
      <c r="K124" s="554">
        <f>SUMIF('CF.1'!$D:$D,CFS!G124,'CF.1'!$X:$X)</f>
        <v>0</v>
      </c>
      <c r="L124" s="554">
        <f t="shared" si="8"/>
        <v>0</v>
      </c>
      <c r="M124" s="555">
        <f t="shared" si="11"/>
        <v>0</v>
      </c>
      <c r="O124" s="177"/>
      <c r="P124" s="544"/>
      <c r="Q124" s="545" t="s">
        <v>1828</v>
      </c>
    </row>
    <row r="125" spans="4:17" ht="18" customHeight="1">
      <c r="D125" s="546">
        <v>2019</v>
      </c>
      <c r="E125" s="544">
        <v>12</v>
      </c>
      <c r="F125" s="544" t="s">
        <v>637</v>
      </c>
      <c r="G125" s="544" t="s">
        <v>955</v>
      </c>
      <c r="H125" s="544" t="s">
        <v>956</v>
      </c>
      <c r="I125" s="544">
        <v>3</v>
      </c>
      <c r="J125" s="544" t="s">
        <v>475</v>
      </c>
      <c r="K125" s="544">
        <f>SUMIF('CF.1'!$D:$D,CFS!G125,'CF.1'!$X:$X)</f>
        <v>686559720</v>
      </c>
      <c r="L125" s="544">
        <f t="shared" si="8"/>
        <v>686559720</v>
      </c>
      <c r="M125" s="547">
        <f t="shared" si="11"/>
        <v>0</v>
      </c>
      <c r="O125" s="177"/>
      <c r="P125" s="544"/>
      <c r="Q125" s="545"/>
    </row>
    <row r="126" spans="4:17" ht="18" customHeight="1">
      <c r="D126" s="546">
        <v>2019</v>
      </c>
      <c r="E126" s="544">
        <v>12</v>
      </c>
      <c r="F126" s="544" t="s">
        <v>637</v>
      </c>
      <c r="G126" s="544" t="s">
        <v>957</v>
      </c>
      <c r="H126" s="544" t="s">
        <v>958</v>
      </c>
      <c r="I126" s="544">
        <v>3</v>
      </c>
      <c r="J126" s="544" t="s">
        <v>475</v>
      </c>
      <c r="K126" s="544">
        <f>SUMIF('CF.1'!$D:$D,CFS!G126,'CF.1'!$X:$X)</f>
        <v>1709144138</v>
      </c>
      <c r="L126" s="544">
        <f t="shared" si="8"/>
        <v>1709144138</v>
      </c>
      <c r="M126" s="547">
        <f t="shared" si="11"/>
        <v>0</v>
      </c>
      <c r="O126" s="177"/>
      <c r="P126" s="544"/>
      <c r="Q126" s="545"/>
    </row>
    <row r="127" spans="4:17" ht="18" customHeight="1">
      <c r="D127" s="546">
        <v>2019</v>
      </c>
      <c r="E127" s="544">
        <v>12</v>
      </c>
      <c r="F127" s="544" t="s">
        <v>637</v>
      </c>
      <c r="G127" s="544" t="s">
        <v>959</v>
      </c>
      <c r="H127" s="544" t="s">
        <v>960</v>
      </c>
      <c r="I127" s="544">
        <v>3</v>
      </c>
      <c r="J127" s="544" t="s">
        <v>475</v>
      </c>
      <c r="K127" s="544">
        <f>SUMIF('CF.1'!$D:$D,CFS!G127,'CF.1'!$X:$X)</f>
        <v>855644187</v>
      </c>
      <c r="L127" s="544">
        <f t="shared" si="8"/>
        <v>855644187</v>
      </c>
      <c r="M127" s="547">
        <f t="shared" si="11"/>
        <v>0</v>
      </c>
      <c r="O127" s="177"/>
      <c r="P127" s="544"/>
      <c r="Q127" s="545"/>
    </row>
    <row r="128" spans="4:17" ht="18" customHeight="1">
      <c r="D128" s="546">
        <v>2019</v>
      </c>
      <c r="E128" s="544">
        <v>12</v>
      </c>
      <c r="F128" s="544" t="s">
        <v>637</v>
      </c>
      <c r="G128" s="544" t="s">
        <v>963</v>
      </c>
      <c r="H128" s="544" t="s">
        <v>964</v>
      </c>
      <c r="I128" s="544">
        <v>3</v>
      </c>
      <c r="J128" s="544" t="s">
        <v>475</v>
      </c>
      <c r="K128" s="544">
        <f>SUMIF('CF.1'!$D:$D,CFS!G128,'CF.1'!$X:$X)</f>
        <v>0</v>
      </c>
      <c r="L128" s="544">
        <f t="shared" si="8"/>
        <v>0</v>
      </c>
      <c r="M128" s="547">
        <f t="shared" si="11"/>
        <v>0</v>
      </c>
      <c r="O128" s="177"/>
      <c r="P128" s="544"/>
      <c r="Q128" s="545"/>
    </row>
    <row r="129" spans="4:17" ht="18" customHeight="1">
      <c r="D129" s="546">
        <v>2019</v>
      </c>
      <c r="E129" s="544">
        <v>12</v>
      </c>
      <c r="F129" s="544" t="s">
        <v>637</v>
      </c>
      <c r="G129" s="544" t="s">
        <v>965</v>
      </c>
      <c r="H129" s="544" t="s">
        <v>966</v>
      </c>
      <c r="I129" s="544">
        <v>3</v>
      </c>
      <c r="J129" s="544" t="s">
        <v>475</v>
      </c>
      <c r="K129" s="544">
        <f>SUMIF('CF.1'!$D:$D,CFS!G129,'CF.1'!$X:$X)</f>
        <v>0</v>
      </c>
      <c r="L129" s="544">
        <f t="shared" si="8"/>
        <v>0</v>
      </c>
      <c r="M129" s="547">
        <f t="shared" si="11"/>
        <v>0</v>
      </c>
      <c r="O129" s="177"/>
      <c r="P129" s="544"/>
      <c r="Q129" s="545"/>
    </row>
    <row r="130" spans="4:17" ht="18" customHeight="1">
      <c r="D130" s="546">
        <v>2019</v>
      </c>
      <c r="E130" s="544">
        <v>12</v>
      </c>
      <c r="F130" s="544" t="s">
        <v>637</v>
      </c>
      <c r="G130" s="544" t="s">
        <v>967</v>
      </c>
      <c r="H130" s="544" t="s">
        <v>968</v>
      </c>
      <c r="I130" s="544">
        <v>3</v>
      </c>
      <c r="J130" s="544" t="s">
        <v>475</v>
      </c>
      <c r="K130" s="544">
        <f>SUMIF('CF.1'!$D:$D,CFS!G130,'CF.1'!$X:$X)</f>
        <v>-6000000</v>
      </c>
      <c r="L130" s="544">
        <f t="shared" si="8"/>
        <v>-6000000</v>
      </c>
      <c r="M130" s="547">
        <f t="shared" si="11"/>
        <v>0</v>
      </c>
      <c r="O130" s="177"/>
      <c r="P130" s="544"/>
      <c r="Q130" s="545"/>
    </row>
    <row r="131" spans="4:17" ht="18" customHeight="1">
      <c r="D131" s="546">
        <v>2019</v>
      </c>
      <c r="E131" s="544">
        <v>12</v>
      </c>
      <c r="F131" s="544" t="s">
        <v>637</v>
      </c>
      <c r="G131" s="544" t="s">
        <v>969</v>
      </c>
      <c r="H131" s="544" t="s">
        <v>970</v>
      </c>
      <c r="I131" s="544">
        <v>3</v>
      </c>
      <c r="J131" s="544" t="s">
        <v>475</v>
      </c>
      <c r="K131" s="544">
        <f>SUMIF('CF.1'!$D:$D,CFS!G131,'CF.1'!$X:$X)</f>
        <v>0</v>
      </c>
      <c r="L131" s="544">
        <f t="shared" si="8"/>
        <v>0</v>
      </c>
      <c r="M131" s="547">
        <f t="shared" si="11"/>
        <v>0</v>
      </c>
      <c r="O131" s="177"/>
      <c r="P131" s="544"/>
      <c r="Q131" s="545"/>
    </row>
    <row r="132" spans="4:17" ht="18" customHeight="1">
      <c r="D132" s="546">
        <v>2019</v>
      </c>
      <c r="E132" s="544">
        <v>12</v>
      </c>
      <c r="F132" s="544" t="s">
        <v>637</v>
      </c>
      <c r="G132" s="544" t="s">
        <v>971</v>
      </c>
      <c r="H132" s="544" t="s">
        <v>972</v>
      </c>
      <c r="I132" s="544">
        <v>3</v>
      </c>
      <c r="J132" s="544" t="s">
        <v>475</v>
      </c>
      <c r="K132" s="544">
        <f>SUMIF('CF.1'!$D:$D,CFS!G132,'CF.1'!$X:$X)</f>
        <v>325680965</v>
      </c>
      <c r="L132" s="544">
        <f t="shared" si="8"/>
        <v>325680965</v>
      </c>
      <c r="M132" s="547">
        <f t="shared" si="11"/>
        <v>0</v>
      </c>
      <c r="O132" s="177"/>
      <c r="P132" s="544"/>
      <c r="Q132" s="545"/>
    </row>
    <row r="133" spans="4:17" ht="18" customHeight="1">
      <c r="D133" s="546">
        <v>2019</v>
      </c>
      <c r="E133" s="544">
        <v>12</v>
      </c>
      <c r="F133" s="544" t="s">
        <v>637</v>
      </c>
      <c r="G133" s="544" t="s">
        <v>973</v>
      </c>
      <c r="H133" s="544" t="s">
        <v>974</v>
      </c>
      <c r="I133" s="544">
        <v>3</v>
      </c>
      <c r="J133" s="544" t="s">
        <v>475</v>
      </c>
      <c r="K133" s="544">
        <f>SUMIF('CF.1'!$D:$D,CFS!G133,'CF.1'!$X:$X)</f>
        <v>0</v>
      </c>
      <c r="L133" s="544">
        <f t="shared" si="8"/>
        <v>0</v>
      </c>
      <c r="M133" s="547">
        <f t="shared" si="11"/>
        <v>0</v>
      </c>
      <c r="O133" s="177"/>
      <c r="P133" s="544"/>
      <c r="Q133" s="545"/>
    </row>
    <row r="134" spans="4:17" ht="18" customHeight="1">
      <c r="D134" s="546">
        <v>2019</v>
      </c>
      <c r="E134" s="544">
        <v>12</v>
      </c>
      <c r="F134" s="544" t="s">
        <v>637</v>
      </c>
      <c r="G134" s="544" t="s">
        <v>975</v>
      </c>
      <c r="H134" s="544" t="s">
        <v>976</v>
      </c>
      <c r="I134" s="544">
        <v>3</v>
      </c>
      <c r="J134" s="544" t="s">
        <v>475</v>
      </c>
      <c r="K134" s="544">
        <f>SUMIF('CF.1'!$D:$D,CFS!G134,'CF.1'!$X:$X)</f>
        <v>0</v>
      </c>
      <c r="L134" s="544">
        <f t="shared" si="8"/>
        <v>0</v>
      </c>
      <c r="M134" s="547">
        <f t="shared" si="11"/>
        <v>0</v>
      </c>
      <c r="O134" s="177"/>
      <c r="P134" s="544"/>
      <c r="Q134" s="545"/>
    </row>
    <row r="135" spans="4:17" ht="18" customHeight="1">
      <c r="D135" s="546">
        <v>2019</v>
      </c>
      <c r="E135" s="544">
        <v>12</v>
      </c>
      <c r="F135" s="544" t="s">
        <v>637</v>
      </c>
      <c r="G135" s="544" t="s">
        <v>977</v>
      </c>
      <c r="H135" s="544" t="s">
        <v>978</v>
      </c>
      <c r="I135" s="544">
        <v>3</v>
      </c>
      <c r="J135" s="544" t="s">
        <v>475</v>
      </c>
      <c r="K135" s="544">
        <f>SUMIF('CF.1'!$D:$D,CFS!G135,'CF.1'!$X:$X)</f>
        <v>8500000</v>
      </c>
      <c r="L135" s="544">
        <f t="shared" si="8"/>
        <v>8500000</v>
      </c>
      <c r="M135" s="547">
        <f t="shared" si="11"/>
        <v>0</v>
      </c>
      <c r="O135" s="177"/>
      <c r="P135" s="544"/>
      <c r="Q135" s="545"/>
    </row>
    <row r="136" spans="4:17" ht="18" customHeight="1">
      <c r="D136" s="546">
        <v>2019</v>
      </c>
      <c r="E136" s="544">
        <v>12</v>
      </c>
      <c r="F136" s="544" t="s">
        <v>637</v>
      </c>
      <c r="G136" s="544" t="s">
        <v>979</v>
      </c>
      <c r="H136" s="544" t="s">
        <v>980</v>
      </c>
      <c r="I136" s="544">
        <v>3</v>
      </c>
      <c r="J136" s="544" t="s">
        <v>475</v>
      </c>
      <c r="K136" s="544">
        <f>SUMIF('CF.1'!$D:$D,CFS!G136,'CF.1'!$X:$X)</f>
        <v>0</v>
      </c>
      <c r="L136" s="544">
        <f t="shared" si="8"/>
        <v>0</v>
      </c>
      <c r="M136" s="547">
        <f t="shared" si="11"/>
        <v>0</v>
      </c>
      <c r="O136" s="177"/>
      <c r="P136" s="544"/>
      <c r="Q136" s="545"/>
    </row>
    <row r="137" spans="4:17" ht="18" customHeight="1">
      <c r="D137" s="546">
        <v>2019</v>
      </c>
      <c r="E137" s="544">
        <v>12</v>
      </c>
      <c r="F137" s="544" t="s">
        <v>637</v>
      </c>
      <c r="G137" s="544" t="s">
        <v>981</v>
      </c>
      <c r="H137" s="544" t="s">
        <v>982</v>
      </c>
      <c r="I137" s="544">
        <v>3</v>
      </c>
      <c r="J137" s="544" t="s">
        <v>475</v>
      </c>
      <c r="K137" s="544">
        <f>SUMIF('CF.1'!$D:$D,CFS!G137,'CF.1'!$X:$X)</f>
        <v>0</v>
      </c>
      <c r="L137" s="544">
        <f t="shared" si="8"/>
        <v>0</v>
      </c>
      <c r="M137" s="547">
        <f t="shared" si="11"/>
        <v>0</v>
      </c>
      <c r="O137" s="177"/>
      <c r="P137" s="544"/>
      <c r="Q137" s="545"/>
    </row>
    <row r="138" spans="4:17" ht="18" customHeight="1">
      <c r="D138" s="546">
        <v>2019</v>
      </c>
      <c r="E138" s="544">
        <v>12</v>
      </c>
      <c r="F138" s="544" t="s">
        <v>637</v>
      </c>
      <c r="G138" s="544" t="s">
        <v>983</v>
      </c>
      <c r="H138" s="544" t="s">
        <v>984</v>
      </c>
      <c r="I138" s="544">
        <v>3</v>
      </c>
      <c r="J138" s="544" t="s">
        <v>475</v>
      </c>
      <c r="K138" s="544">
        <f>SUMIF('CF.1'!$D:$D,CFS!G138,'CF.1'!$X:$X)</f>
        <v>-1535925451</v>
      </c>
      <c r="L138" s="544">
        <f t="shared" si="8"/>
        <v>-1535925451</v>
      </c>
      <c r="M138" s="547">
        <f t="shared" si="11"/>
        <v>0</v>
      </c>
      <c r="O138" s="177"/>
      <c r="P138" s="544"/>
      <c r="Q138" s="545"/>
    </row>
    <row r="139" spans="4:17" ht="18" customHeight="1">
      <c r="D139" s="546">
        <v>2019</v>
      </c>
      <c r="E139" s="544">
        <v>12</v>
      </c>
      <c r="F139" s="544" t="s">
        <v>637</v>
      </c>
      <c r="G139" s="544" t="s">
        <v>989</v>
      </c>
      <c r="H139" s="544" t="s">
        <v>990</v>
      </c>
      <c r="I139" s="544">
        <v>3</v>
      </c>
      <c r="J139" s="544" t="s">
        <v>475</v>
      </c>
      <c r="K139" s="544">
        <f>SUMIF('CF.1'!$D:$D,CFS!G139,'CF.1'!$X:$X)</f>
        <v>0</v>
      </c>
      <c r="L139" s="544">
        <f t="shared" ref="L139:L151" si="12">K139</f>
        <v>0</v>
      </c>
      <c r="M139" s="547">
        <f t="shared" si="11"/>
        <v>0</v>
      </c>
      <c r="O139" s="177"/>
      <c r="P139" s="544"/>
      <c r="Q139" s="545"/>
    </row>
    <row r="140" spans="4:17" ht="18" customHeight="1">
      <c r="D140" s="546">
        <v>2019</v>
      </c>
      <c r="E140" s="544">
        <v>12</v>
      </c>
      <c r="F140" s="544" t="s">
        <v>637</v>
      </c>
      <c r="G140" s="544" t="s">
        <v>991</v>
      </c>
      <c r="H140" s="544" t="s">
        <v>1568</v>
      </c>
      <c r="I140" s="544">
        <v>3</v>
      </c>
      <c r="J140" s="544" t="s">
        <v>475</v>
      </c>
      <c r="K140" s="544">
        <f>SUMIF('CF.1'!$D:$D,CFS!G140,'CF.1'!$X:$X)</f>
        <v>0</v>
      </c>
      <c r="L140" s="544">
        <f t="shared" si="12"/>
        <v>0</v>
      </c>
      <c r="M140" s="547">
        <f t="shared" si="11"/>
        <v>0</v>
      </c>
      <c r="O140" s="177"/>
      <c r="P140" s="544"/>
      <c r="Q140" s="545"/>
    </row>
    <row r="141" spans="4:17" ht="18" customHeight="1">
      <c r="D141" s="546">
        <v>2019</v>
      </c>
      <c r="E141" s="544">
        <v>12</v>
      </c>
      <c r="F141" s="544" t="s">
        <v>637</v>
      </c>
      <c r="G141" s="544" t="s">
        <v>1569</v>
      </c>
      <c r="H141" s="544" t="s">
        <v>1570</v>
      </c>
      <c r="I141" s="544">
        <v>3</v>
      </c>
      <c r="J141" s="544" t="s">
        <v>475</v>
      </c>
      <c r="K141" s="544">
        <f>SUMIF('CF.1'!$D:$D,CFS!G141,'CF.1'!$X:$X)</f>
        <v>0</v>
      </c>
      <c r="L141" s="544">
        <f t="shared" si="12"/>
        <v>0</v>
      </c>
      <c r="M141" s="547">
        <f t="shared" si="11"/>
        <v>0</v>
      </c>
      <c r="O141" s="177"/>
      <c r="P141" s="544"/>
      <c r="Q141" s="545"/>
    </row>
    <row r="142" spans="4:17" ht="18" customHeight="1">
      <c r="D142" s="546">
        <v>2019</v>
      </c>
      <c r="E142" s="544">
        <v>12</v>
      </c>
      <c r="F142" s="544" t="s">
        <v>637</v>
      </c>
      <c r="G142" s="544" t="s">
        <v>1571</v>
      </c>
      <c r="H142" s="544" t="s">
        <v>1572</v>
      </c>
      <c r="I142" s="544">
        <v>3</v>
      </c>
      <c r="J142" s="544" t="s">
        <v>475</v>
      </c>
      <c r="K142" s="544">
        <f>SUMIF('CF.1'!$D:$D,CFS!G142,'CF.1'!$X:$X)</f>
        <v>0</v>
      </c>
      <c r="L142" s="544">
        <f t="shared" si="12"/>
        <v>0</v>
      </c>
      <c r="M142" s="547">
        <f t="shared" si="11"/>
        <v>0</v>
      </c>
      <c r="O142" s="177"/>
      <c r="P142" s="544"/>
      <c r="Q142" s="545"/>
    </row>
    <row r="143" spans="4:17" ht="18" customHeight="1">
      <c r="D143" s="546">
        <v>2019</v>
      </c>
      <c r="E143" s="544">
        <v>12</v>
      </c>
      <c r="F143" s="544" t="s">
        <v>637</v>
      </c>
      <c r="G143" s="544" t="s">
        <v>1573</v>
      </c>
      <c r="H143" s="544" t="s">
        <v>1574</v>
      </c>
      <c r="I143" s="544">
        <v>3</v>
      </c>
      <c r="J143" s="544" t="s">
        <v>475</v>
      </c>
      <c r="K143" s="544">
        <f>SUMIF('CF.1'!$D:$D,CFS!G143,'CF.1'!$X:$X)</f>
        <v>0</v>
      </c>
      <c r="L143" s="544">
        <f t="shared" si="12"/>
        <v>0</v>
      </c>
      <c r="M143" s="547">
        <f t="shared" si="11"/>
        <v>0</v>
      </c>
      <c r="O143" s="177"/>
      <c r="P143" s="544"/>
      <c r="Q143" s="545"/>
    </row>
    <row r="144" spans="4:17" ht="18" customHeight="1">
      <c r="D144" s="546">
        <v>2019</v>
      </c>
      <c r="E144" s="544">
        <v>12</v>
      </c>
      <c r="F144" s="544" t="s">
        <v>637</v>
      </c>
      <c r="G144" s="544" t="s">
        <v>999</v>
      </c>
      <c r="H144" s="544" t="s">
        <v>1000</v>
      </c>
      <c r="I144" s="544">
        <v>3</v>
      </c>
      <c r="J144" s="544" t="s">
        <v>475</v>
      </c>
      <c r="K144" s="544">
        <f>SUMIF('CF.1'!$D:$D,CFS!G144,'CF.1'!$X:$X)</f>
        <v>-37313091</v>
      </c>
      <c r="L144" s="544">
        <f t="shared" si="12"/>
        <v>-37313091</v>
      </c>
      <c r="M144" s="547">
        <f t="shared" si="11"/>
        <v>0</v>
      </c>
      <c r="O144" s="177"/>
      <c r="P144" s="544"/>
      <c r="Q144" s="545"/>
    </row>
    <row r="145" spans="4:17" ht="18" customHeight="1">
      <c r="D145" s="546">
        <v>2019</v>
      </c>
      <c r="E145" s="544">
        <v>12</v>
      </c>
      <c r="F145" s="544" t="s">
        <v>637</v>
      </c>
      <c r="G145" s="544" t="s">
        <v>1005</v>
      </c>
      <c r="H145" s="544" t="s">
        <v>1006</v>
      </c>
      <c r="I145" s="544">
        <v>3</v>
      </c>
      <c r="J145" s="544" t="s">
        <v>475</v>
      </c>
      <c r="K145" s="544">
        <f>SUMIF('CF.1'!$D:$D,CFS!G145,'CF.1'!$X:$X)</f>
        <v>3764153986</v>
      </c>
      <c r="L145" s="544">
        <f t="shared" si="12"/>
        <v>3764153986</v>
      </c>
      <c r="M145" s="547"/>
      <c r="O145" s="177"/>
      <c r="P145" s="544"/>
      <c r="Q145" s="545"/>
    </row>
    <row r="146" spans="4:17" ht="18" customHeight="1">
      <c r="D146" s="541">
        <v>2019</v>
      </c>
      <c r="E146" s="542">
        <v>12</v>
      </c>
      <c r="F146" s="542" t="s">
        <v>637</v>
      </c>
      <c r="G146" s="542" t="s">
        <v>1009</v>
      </c>
      <c r="H146" s="542" t="s">
        <v>1010</v>
      </c>
      <c r="I146" s="542">
        <v>2</v>
      </c>
      <c r="J146" s="542" t="s">
        <v>475</v>
      </c>
      <c r="K146" s="542">
        <f>SUM(K147:K151)</f>
        <v>532728274</v>
      </c>
      <c r="L146" s="542">
        <f t="shared" ref="L146:M146" si="13">SUM(L147:L151)</f>
        <v>532728274</v>
      </c>
      <c r="M146" s="543">
        <f t="shared" si="13"/>
        <v>0</v>
      </c>
      <c r="O146" s="177"/>
      <c r="P146" s="544"/>
      <c r="Q146" s="545"/>
    </row>
    <row r="147" spans="4:17" ht="18" customHeight="1">
      <c r="D147" s="546">
        <v>2019</v>
      </c>
      <c r="E147" s="544">
        <v>12</v>
      </c>
      <c r="F147" s="544" t="s">
        <v>637</v>
      </c>
      <c r="G147" s="544" t="s">
        <v>1011</v>
      </c>
      <c r="H147" s="544" t="s">
        <v>1012</v>
      </c>
      <c r="I147" s="544">
        <v>3</v>
      </c>
      <c r="J147" s="544" t="s">
        <v>475</v>
      </c>
      <c r="K147" s="544">
        <f>SUMIF('CF.1'!$D:$D,CFS!G147,'CF.1'!$X:$X)</f>
        <v>0</v>
      </c>
      <c r="L147" s="544">
        <f t="shared" si="12"/>
        <v>0</v>
      </c>
      <c r="M147" s="547">
        <f t="shared" ref="M147:M151" si="14">L147-K147</f>
        <v>0</v>
      </c>
      <c r="O147" s="177"/>
      <c r="P147" s="544"/>
      <c r="Q147" s="545"/>
    </row>
    <row r="148" spans="4:17" ht="18" customHeight="1">
      <c r="D148" s="546">
        <v>2019</v>
      </c>
      <c r="E148" s="544">
        <v>12</v>
      </c>
      <c r="F148" s="544" t="s">
        <v>637</v>
      </c>
      <c r="G148" s="544" t="s">
        <v>1013</v>
      </c>
      <c r="H148" s="544" t="s">
        <v>1014</v>
      </c>
      <c r="I148" s="544">
        <v>3</v>
      </c>
      <c r="J148" s="544" t="s">
        <v>475</v>
      </c>
      <c r="K148" s="544">
        <f>SUMIF('CF.1'!$D:$D,CFS!G148,'CF.1'!$X:$X)</f>
        <v>1450087305</v>
      </c>
      <c r="L148" s="544">
        <f t="shared" si="12"/>
        <v>1450087305</v>
      </c>
      <c r="M148" s="547">
        <f t="shared" si="14"/>
        <v>0</v>
      </c>
      <c r="O148" s="177"/>
      <c r="P148" s="544"/>
      <c r="Q148" s="545"/>
    </row>
    <row r="149" spans="4:17" ht="18" customHeight="1">
      <c r="D149" s="546">
        <v>2019</v>
      </c>
      <c r="E149" s="544">
        <v>12</v>
      </c>
      <c r="F149" s="544" t="s">
        <v>637</v>
      </c>
      <c r="G149" s="544" t="s">
        <v>1015</v>
      </c>
      <c r="H149" s="544" t="s">
        <v>1016</v>
      </c>
      <c r="I149" s="544">
        <v>3</v>
      </c>
      <c r="J149" s="544" t="s">
        <v>475</v>
      </c>
      <c r="K149" s="544">
        <f>SUMIF('CF.1'!$D:$D,CFS!G149,'CF.1'!$X:$X)</f>
        <v>-46867293</v>
      </c>
      <c r="L149" s="544">
        <f t="shared" si="12"/>
        <v>-46867293</v>
      </c>
      <c r="M149" s="547">
        <f t="shared" si="14"/>
        <v>0</v>
      </c>
      <c r="O149" s="177"/>
      <c r="P149" s="544"/>
      <c r="Q149" s="545"/>
    </row>
    <row r="150" spans="4:17" ht="18" customHeight="1">
      <c r="D150" s="546">
        <v>2019</v>
      </c>
      <c r="E150" s="544">
        <v>12</v>
      </c>
      <c r="F150" s="544" t="s">
        <v>637</v>
      </c>
      <c r="G150" s="544" t="s">
        <v>1017</v>
      </c>
      <c r="H150" s="544" t="s">
        <v>1018</v>
      </c>
      <c r="I150" s="544">
        <v>3</v>
      </c>
      <c r="J150" s="544" t="s">
        <v>475</v>
      </c>
      <c r="K150" s="544">
        <f>SUMIF('CF.1'!$D:$D,CFS!G150,'CF.1'!$X:$X)</f>
        <v>-870491738</v>
      </c>
      <c r="L150" s="544">
        <f t="shared" si="12"/>
        <v>-870491738</v>
      </c>
      <c r="M150" s="547">
        <f t="shared" si="14"/>
        <v>0</v>
      </c>
      <c r="O150" s="177"/>
      <c r="P150" s="544"/>
      <c r="Q150" s="545"/>
    </row>
    <row r="151" spans="4:17" ht="18" customHeight="1">
      <c r="D151" s="546">
        <v>2019</v>
      </c>
      <c r="E151" s="544">
        <v>12</v>
      </c>
      <c r="F151" s="544" t="s">
        <v>637</v>
      </c>
      <c r="G151" s="544" t="s">
        <v>1019</v>
      </c>
      <c r="H151" s="544" t="s">
        <v>1020</v>
      </c>
      <c r="I151" s="544">
        <v>3</v>
      </c>
      <c r="J151" s="544" t="s">
        <v>475</v>
      </c>
      <c r="K151" s="544">
        <f>SUMIF('CF.1'!$D:$D,CFS!G151,'CF.1'!$X:$X)</f>
        <v>0</v>
      </c>
      <c r="L151" s="544">
        <f t="shared" si="12"/>
        <v>0</v>
      </c>
      <c r="M151" s="547">
        <f t="shared" si="14"/>
        <v>0</v>
      </c>
      <c r="O151" s="177"/>
      <c r="P151" s="544"/>
      <c r="Q151" s="545"/>
    </row>
    <row r="152" spans="4:17" ht="18" customHeight="1">
      <c r="D152" s="541">
        <v>2019</v>
      </c>
      <c r="E152" s="542">
        <v>12</v>
      </c>
      <c r="F152" s="542" t="s">
        <v>637</v>
      </c>
      <c r="G152" s="542" t="s">
        <v>1021</v>
      </c>
      <c r="H152" s="542" t="s">
        <v>1022</v>
      </c>
      <c r="I152" s="542">
        <v>1</v>
      </c>
      <c r="J152" s="542" t="s">
        <v>475</v>
      </c>
      <c r="K152" s="542">
        <f>SUM(K153,K204)</f>
        <v>-2595990545</v>
      </c>
      <c r="L152" s="542">
        <f t="shared" ref="L152:M152" si="15">SUM(L153,L204)</f>
        <v>-2595990545</v>
      </c>
      <c r="M152" s="543">
        <f t="shared" si="15"/>
        <v>0</v>
      </c>
      <c r="O152" s="177"/>
      <c r="P152" s="544"/>
      <c r="Q152" s="545"/>
    </row>
    <row r="153" spans="4:17" ht="18" customHeight="1">
      <c r="D153" s="541">
        <v>2019</v>
      </c>
      <c r="E153" s="542">
        <v>12</v>
      </c>
      <c r="F153" s="542" t="s">
        <v>637</v>
      </c>
      <c r="G153" s="542" t="s">
        <v>1023</v>
      </c>
      <c r="H153" s="542" t="s">
        <v>1024</v>
      </c>
      <c r="I153" s="542">
        <v>2</v>
      </c>
      <c r="J153" s="542" t="s">
        <v>475</v>
      </c>
      <c r="K153" s="542">
        <f>SUM(K154:K203)</f>
        <v>4640443040</v>
      </c>
      <c r="L153" s="542">
        <f t="shared" ref="L153:M153" si="16">SUM(L154:L203)</f>
        <v>4640443040</v>
      </c>
      <c r="M153" s="543">
        <f t="shared" si="16"/>
        <v>0</v>
      </c>
      <c r="O153" s="177"/>
      <c r="P153" s="544"/>
      <c r="Q153" s="545"/>
    </row>
    <row r="154" spans="4:17" ht="18" customHeight="1">
      <c r="D154" s="546">
        <v>2019</v>
      </c>
      <c r="E154" s="544">
        <v>12</v>
      </c>
      <c r="F154" s="544" t="s">
        <v>637</v>
      </c>
      <c r="G154" s="544" t="s">
        <v>1025</v>
      </c>
      <c r="H154" s="544" t="s">
        <v>1026</v>
      </c>
      <c r="I154" s="544">
        <v>3</v>
      </c>
      <c r="J154" s="544" t="s">
        <v>475</v>
      </c>
      <c r="K154" s="544">
        <f>SUMIF('CF.1'!$D:$D,CFS!G154,'CF.1'!$X:$X)</f>
        <v>0</v>
      </c>
      <c r="L154" s="544">
        <f t="shared" ref="L154:L217" si="17">K154</f>
        <v>0</v>
      </c>
      <c r="M154" s="547">
        <f t="shared" ref="M154:M203" si="18">L154-K154</f>
        <v>0</v>
      </c>
      <c r="O154" s="177"/>
      <c r="P154" s="544"/>
      <c r="Q154" s="545"/>
    </row>
    <row r="155" spans="4:17" ht="18" customHeight="1">
      <c r="D155" s="546">
        <v>2019</v>
      </c>
      <c r="E155" s="544">
        <v>12</v>
      </c>
      <c r="F155" s="544" t="s">
        <v>637</v>
      </c>
      <c r="G155" s="544" t="s">
        <v>1027</v>
      </c>
      <c r="H155" s="544" t="s">
        <v>1028</v>
      </c>
      <c r="I155" s="544">
        <v>3</v>
      </c>
      <c r="J155" s="544" t="s">
        <v>475</v>
      </c>
      <c r="K155" s="544">
        <f>SUMIF('CF.1'!$D:$D,CFS!G155,'CF.1'!$X:$X)</f>
        <v>5388699833</v>
      </c>
      <c r="L155" s="544">
        <f t="shared" si="17"/>
        <v>5388699833</v>
      </c>
      <c r="M155" s="547">
        <f t="shared" si="18"/>
        <v>0</v>
      </c>
      <c r="O155" s="177"/>
      <c r="P155" s="544"/>
      <c r="Q155" s="545"/>
    </row>
    <row r="156" spans="4:17" ht="18" customHeight="1">
      <c r="D156" s="546">
        <v>2019</v>
      </c>
      <c r="E156" s="544">
        <v>12</v>
      </c>
      <c r="F156" s="544" t="s">
        <v>637</v>
      </c>
      <c r="G156" s="544" t="s">
        <v>1029</v>
      </c>
      <c r="H156" s="544" t="s">
        <v>1030</v>
      </c>
      <c r="I156" s="544">
        <v>3</v>
      </c>
      <c r="J156" s="544" t="s">
        <v>475</v>
      </c>
      <c r="K156" s="544">
        <f>SUMIF('CF.1'!$D:$D,CFS!G156,'CF.1'!$X:$X)</f>
        <v>0</v>
      </c>
      <c r="L156" s="544">
        <f t="shared" si="17"/>
        <v>0</v>
      </c>
      <c r="M156" s="547">
        <f t="shared" si="18"/>
        <v>0</v>
      </c>
      <c r="O156" s="177"/>
      <c r="P156" s="544"/>
      <c r="Q156" s="545"/>
    </row>
    <row r="157" spans="4:17" ht="18" customHeight="1">
      <c r="D157" s="546">
        <v>2019</v>
      </c>
      <c r="E157" s="544">
        <v>12</v>
      </c>
      <c r="F157" s="544" t="s">
        <v>637</v>
      </c>
      <c r="G157" s="544" t="s">
        <v>1031</v>
      </c>
      <c r="H157" s="544" t="s">
        <v>1032</v>
      </c>
      <c r="I157" s="544">
        <v>3</v>
      </c>
      <c r="J157" s="544" t="s">
        <v>475</v>
      </c>
      <c r="K157" s="544">
        <f>SUMIF('CF.1'!$D:$D,CFS!G157,'CF.1'!$X:$X)</f>
        <v>0</v>
      </c>
      <c r="L157" s="544">
        <f t="shared" si="17"/>
        <v>0</v>
      </c>
      <c r="M157" s="547">
        <f t="shared" si="18"/>
        <v>0</v>
      </c>
      <c r="O157" s="177"/>
      <c r="P157" s="544"/>
      <c r="Q157" s="545"/>
    </row>
    <row r="158" spans="4:17" ht="18" customHeight="1">
      <c r="D158" s="546">
        <v>2019</v>
      </c>
      <c r="E158" s="544">
        <v>12</v>
      </c>
      <c r="F158" s="544" t="s">
        <v>637</v>
      </c>
      <c r="G158" s="544" t="s">
        <v>1033</v>
      </c>
      <c r="H158" s="544" t="s">
        <v>1034</v>
      </c>
      <c r="I158" s="544">
        <v>3</v>
      </c>
      <c r="J158" s="544" t="s">
        <v>475</v>
      </c>
      <c r="K158" s="544">
        <f>SUMIF('CF.1'!$D:$D,CFS!G158,'CF.1'!$X:$X)</f>
        <v>0</v>
      </c>
      <c r="L158" s="544">
        <f t="shared" si="17"/>
        <v>0</v>
      </c>
      <c r="M158" s="547">
        <f t="shared" si="18"/>
        <v>0</v>
      </c>
      <c r="O158" s="177"/>
      <c r="P158" s="544"/>
      <c r="Q158" s="545"/>
    </row>
    <row r="159" spans="4:17" ht="18" customHeight="1">
      <c r="D159" s="546">
        <v>2019</v>
      </c>
      <c r="E159" s="544">
        <v>12</v>
      </c>
      <c r="F159" s="544" t="s">
        <v>637</v>
      </c>
      <c r="G159" s="544" t="s">
        <v>1035</v>
      </c>
      <c r="H159" s="544" t="s">
        <v>1036</v>
      </c>
      <c r="I159" s="544">
        <v>3</v>
      </c>
      <c r="J159" s="544" t="s">
        <v>475</v>
      </c>
      <c r="K159" s="544">
        <f>SUMIF('CF.1'!$D:$D,CFS!G159,'CF.1'!$X:$X)</f>
        <v>0</v>
      </c>
      <c r="L159" s="544">
        <f t="shared" si="17"/>
        <v>0</v>
      </c>
      <c r="M159" s="547">
        <f t="shared" si="18"/>
        <v>0</v>
      </c>
      <c r="O159" s="177"/>
      <c r="P159" s="544"/>
      <c r="Q159" s="545"/>
    </row>
    <row r="160" spans="4:17" ht="18" customHeight="1">
      <c r="D160" s="546">
        <v>2019</v>
      </c>
      <c r="E160" s="544">
        <v>12</v>
      </c>
      <c r="F160" s="544" t="s">
        <v>637</v>
      </c>
      <c r="G160" s="544" t="s">
        <v>1037</v>
      </c>
      <c r="H160" s="544" t="s">
        <v>1038</v>
      </c>
      <c r="I160" s="544">
        <v>3</v>
      </c>
      <c r="J160" s="544" t="s">
        <v>475</v>
      </c>
      <c r="K160" s="544">
        <f>SUMIF('CF.1'!$D:$D,CFS!G160,'CF.1'!$X:$X)</f>
        <v>0</v>
      </c>
      <c r="L160" s="544">
        <f t="shared" si="17"/>
        <v>0</v>
      </c>
      <c r="M160" s="547">
        <f t="shared" si="18"/>
        <v>0</v>
      </c>
      <c r="O160" s="177"/>
      <c r="P160" s="544"/>
      <c r="Q160" s="545"/>
    </row>
    <row r="161" spans="4:17" ht="18" customHeight="1">
      <c r="D161" s="546">
        <v>2019</v>
      </c>
      <c r="E161" s="544">
        <v>12</v>
      </c>
      <c r="F161" s="544" t="s">
        <v>637</v>
      </c>
      <c r="G161" s="544" t="s">
        <v>1039</v>
      </c>
      <c r="H161" s="544" t="s">
        <v>1040</v>
      </c>
      <c r="I161" s="544">
        <v>3</v>
      </c>
      <c r="J161" s="544" t="s">
        <v>475</v>
      </c>
      <c r="K161" s="544">
        <f>SUMIF('CF.1'!$D:$D,CFS!G161,'CF.1'!$X:$X)</f>
        <v>172471000</v>
      </c>
      <c r="L161" s="544">
        <f t="shared" si="17"/>
        <v>172471000</v>
      </c>
      <c r="M161" s="547">
        <f t="shared" si="18"/>
        <v>0</v>
      </c>
      <c r="O161" s="177"/>
      <c r="P161" s="544"/>
      <c r="Q161" s="545"/>
    </row>
    <row r="162" spans="4:17" ht="18" customHeight="1">
      <c r="D162" s="546">
        <v>2019</v>
      </c>
      <c r="E162" s="544">
        <v>12</v>
      </c>
      <c r="F162" s="544" t="s">
        <v>637</v>
      </c>
      <c r="G162" s="544" t="s">
        <v>1041</v>
      </c>
      <c r="H162" s="544" t="s">
        <v>1042</v>
      </c>
      <c r="I162" s="544">
        <v>3</v>
      </c>
      <c r="J162" s="544" t="s">
        <v>475</v>
      </c>
      <c r="K162" s="544">
        <f>SUMIF('CF.1'!$D:$D,CFS!G162,'CF.1'!$X:$X)</f>
        <v>0</v>
      </c>
      <c r="L162" s="544">
        <f t="shared" si="17"/>
        <v>0</v>
      </c>
      <c r="M162" s="547">
        <f t="shared" si="18"/>
        <v>0</v>
      </c>
      <c r="O162" s="177"/>
      <c r="P162" s="544"/>
      <c r="Q162" s="545"/>
    </row>
    <row r="163" spans="4:17" ht="18" customHeight="1">
      <c r="D163" s="546">
        <v>2019</v>
      </c>
      <c r="E163" s="544">
        <v>12</v>
      </c>
      <c r="F163" s="544" t="s">
        <v>637</v>
      </c>
      <c r="G163" s="544" t="s">
        <v>1043</v>
      </c>
      <c r="H163" s="544" t="s">
        <v>1044</v>
      </c>
      <c r="I163" s="544">
        <v>3</v>
      </c>
      <c r="J163" s="544" t="s">
        <v>475</v>
      </c>
      <c r="K163" s="544">
        <f>SUMIF('CF.1'!$D:$D,CFS!G163,'CF.1'!$X:$X)</f>
        <v>0</v>
      </c>
      <c r="L163" s="544">
        <f t="shared" si="17"/>
        <v>0</v>
      </c>
      <c r="M163" s="547">
        <f t="shared" si="18"/>
        <v>0</v>
      </c>
      <c r="O163" s="177"/>
      <c r="P163" s="544"/>
      <c r="Q163" s="545"/>
    </row>
    <row r="164" spans="4:17" ht="18" customHeight="1">
      <c r="D164" s="546">
        <v>2019</v>
      </c>
      <c r="E164" s="544">
        <v>12</v>
      </c>
      <c r="F164" s="544" t="s">
        <v>637</v>
      </c>
      <c r="G164" s="544" t="s">
        <v>1045</v>
      </c>
      <c r="H164" s="544" t="s">
        <v>1046</v>
      </c>
      <c r="I164" s="544">
        <v>3</v>
      </c>
      <c r="J164" s="544" t="s">
        <v>475</v>
      </c>
      <c r="K164" s="544">
        <f>SUMIF('CF.1'!$D:$D,CFS!G164,'CF.1'!$X:$X)</f>
        <v>0</v>
      </c>
      <c r="L164" s="544">
        <f t="shared" si="17"/>
        <v>0</v>
      </c>
      <c r="M164" s="547">
        <f t="shared" si="18"/>
        <v>0</v>
      </c>
      <c r="O164" s="177"/>
      <c r="P164" s="544"/>
      <c r="Q164" s="545"/>
    </row>
    <row r="165" spans="4:17" ht="18" customHeight="1">
      <c r="D165" s="546">
        <v>2019</v>
      </c>
      <c r="E165" s="544">
        <v>12</v>
      </c>
      <c r="F165" s="544" t="s">
        <v>637</v>
      </c>
      <c r="G165" s="544" t="s">
        <v>1575</v>
      </c>
      <c r="H165" s="544" t="s">
        <v>1048</v>
      </c>
      <c r="I165" s="544">
        <v>3</v>
      </c>
      <c r="J165" s="544" t="s">
        <v>475</v>
      </c>
      <c r="K165" s="544">
        <f>SUMIF('CF.1'!$D:$D,CFS!G165,'CF.1'!$X:$X)</f>
        <v>0</v>
      </c>
      <c r="L165" s="544">
        <f t="shared" si="17"/>
        <v>0</v>
      </c>
      <c r="M165" s="547">
        <f t="shared" si="18"/>
        <v>0</v>
      </c>
      <c r="O165" s="177"/>
      <c r="P165" s="544"/>
      <c r="Q165" s="545"/>
    </row>
    <row r="166" spans="4:17" ht="18" customHeight="1">
      <c r="D166" s="546">
        <v>2019</v>
      </c>
      <c r="E166" s="544">
        <v>12</v>
      </c>
      <c r="F166" s="544" t="s">
        <v>637</v>
      </c>
      <c r="G166" s="544" t="s">
        <v>1576</v>
      </c>
      <c r="H166" s="544" t="s">
        <v>1577</v>
      </c>
      <c r="I166" s="544">
        <v>3</v>
      </c>
      <c r="J166" s="544" t="s">
        <v>475</v>
      </c>
      <c r="K166" s="544">
        <f>SUMIF('CF.1'!$D:$D,CFS!G166,'CF.1'!$X:$X)</f>
        <v>0</v>
      </c>
      <c r="L166" s="544">
        <f t="shared" si="17"/>
        <v>0</v>
      </c>
      <c r="M166" s="547">
        <f t="shared" si="18"/>
        <v>0</v>
      </c>
      <c r="O166" s="177"/>
      <c r="P166" s="544"/>
      <c r="Q166" s="545"/>
    </row>
    <row r="167" spans="4:17" ht="18" customHeight="1">
      <c r="D167" s="546">
        <v>2019</v>
      </c>
      <c r="E167" s="544">
        <v>12</v>
      </c>
      <c r="F167" s="544" t="s">
        <v>637</v>
      </c>
      <c r="G167" s="544" t="s">
        <v>1049</v>
      </c>
      <c r="H167" s="544" t="s">
        <v>1050</v>
      </c>
      <c r="I167" s="544">
        <v>3</v>
      </c>
      <c r="J167" s="544" t="s">
        <v>475</v>
      </c>
      <c r="K167" s="544">
        <f>SUMIF('CF.1'!$D:$D,CFS!G167,'CF.1'!$X:$X)</f>
        <v>0</v>
      </c>
      <c r="L167" s="544">
        <f t="shared" si="17"/>
        <v>0</v>
      </c>
      <c r="M167" s="547">
        <f t="shared" si="18"/>
        <v>0</v>
      </c>
      <c r="O167" s="177"/>
      <c r="P167" s="544"/>
      <c r="Q167" s="545"/>
    </row>
    <row r="168" spans="4:17" ht="18" customHeight="1">
      <c r="D168" s="546">
        <v>2019</v>
      </c>
      <c r="E168" s="544">
        <v>12</v>
      </c>
      <c r="F168" s="544" t="s">
        <v>637</v>
      </c>
      <c r="G168" s="544" t="s">
        <v>1051</v>
      </c>
      <c r="H168" s="544" t="s">
        <v>1578</v>
      </c>
      <c r="I168" s="544">
        <v>3</v>
      </c>
      <c r="J168" s="544" t="s">
        <v>475</v>
      </c>
      <c r="K168" s="544">
        <f>SUMIF('CF.1'!$D:$D,CFS!G168,'CF.1'!$X:$X)</f>
        <v>0</v>
      </c>
      <c r="L168" s="544">
        <f t="shared" si="17"/>
        <v>0</v>
      </c>
      <c r="M168" s="547">
        <f t="shared" si="18"/>
        <v>0</v>
      </c>
      <c r="O168" s="177"/>
      <c r="P168" s="544"/>
      <c r="Q168" s="545"/>
    </row>
    <row r="169" spans="4:17" ht="18" customHeight="1">
      <c r="D169" s="546">
        <v>2019</v>
      </c>
      <c r="E169" s="544">
        <v>12</v>
      </c>
      <c r="F169" s="544" t="s">
        <v>637</v>
      </c>
      <c r="G169" s="544" t="s">
        <v>1053</v>
      </c>
      <c r="H169" s="544" t="s">
        <v>1054</v>
      </c>
      <c r="I169" s="544">
        <v>3</v>
      </c>
      <c r="J169" s="544" t="s">
        <v>475</v>
      </c>
      <c r="K169" s="544">
        <f>SUMIF('CF.1'!$D:$D,CFS!G169,'CF.1'!$X:$X)</f>
        <v>1199</v>
      </c>
      <c r="L169" s="544">
        <f t="shared" si="17"/>
        <v>1199</v>
      </c>
      <c r="M169" s="547">
        <f t="shared" si="18"/>
        <v>0</v>
      </c>
      <c r="O169" s="177"/>
      <c r="P169" s="544"/>
      <c r="Q169" s="545"/>
    </row>
    <row r="170" spans="4:17" ht="18" customHeight="1">
      <c r="D170" s="546">
        <v>2019</v>
      </c>
      <c r="E170" s="544">
        <v>12</v>
      </c>
      <c r="F170" s="544" t="s">
        <v>637</v>
      </c>
      <c r="G170" s="544" t="s">
        <v>1055</v>
      </c>
      <c r="H170" s="544" t="s">
        <v>1056</v>
      </c>
      <c r="I170" s="544">
        <v>3</v>
      </c>
      <c r="J170" s="544" t="s">
        <v>475</v>
      </c>
      <c r="K170" s="544">
        <f>SUMIF('CF.1'!$D:$D,CFS!G170,'CF.1'!$X:$X)</f>
        <v>-926599758</v>
      </c>
      <c r="L170" s="544">
        <f t="shared" si="17"/>
        <v>-926599758</v>
      </c>
      <c r="M170" s="547">
        <f t="shared" si="18"/>
        <v>0</v>
      </c>
      <c r="O170" s="177"/>
      <c r="P170" s="544"/>
      <c r="Q170" s="545"/>
    </row>
    <row r="171" spans="4:17" ht="18" customHeight="1">
      <c r="D171" s="546">
        <v>2019</v>
      </c>
      <c r="E171" s="544">
        <v>12</v>
      </c>
      <c r="F171" s="544" t="s">
        <v>637</v>
      </c>
      <c r="G171" s="544" t="s">
        <v>1057</v>
      </c>
      <c r="H171" s="544" t="s">
        <v>1058</v>
      </c>
      <c r="I171" s="544">
        <v>3</v>
      </c>
      <c r="J171" s="544" t="s">
        <v>475</v>
      </c>
      <c r="K171" s="544">
        <f>SUMIF('CF.1'!$D:$D,CFS!G171,'CF.1'!$X:$X)</f>
        <v>0</v>
      </c>
      <c r="L171" s="544">
        <f t="shared" si="17"/>
        <v>0</v>
      </c>
      <c r="M171" s="547">
        <f t="shared" si="18"/>
        <v>0</v>
      </c>
      <c r="O171" s="177"/>
      <c r="P171" s="544"/>
      <c r="Q171" s="545"/>
    </row>
    <row r="172" spans="4:17" ht="18" customHeight="1">
      <c r="D172" s="546">
        <v>2019</v>
      </c>
      <c r="E172" s="544">
        <v>12</v>
      </c>
      <c r="F172" s="544" t="s">
        <v>637</v>
      </c>
      <c r="G172" s="544" t="s">
        <v>1059</v>
      </c>
      <c r="H172" s="544" t="s">
        <v>1060</v>
      </c>
      <c r="I172" s="544">
        <v>3</v>
      </c>
      <c r="J172" s="544" t="s">
        <v>475</v>
      </c>
      <c r="K172" s="544">
        <f>SUMIF('CF.1'!$D:$D,CFS!G172,'CF.1'!$X:$X)</f>
        <v>0</v>
      </c>
      <c r="L172" s="544">
        <f t="shared" si="17"/>
        <v>0</v>
      </c>
      <c r="M172" s="547">
        <f t="shared" si="18"/>
        <v>0</v>
      </c>
      <c r="O172" s="177"/>
      <c r="P172" s="544"/>
      <c r="Q172" s="545"/>
    </row>
    <row r="173" spans="4:17" ht="18" customHeight="1">
      <c r="D173" s="546">
        <v>2019</v>
      </c>
      <c r="E173" s="544">
        <v>12</v>
      </c>
      <c r="F173" s="544" t="s">
        <v>637</v>
      </c>
      <c r="G173" s="544" t="s">
        <v>1061</v>
      </c>
      <c r="H173" s="544" t="s">
        <v>1062</v>
      </c>
      <c r="I173" s="544">
        <v>3</v>
      </c>
      <c r="J173" s="544" t="s">
        <v>475</v>
      </c>
      <c r="K173" s="544">
        <f>SUMIF('CF.1'!$D:$D,CFS!G173,'CF.1'!$X:$X)</f>
        <v>0</v>
      </c>
      <c r="L173" s="544">
        <f t="shared" si="17"/>
        <v>0</v>
      </c>
      <c r="M173" s="547">
        <f t="shared" si="18"/>
        <v>0</v>
      </c>
      <c r="O173" s="177"/>
      <c r="P173" s="544"/>
      <c r="Q173" s="545"/>
    </row>
    <row r="174" spans="4:17" ht="18" customHeight="1">
      <c r="D174" s="546">
        <v>2019</v>
      </c>
      <c r="E174" s="544">
        <v>12</v>
      </c>
      <c r="F174" s="544" t="s">
        <v>637</v>
      </c>
      <c r="G174" s="544" t="s">
        <v>1063</v>
      </c>
      <c r="H174" s="544" t="s">
        <v>1064</v>
      </c>
      <c r="I174" s="544">
        <v>3</v>
      </c>
      <c r="J174" s="544" t="s">
        <v>475</v>
      </c>
      <c r="K174" s="544">
        <f>SUMIF('CF.1'!$D:$D,CFS!G174,'CF.1'!$X:$X)</f>
        <v>0</v>
      </c>
      <c r="L174" s="544">
        <f t="shared" si="17"/>
        <v>0</v>
      </c>
      <c r="M174" s="547">
        <f t="shared" si="18"/>
        <v>0</v>
      </c>
      <c r="O174" s="177"/>
      <c r="P174" s="544"/>
      <c r="Q174" s="545"/>
    </row>
    <row r="175" spans="4:17" ht="18" customHeight="1">
      <c r="D175" s="546">
        <v>2019</v>
      </c>
      <c r="E175" s="544">
        <v>12</v>
      </c>
      <c r="F175" s="544" t="s">
        <v>637</v>
      </c>
      <c r="G175" s="544" t="s">
        <v>1065</v>
      </c>
      <c r="H175" s="544" t="s">
        <v>1066</v>
      </c>
      <c r="I175" s="544">
        <v>3</v>
      </c>
      <c r="J175" s="544" t="s">
        <v>475</v>
      </c>
      <c r="K175" s="544">
        <f>SUMIF('CF.1'!$D:$D,CFS!G175,'CF.1'!$X:$X)</f>
        <v>0</v>
      </c>
      <c r="L175" s="544">
        <f t="shared" si="17"/>
        <v>0</v>
      </c>
      <c r="M175" s="547">
        <f t="shared" si="18"/>
        <v>0</v>
      </c>
      <c r="O175" s="177"/>
      <c r="P175" s="544"/>
      <c r="Q175" s="545"/>
    </row>
    <row r="176" spans="4:17" ht="18" customHeight="1">
      <c r="D176" s="546">
        <v>2019</v>
      </c>
      <c r="E176" s="544">
        <v>12</v>
      </c>
      <c r="F176" s="544" t="s">
        <v>637</v>
      </c>
      <c r="G176" s="544" t="s">
        <v>1067</v>
      </c>
      <c r="H176" s="544" t="s">
        <v>1068</v>
      </c>
      <c r="I176" s="544">
        <v>3</v>
      </c>
      <c r="J176" s="544" t="s">
        <v>475</v>
      </c>
      <c r="K176" s="544">
        <f>SUMIF('CF.1'!$D:$D,CFS!G176,'CF.1'!$X:$X)</f>
        <v>0</v>
      </c>
      <c r="L176" s="544">
        <f t="shared" si="17"/>
        <v>0</v>
      </c>
      <c r="M176" s="547">
        <f t="shared" si="18"/>
        <v>0</v>
      </c>
      <c r="O176" s="177"/>
      <c r="P176" s="544"/>
      <c r="Q176" s="545"/>
    </row>
    <row r="177" spans="4:17" ht="18" customHeight="1">
      <c r="D177" s="546">
        <v>2019</v>
      </c>
      <c r="E177" s="544">
        <v>12</v>
      </c>
      <c r="F177" s="544" t="s">
        <v>637</v>
      </c>
      <c r="G177" s="544" t="s">
        <v>1069</v>
      </c>
      <c r="H177" s="544" t="s">
        <v>1070</v>
      </c>
      <c r="I177" s="544">
        <v>3</v>
      </c>
      <c r="J177" s="544" t="s">
        <v>475</v>
      </c>
      <c r="K177" s="544">
        <f>SUMIF('CF.1'!$D:$D,CFS!G177,'CF.1'!$X:$X)</f>
        <v>0</v>
      </c>
      <c r="L177" s="544">
        <f t="shared" si="17"/>
        <v>0</v>
      </c>
      <c r="M177" s="547">
        <f t="shared" si="18"/>
        <v>0</v>
      </c>
      <c r="O177" s="177"/>
      <c r="P177" s="544"/>
      <c r="Q177" s="545"/>
    </row>
    <row r="178" spans="4:17" ht="18" customHeight="1">
      <c r="D178" s="546">
        <v>2019</v>
      </c>
      <c r="E178" s="544">
        <v>12</v>
      </c>
      <c r="F178" s="544" t="s">
        <v>637</v>
      </c>
      <c r="G178" s="544" t="s">
        <v>1071</v>
      </c>
      <c r="H178" s="544" t="s">
        <v>1072</v>
      </c>
      <c r="I178" s="544">
        <v>3</v>
      </c>
      <c r="J178" s="544" t="s">
        <v>475</v>
      </c>
      <c r="K178" s="544">
        <f>SUMIF('CF.1'!$D:$D,CFS!G178,'CF.1'!$X:$X)</f>
        <v>0</v>
      </c>
      <c r="L178" s="544">
        <f t="shared" si="17"/>
        <v>0</v>
      </c>
      <c r="M178" s="547">
        <f t="shared" si="18"/>
        <v>0</v>
      </c>
      <c r="O178" s="177"/>
      <c r="P178" s="544"/>
      <c r="Q178" s="545"/>
    </row>
    <row r="179" spans="4:17" ht="18" customHeight="1">
      <c r="D179" s="546">
        <v>2019</v>
      </c>
      <c r="E179" s="544">
        <v>12</v>
      </c>
      <c r="F179" s="544" t="s">
        <v>637</v>
      </c>
      <c r="G179" s="544" t="s">
        <v>1073</v>
      </c>
      <c r="H179" s="544" t="s">
        <v>1074</v>
      </c>
      <c r="I179" s="544">
        <v>3</v>
      </c>
      <c r="J179" s="544" t="s">
        <v>475</v>
      </c>
      <c r="K179" s="544">
        <f>SUMIF('CF.1'!$D:$D,CFS!G179,'CF.1'!$X:$X)</f>
        <v>0</v>
      </c>
      <c r="L179" s="544">
        <f t="shared" si="17"/>
        <v>0</v>
      </c>
      <c r="M179" s="547">
        <f t="shared" si="18"/>
        <v>0</v>
      </c>
      <c r="O179" s="177"/>
      <c r="P179" s="544"/>
      <c r="Q179" s="545"/>
    </row>
    <row r="180" spans="4:17" ht="18" customHeight="1">
      <c r="D180" s="546">
        <v>2019</v>
      </c>
      <c r="E180" s="544">
        <v>12</v>
      </c>
      <c r="F180" s="544" t="s">
        <v>637</v>
      </c>
      <c r="G180" s="544" t="s">
        <v>1075</v>
      </c>
      <c r="H180" s="544" t="s">
        <v>1076</v>
      </c>
      <c r="I180" s="544">
        <v>3</v>
      </c>
      <c r="J180" s="544" t="s">
        <v>475</v>
      </c>
      <c r="K180" s="544">
        <f>SUMIF('CF.1'!$D:$D,CFS!G180,'CF.1'!$X:$X)</f>
        <v>0</v>
      </c>
      <c r="L180" s="544">
        <f t="shared" si="17"/>
        <v>0</v>
      </c>
      <c r="M180" s="547">
        <f t="shared" si="18"/>
        <v>0</v>
      </c>
      <c r="O180" s="177"/>
      <c r="P180" s="544"/>
      <c r="Q180" s="545"/>
    </row>
    <row r="181" spans="4:17" ht="18" customHeight="1">
      <c r="D181" s="546">
        <v>2019</v>
      </c>
      <c r="E181" s="544">
        <v>12</v>
      </c>
      <c r="F181" s="544" t="s">
        <v>637</v>
      </c>
      <c r="G181" s="544" t="s">
        <v>1077</v>
      </c>
      <c r="H181" s="544" t="s">
        <v>1078</v>
      </c>
      <c r="I181" s="544">
        <v>3</v>
      </c>
      <c r="J181" s="544" t="s">
        <v>475</v>
      </c>
      <c r="K181" s="544">
        <f>SUMIF('CF.1'!$D:$D,CFS!G181,'CF.1'!$X:$X)</f>
        <v>0</v>
      </c>
      <c r="L181" s="544">
        <f t="shared" si="17"/>
        <v>0</v>
      </c>
      <c r="M181" s="547">
        <f t="shared" si="18"/>
        <v>0</v>
      </c>
      <c r="O181" s="177"/>
      <c r="P181" s="544"/>
      <c r="Q181" s="545"/>
    </row>
    <row r="182" spans="4:17" ht="18" customHeight="1">
      <c r="D182" s="546">
        <v>2019</v>
      </c>
      <c r="E182" s="544">
        <v>12</v>
      </c>
      <c r="F182" s="544" t="s">
        <v>637</v>
      </c>
      <c r="G182" s="544" t="s">
        <v>1079</v>
      </c>
      <c r="H182" s="544" t="s">
        <v>1080</v>
      </c>
      <c r="I182" s="544">
        <v>3</v>
      </c>
      <c r="J182" s="544" t="s">
        <v>475</v>
      </c>
      <c r="K182" s="544">
        <f>SUMIF('CF.1'!$D:$D,CFS!G182,'CF.1'!$X:$X)</f>
        <v>0</v>
      </c>
      <c r="L182" s="544">
        <f t="shared" si="17"/>
        <v>0</v>
      </c>
      <c r="M182" s="547">
        <f t="shared" si="18"/>
        <v>0</v>
      </c>
      <c r="O182" s="177"/>
      <c r="P182" s="544"/>
      <c r="Q182" s="545"/>
    </row>
    <row r="183" spans="4:17" ht="18" customHeight="1">
      <c r="D183" s="546">
        <v>2019</v>
      </c>
      <c r="E183" s="544">
        <v>12</v>
      </c>
      <c r="F183" s="544" t="s">
        <v>637</v>
      </c>
      <c r="G183" s="544" t="s">
        <v>1081</v>
      </c>
      <c r="H183" s="544" t="s">
        <v>1579</v>
      </c>
      <c r="I183" s="544">
        <v>3</v>
      </c>
      <c r="J183" s="544" t="s">
        <v>475</v>
      </c>
      <c r="K183" s="544">
        <f>SUMIF('CF.1'!$D:$D,CFS!G183,'CF.1'!$X:$X)</f>
        <v>5870766</v>
      </c>
      <c r="L183" s="544">
        <f t="shared" si="17"/>
        <v>5870766</v>
      </c>
      <c r="M183" s="547">
        <f t="shared" si="18"/>
        <v>0</v>
      </c>
      <c r="O183" s="177"/>
      <c r="P183" s="544"/>
      <c r="Q183" s="545"/>
    </row>
    <row r="184" spans="4:17" ht="18" customHeight="1">
      <c r="D184" s="546">
        <v>2019</v>
      </c>
      <c r="E184" s="544">
        <v>12</v>
      </c>
      <c r="F184" s="544" t="s">
        <v>637</v>
      </c>
      <c r="G184" s="544" t="s">
        <v>1082</v>
      </c>
      <c r="H184" s="544" t="s">
        <v>1083</v>
      </c>
      <c r="I184" s="544">
        <v>3</v>
      </c>
      <c r="J184" s="544" t="s">
        <v>475</v>
      </c>
      <c r="K184" s="544">
        <f>SUMIF('CF.1'!$D:$D,CFS!G184,'CF.1'!$X:$X)</f>
        <v>0</v>
      </c>
      <c r="L184" s="544">
        <f t="shared" si="17"/>
        <v>0</v>
      </c>
      <c r="M184" s="547">
        <f t="shared" si="18"/>
        <v>0</v>
      </c>
      <c r="O184" s="177"/>
      <c r="P184" s="544"/>
      <c r="Q184" s="545"/>
    </row>
    <row r="185" spans="4:17" ht="18" customHeight="1">
      <c r="D185" s="546">
        <v>2019</v>
      </c>
      <c r="E185" s="544">
        <v>12</v>
      </c>
      <c r="F185" s="544" t="s">
        <v>637</v>
      </c>
      <c r="G185" s="544" t="s">
        <v>1084</v>
      </c>
      <c r="H185" s="544" t="s">
        <v>1085</v>
      </c>
      <c r="I185" s="544">
        <v>3</v>
      </c>
      <c r="J185" s="544" t="s">
        <v>475</v>
      </c>
      <c r="K185" s="544">
        <f>SUMIF('CF.1'!$D:$D,CFS!G185,'CF.1'!$X:$X)</f>
        <v>0</v>
      </c>
      <c r="L185" s="544">
        <f t="shared" si="17"/>
        <v>0</v>
      </c>
      <c r="M185" s="547">
        <f t="shared" si="18"/>
        <v>0</v>
      </c>
      <c r="O185" s="177"/>
      <c r="P185" s="544"/>
      <c r="Q185" s="545"/>
    </row>
    <row r="186" spans="4:17" ht="18" customHeight="1">
      <c r="D186" s="546">
        <v>2019</v>
      </c>
      <c r="E186" s="544">
        <v>12</v>
      </c>
      <c r="F186" s="544" t="s">
        <v>637</v>
      </c>
      <c r="G186" s="544" t="s">
        <v>1086</v>
      </c>
      <c r="H186" s="544" t="s">
        <v>1087</v>
      </c>
      <c r="I186" s="544">
        <v>3</v>
      </c>
      <c r="J186" s="544" t="s">
        <v>475</v>
      </c>
      <c r="K186" s="544">
        <f>SUMIF('CF.1'!$D:$D,CFS!G186,'CF.1'!$X:$X)</f>
        <v>0</v>
      </c>
      <c r="L186" s="544">
        <f t="shared" si="17"/>
        <v>0</v>
      </c>
      <c r="M186" s="547">
        <f t="shared" si="18"/>
        <v>0</v>
      </c>
      <c r="O186" s="177"/>
      <c r="P186" s="544"/>
      <c r="Q186" s="545"/>
    </row>
    <row r="187" spans="4:17" ht="18" customHeight="1">
      <c r="D187" s="546">
        <v>2019</v>
      </c>
      <c r="E187" s="544">
        <v>12</v>
      </c>
      <c r="F187" s="544" t="s">
        <v>637</v>
      </c>
      <c r="G187" s="544" t="s">
        <v>1088</v>
      </c>
      <c r="H187" s="544" t="s">
        <v>1089</v>
      </c>
      <c r="I187" s="544">
        <v>3</v>
      </c>
      <c r="J187" s="544" t="s">
        <v>475</v>
      </c>
      <c r="K187" s="544">
        <f>SUMIF('CF.1'!$D:$D,CFS!G187,'CF.1'!$X:$X)</f>
        <v>0</v>
      </c>
      <c r="L187" s="544">
        <f t="shared" si="17"/>
        <v>0</v>
      </c>
      <c r="M187" s="547">
        <f t="shared" si="18"/>
        <v>0</v>
      </c>
      <c r="O187" s="177"/>
      <c r="P187" s="544"/>
      <c r="Q187" s="545"/>
    </row>
    <row r="188" spans="4:17" ht="18" customHeight="1">
      <c r="D188" s="546">
        <v>2019</v>
      </c>
      <c r="E188" s="544">
        <v>12</v>
      </c>
      <c r="F188" s="544" t="s">
        <v>637</v>
      </c>
      <c r="G188" s="544" t="s">
        <v>1090</v>
      </c>
      <c r="H188" s="544" t="s">
        <v>1091</v>
      </c>
      <c r="I188" s="544">
        <v>3</v>
      </c>
      <c r="J188" s="544" t="s">
        <v>475</v>
      </c>
      <c r="K188" s="544">
        <f>SUMIF('CF.1'!$D:$D,CFS!G188,'CF.1'!$X:$X)</f>
        <v>0</v>
      </c>
      <c r="L188" s="544">
        <f t="shared" si="17"/>
        <v>0</v>
      </c>
      <c r="M188" s="547">
        <f t="shared" si="18"/>
        <v>0</v>
      </c>
      <c r="O188" s="177"/>
      <c r="P188" s="544"/>
      <c r="Q188" s="545"/>
    </row>
    <row r="189" spans="4:17" ht="18" customHeight="1">
      <c r="D189" s="546">
        <v>2019</v>
      </c>
      <c r="E189" s="544">
        <v>12</v>
      </c>
      <c r="F189" s="544" t="s">
        <v>637</v>
      </c>
      <c r="G189" s="544" t="s">
        <v>1092</v>
      </c>
      <c r="H189" s="544" t="s">
        <v>1093</v>
      </c>
      <c r="I189" s="544">
        <v>3</v>
      </c>
      <c r="J189" s="544" t="s">
        <v>475</v>
      </c>
      <c r="K189" s="544">
        <f>SUMIF('CF.1'!$D:$D,CFS!G189,'CF.1'!$X:$X)</f>
        <v>0</v>
      </c>
      <c r="L189" s="544">
        <f t="shared" si="17"/>
        <v>0</v>
      </c>
      <c r="M189" s="547">
        <f t="shared" si="18"/>
        <v>0</v>
      </c>
      <c r="O189" s="177"/>
      <c r="P189" s="544"/>
      <c r="Q189" s="545"/>
    </row>
    <row r="190" spans="4:17" ht="18" customHeight="1">
      <c r="D190" s="546">
        <v>2019</v>
      </c>
      <c r="E190" s="544">
        <v>12</v>
      </c>
      <c r="F190" s="544" t="s">
        <v>637</v>
      </c>
      <c r="G190" s="544" t="s">
        <v>1094</v>
      </c>
      <c r="H190" s="544" t="s">
        <v>1095</v>
      </c>
      <c r="I190" s="544">
        <v>3</v>
      </c>
      <c r="J190" s="544" t="s">
        <v>475</v>
      </c>
      <c r="K190" s="544">
        <f>SUMIF('CF.1'!$D:$D,CFS!G190,'CF.1'!$X:$X)</f>
        <v>0</v>
      </c>
      <c r="L190" s="544">
        <f t="shared" si="17"/>
        <v>0</v>
      </c>
      <c r="M190" s="547">
        <f t="shared" si="18"/>
        <v>0</v>
      </c>
      <c r="O190" s="177"/>
      <c r="P190" s="544"/>
      <c r="Q190" s="545"/>
    </row>
    <row r="191" spans="4:17" ht="18" customHeight="1">
      <c r="D191" s="546">
        <v>2019</v>
      </c>
      <c r="E191" s="544">
        <v>12</v>
      </c>
      <c r="F191" s="544" t="s">
        <v>637</v>
      </c>
      <c r="G191" s="544" t="s">
        <v>1096</v>
      </c>
      <c r="H191" s="544" t="s">
        <v>1097</v>
      </c>
      <c r="I191" s="544">
        <v>3</v>
      </c>
      <c r="J191" s="544" t="s">
        <v>475</v>
      </c>
      <c r="K191" s="544">
        <f>SUMIF('CF.1'!$D:$D,CFS!G191,'CF.1'!$X:$X)</f>
        <v>0</v>
      </c>
      <c r="L191" s="544">
        <f t="shared" si="17"/>
        <v>0</v>
      </c>
      <c r="M191" s="547">
        <f t="shared" si="18"/>
        <v>0</v>
      </c>
      <c r="O191" s="177"/>
      <c r="P191" s="544"/>
      <c r="Q191" s="545"/>
    </row>
    <row r="192" spans="4:17" ht="18" customHeight="1">
      <c r="D192" s="546">
        <v>2019</v>
      </c>
      <c r="E192" s="544">
        <v>12</v>
      </c>
      <c r="F192" s="544" t="s">
        <v>637</v>
      </c>
      <c r="G192" s="544" t="s">
        <v>1098</v>
      </c>
      <c r="H192" s="544" t="s">
        <v>1099</v>
      </c>
      <c r="I192" s="544">
        <v>3</v>
      </c>
      <c r="J192" s="544" t="s">
        <v>475</v>
      </c>
      <c r="K192" s="544">
        <f>SUMIF('CF.1'!$D:$D,CFS!G192,'CF.1'!$X:$X)</f>
        <v>0</v>
      </c>
      <c r="L192" s="544">
        <f t="shared" si="17"/>
        <v>0</v>
      </c>
      <c r="M192" s="547">
        <f t="shared" si="18"/>
        <v>0</v>
      </c>
      <c r="O192" s="177"/>
      <c r="P192" s="544"/>
      <c r="Q192" s="545"/>
    </row>
    <row r="193" spans="4:17" ht="18" customHeight="1">
      <c r="D193" s="546">
        <v>2019</v>
      </c>
      <c r="E193" s="544">
        <v>12</v>
      </c>
      <c r="F193" s="544" t="s">
        <v>637</v>
      </c>
      <c r="G193" s="544" t="s">
        <v>1100</v>
      </c>
      <c r="H193" s="544" t="s">
        <v>1101</v>
      </c>
      <c r="I193" s="544">
        <v>3</v>
      </c>
      <c r="J193" s="544" t="s">
        <v>475</v>
      </c>
      <c r="K193" s="544">
        <f>SUMIF('CF.1'!$D:$D,CFS!G193,'CF.1'!$X:$X)</f>
        <v>0</v>
      </c>
      <c r="L193" s="544">
        <f t="shared" si="17"/>
        <v>0</v>
      </c>
      <c r="M193" s="547">
        <f t="shared" si="18"/>
        <v>0</v>
      </c>
      <c r="O193" s="177"/>
      <c r="P193" s="544"/>
      <c r="Q193" s="545"/>
    </row>
    <row r="194" spans="4:17" ht="18" customHeight="1">
      <c r="D194" s="546">
        <v>2019</v>
      </c>
      <c r="E194" s="544">
        <v>12</v>
      </c>
      <c r="F194" s="544" t="s">
        <v>637</v>
      </c>
      <c r="G194" s="544" t="s">
        <v>1102</v>
      </c>
      <c r="H194" s="544" t="s">
        <v>1103</v>
      </c>
      <c r="I194" s="544">
        <v>3</v>
      </c>
      <c r="J194" s="544" t="s">
        <v>475</v>
      </c>
      <c r="K194" s="544">
        <f>SUMIF('CF.1'!$D:$D,CFS!G194,'CF.1'!$X:$X)</f>
        <v>0</v>
      </c>
      <c r="L194" s="544">
        <f t="shared" si="17"/>
        <v>0</v>
      </c>
      <c r="M194" s="547">
        <f t="shared" si="18"/>
        <v>0</v>
      </c>
      <c r="O194" s="177"/>
      <c r="P194" s="544"/>
      <c r="Q194" s="545"/>
    </row>
    <row r="195" spans="4:17" ht="18" customHeight="1">
      <c r="D195" s="546">
        <v>2019</v>
      </c>
      <c r="E195" s="544">
        <v>12</v>
      </c>
      <c r="F195" s="544" t="s">
        <v>637</v>
      </c>
      <c r="G195" s="544" t="s">
        <v>1104</v>
      </c>
      <c r="H195" s="544" t="s">
        <v>1105</v>
      </c>
      <c r="I195" s="544">
        <v>3</v>
      </c>
      <c r="J195" s="544" t="s">
        <v>475</v>
      </c>
      <c r="K195" s="544">
        <f>SUMIF('CF.1'!$D:$D,CFS!G195,'CF.1'!$X:$X)</f>
        <v>0</v>
      </c>
      <c r="L195" s="544">
        <f t="shared" si="17"/>
        <v>0</v>
      </c>
      <c r="M195" s="547">
        <f t="shared" si="18"/>
        <v>0</v>
      </c>
      <c r="O195" s="177"/>
      <c r="P195" s="544"/>
      <c r="Q195" s="545"/>
    </row>
    <row r="196" spans="4:17" ht="18" customHeight="1">
      <c r="D196" s="546">
        <v>2019</v>
      </c>
      <c r="E196" s="544">
        <v>12</v>
      </c>
      <c r="F196" s="544" t="s">
        <v>637</v>
      </c>
      <c r="G196" s="544" t="s">
        <v>1106</v>
      </c>
      <c r="H196" s="544" t="s">
        <v>1107</v>
      </c>
      <c r="I196" s="544">
        <v>3</v>
      </c>
      <c r="J196" s="544" t="s">
        <v>475</v>
      </c>
      <c r="K196" s="544">
        <f>SUMIF('CF.1'!$D:$D,CFS!G196,'CF.1'!$X:$X)</f>
        <v>0</v>
      </c>
      <c r="L196" s="544">
        <f t="shared" si="17"/>
        <v>0</v>
      </c>
      <c r="M196" s="547">
        <f t="shared" si="18"/>
        <v>0</v>
      </c>
      <c r="O196" s="177"/>
      <c r="P196" s="544"/>
      <c r="Q196" s="545"/>
    </row>
    <row r="197" spans="4:17" ht="18" customHeight="1">
      <c r="D197" s="546">
        <v>2019</v>
      </c>
      <c r="E197" s="544">
        <v>12</v>
      </c>
      <c r="F197" s="544" t="s">
        <v>637</v>
      </c>
      <c r="G197" s="544" t="s">
        <v>1110</v>
      </c>
      <c r="H197" s="544" t="s">
        <v>1111</v>
      </c>
      <c r="I197" s="544">
        <v>3</v>
      </c>
      <c r="J197" s="544" t="s">
        <v>475</v>
      </c>
      <c r="K197" s="544">
        <f>SUMIF('CF.1'!$D:$D,CFS!G197,'CF.1'!$X:$X)</f>
        <v>0</v>
      </c>
      <c r="L197" s="544">
        <f t="shared" si="17"/>
        <v>0</v>
      </c>
      <c r="M197" s="547">
        <f t="shared" si="18"/>
        <v>0</v>
      </c>
      <c r="O197" s="177"/>
      <c r="P197" s="544"/>
      <c r="Q197" s="545"/>
    </row>
    <row r="198" spans="4:17" ht="18" customHeight="1">
      <c r="D198" s="546">
        <v>2019</v>
      </c>
      <c r="E198" s="544">
        <v>12</v>
      </c>
      <c r="F198" s="544" t="s">
        <v>637</v>
      </c>
      <c r="G198" s="544" t="s">
        <v>1112</v>
      </c>
      <c r="H198" s="544" t="s">
        <v>1113</v>
      </c>
      <c r="I198" s="544">
        <v>3</v>
      </c>
      <c r="J198" s="544" t="s">
        <v>475</v>
      </c>
      <c r="K198" s="544">
        <f>SUMIF('CF.1'!$D:$D,CFS!G198,'CF.1'!$X:$X)</f>
        <v>0</v>
      </c>
      <c r="L198" s="544">
        <f t="shared" si="17"/>
        <v>0</v>
      </c>
      <c r="M198" s="547">
        <f t="shared" si="18"/>
        <v>0</v>
      </c>
      <c r="O198" s="177"/>
      <c r="P198" s="544"/>
      <c r="Q198" s="545"/>
    </row>
    <row r="199" spans="4:17" ht="18" customHeight="1">
      <c r="D199" s="546">
        <v>2019</v>
      </c>
      <c r="E199" s="544">
        <v>12</v>
      </c>
      <c r="F199" s="544" t="s">
        <v>637</v>
      </c>
      <c r="G199" s="544" t="s">
        <v>1114</v>
      </c>
      <c r="H199" s="544" t="s">
        <v>1115</v>
      </c>
      <c r="I199" s="544">
        <v>3</v>
      </c>
      <c r="J199" s="544" t="s">
        <v>475</v>
      </c>
      <c r="K199" s="544">
        <f>SUMIF('CF.1'!$D:$D,CFS!G199,'CF.1'!$X:$X)</f>
        <v>0</v>
      </c>
      <c r="L199" s="544">
        <f t="shared" si="17"/>
        <v>0</v>
      </c>
      <c r="M199" s="547">
        <f t="shared" si="18"/>
        <v>0</v>
      </c>
      <c r="O199" s="177"/>
      <c r="P199" s="544"/>
      <c r="Q199" s="545"/>
    </row>
    <row r="200" spans="4:17" ht="18" customHeight="1">
      <c r="D200" s="546">
        <v>2019</v>
      </c>
      <c r="E200" s="544">
        <v>12</v>
      </c>
      <c r="F200" s="544" t="s">
        <v>637</v>
      </c>
      <c r="G200" s="544" t="s">
        <v>1116</v>
      </c>
      <c r="H200" s="544" t="s">
        <v>1117</v>
      </c>
      <c r="I200" s="544">
        <v>3</v>
      </c>
      <c r="J200" s="544" t="s">
        <v>475</v>
      </c>
      <c r="K200" s="544">
        <f>SUMIF('CF.1'!$D:$D,CFS!G200,'CF.1'!$X:$X)</f>
        <v>0</v>
      </c>
      <c r="L200" s="544">
        <f t="shared" si="17"/>
        <v>0</v>
      </c>
      <c r="M200" s="547">
        <f t="shared" si="18"/>
        <v>0</v>
      </c>
      <c r="O200" s="177"/>
      <c r="P200" s="544"/>
      <c r="Q200" s="545"/>
    </row>
    <row r="201" spans="4:17" ht="18" customHeight="1">
      <c r="D201" s="546">
        <v>2019</v>
      </c>
      <c r="E201" s="544">
        <v>12</v>
      </c>
      <c r="F201" s="544" t="s">
        <v>637</v>
      </c>
      <c r="G201" s="544" t="s">
        <v>1118</v>
      </c>
      <c r="H201" s="544" t="s">
        <v>1119</v>
      </c>
      <c r="I201" s="544">
        <v>3</v>
      </c>
      <c r="J201" s="544" t="s">
        <v>475</v>
      </c>
      <c r="K201" s="544">
        <f>SUMIF('CF.1'!$D:$D,CFS!G201,'CF.1'!$X:$X)</f>
        <v>0</v>
      </c>
      <c r="L201" s="544">
        <f t="shared" si="17"/>
        <v>0</v>
      </c>
      <c r="M201" s="547">
        <f t="shared" si="18"/>
        <v>0</v>
      </c>
      <c r="O201" s="177"/>
      <c r="P201" s="544"/>
      <c r="Q201" s="545"/>
    </row>
    <row r="202" spans="4:17" ht="18" customHeight="1">
      <c r="D202" s="546">
        <v>2019</v>
      </c>
      <c r="E202" s="544">
        <v>12</v>
      </c>
      <c r="F202" s="544" t="s">
        <v>637</v>
      </c>
      <c r="G202" s="544" t="s">
        <v>1120</v>
      </c>
      <c r="H202" s="544" t="s">
        <v>1121</v>
      </c>
      <c r="I202" s="544">
        <v>3</v>
      </c>
      <c r="J202" s="544" t="s">
        <v>475</v>
      </c>
      <c r="K202" s="544">
        <f>SUMIF('CF.1'!$D:$D,CFS!G202,'CF.1'!$X:$X)</f>
        <v>0</v>
      </c>
      <c r="L202" s="544">
        <f t="shared" si="17"/>
        <v>0</v>
      </c>
      <c r="M202" s="547">
        <f t="shared" si="18"/>
        <v>0</v>
      </c>
      <c r="O202" s="177"/>
      <c r="P202" s="544"/>
      <c r="Q202" s="545"/>
    </row>
    <row r="203" spans="4:17" ht="18" customHeight="1">
      <c r="D203" s="546">
        <v>2019</v>
      </c>
      <c r="E203" s="544">
        <v>12</v>
      </c>
      <c r="F203" s="544" t="s">
        <v>637</v>
      </c>
      <c r="G203" s="544" t="s">
        <v>1130</v>
      </c>
      <c r="H203" s="544" t="s">
        <v>1131</v>
      </c>
      <c r="I203" s="544">
        <v>3</v>
      </c>
      <c r="J203" s="544" t="s">
        <v>475</v>
      </c>
      <c r="K203" s="544">
        <f>SUMIF('CF.1'!$D:$D,CFS!G203,'CF.1'!$X:$X)</f>
        <v>0</v>
      </c>
      <c r="L203" s="544">
        <f t="shared" si="17"/>
        <v>0</v>
      </c>
      <c r="M203" s="547">
        <f t="shared" si="18"/>
        <v>0</v>
      </c>
      <c r="O203" s="177"/>
      <c r="P203" s="544"/>
      <c r="Q203" s="545"/>
    </row>
    <row r="204" spans="4:17" ht="18" customHeight="1">
      <c r="D204" s="541">
        <v>2019</v>
      </c>
      <c r="E204" s="542">
        <v>12</v>
      </c>
      <c r="F204" s="542" t="s">
        <v>637</v>
      </c>
      <c r="G204" s="542" t="s">
        <v>1132</v>
      </c>
      <c r="H204" s="542" t="s">
        <v>1133</v>
      </c>
      <c r="I204" s="542">
        <v>2</v>
      </c>
      <c r="J204" s="542" t="s">
        <v>475</v>
      </c>
      <c r="K204" s="542">
        <f>SUM(K205:K255)</f>
        <v>-7236433585</v>
      </c>
      <c r="L204" s="542">
        <f t="shared" ref="L204:M204" si="19">SUM(L205:L255)</f>
        <v>-7236433585</v>
      </c>
      <c r="M204" s="543">
        <f t="shared" si="19"/>
        <v>0</v>
      </c>
      <c r="O204" s="177"/>
      <c r="P204" s="544"/>
      <c r="Q204" s="545"/>
    </row>
    <row r="205" spans="4:17" ht="18" customHeight="1">
      <c r="D205" s="546">
        <v>2019</v>
      </c>
      <c r="E205" s="544">
        <v>12</v>
      </c>
      <c r="F205" s="544" t="s">
        <v>637</v>
      </c>
      <c r="G205" s="544" t="s">
        <v>1134</v>
      </c>
      <c r="H205" s="544" t="s">
        <v>1135</v>
      </c>
      <c r="I205" s="544">
        <v>3</v>
      </c>
      <c r="J205" s="544" t="s">
        <v>475</v>
      </c>
      <c r="K205" s="544">
        <f>SUMIF('CF.1'!$D:$D,CFS!G205,'CF.1'!$X:$X)</f>
        <v>0</v>
      </c>
      <c r="L205" s="544">
        <f t="shared" si="17"/>
        <v>0</v>
      </c>
      <c r="M205" s="547">
        <f t="shared" ref="M205:M255" si="20">L205-K205</f>
        <v>0</v>
      </c>
      <c r="O205" s="177"/>
      <c r="P205" s="544"/>
      <c r="Q205" s="545"/>
    </row>
    <row r="206" spans="4:17" ht="18" customHeight="1">
      <c r="D206" s="546">
        <v>2019</v>
      </c>
      <c r="E206" s="544">
        <v>12</v>
      </c>
      <c r="F206" s="544" t="s">
        <v>637</v>
      </c>
      <c r="G206" s="544" t="s">
        <v>1136</v>
      </c>
      <c r="H206" s="544" t="s">
        <v>1137</v>
      </c>
      <c r="I206" s="544">
        <v>3</v>
      </c>
      <c r="J206" s="544" t="s">
        <v>475</v>
      </c>
      <c r="K206" s="544">
        <f>SUMIF('CF.1'!$D:$D,CFS!G206,'CF.1'!$X:$X)</f>
        <v>0</v>
      </c>
      <c r="L206" s="544">
        <f t="shared" si="17"/>
        <v>0</v>
      </c>
      <c r="M206" s="547">
        <f t="shared" si="20"/>
        <v>0</v>
      </c>
      <c r="O206" s="177"/>
      <c r="P206" s="544"/>
      <c r="Q206" s="545"/>
    </row>
    <row r="207" spans="4:17" ht="18" customHeight="1">
      <c r="D207" s="546">
        <v>2019</v>
      </c>
      <c r="E207" s="544">
        <v>12</v>
      </c>
      <c r="F207" s="544" t="s">
        <v>637</v>
      </c>
      <c r="G207" s="544" t="s">
        <v>1138</v>
      </c>
      <c r="H207" s="544" t="s">
        <v>1139</v>
      </c>
      <c r="I207" s="544">
        <v>3</v>
      </c>
      <c r="J207" s="544" t="s">
        <v>475</v>
      </c>
      <c r="K207" s="544">
        <f>SUMIF('CF.1'!$D:$D,CFS!G207,'CF.1'!$X:$X)</f>
        <v>0</v>
      </c>
      <c r="L207" s="544">
        <f t="shared" si="17"/>
        <v>0</v>
      </c>
      <c r="M207" s="547">
        <f t="shared" si="20"/>
        <v>0</v>
      </c>
      <c r="O207" s="177"/>
      <c r="P207" s="544"/>
      <c r="Q207" s="545"/>
    </row>
    <row r="208" spans="4:17" ht="18" customHeight="1">
      <c r="D208" s="546">
        <v>2019</v>
      </c>
      <c r="E208" s="544">
        <v>12</v>
      </c>
      <c r="F208" s="544" t="s">
        <v>637</v>
      </c>
      <c r="G208" s="544" t="s">
        <v>1140</v>
      </c>
      <c r="H208" s="544" t="s">
        <v>1141</v>
      </c>
      <c r="I208" s="544">
        <v>3</v>
      </c>
      <c r="J208" s="544" t="s">
        <v>475</v>
      </c>
      <c r="K208" s="544">
        <f>SUMIF('CF.1'!$D:$D,CFS!G208,'CF.1'!$X:$X)</f>
        <v>0</v>
      </c>
      <c r="L208" s="544">
        <f t="shared" si="17"/>
        <v>0</v>
      </c>
      <c r="M208" s="547">
        <f t="shared" si="20"/>
        <v>0</v>
      </c>
      <c r="O208" s="177"/>
      <c r="P208" s="544"/>
      <c r="Q208" s="545"/>
    </row>
    <row r="209" spans="4:17" ht="18" customHeight="1">
      <c r="D209" s="546">
        <v>2019</v>
      </c>
      <c r="E209" s="544">
        <v>12</v>
      </c>
      <c r="F209" s="544" t="s">
        <v>637</v>
      </c>
      <c r="G209" s="544" t="s">
        <v>1142</v>
      </c>
      <c r="H209" s="544" t="s">
        <v>1143</v>
      </c>
      <c r="I209" s="544">
        <v>3</v>
      </c>
      <c r="J209" s="544" t="s">
        <v>475</v>
      </c>
      <c r="K209" s="544">
        <f>SUMIF('CF.1'!$D:$D,CFS!G209,'CF.1'!$X:$X)</f>
        <v>-352599000</v>
      </c>
      <c r="L209" s="544">
        <f t="shared" si="17"/>
        <v>-352599000</v>
      </c>
      <c r="M209" s="547">
        <f t="shared" si="20"/>
        <v>0</v>
      </c>
      <c r="O209" s="177"/>
      <c r="P209" s="544"/>
      <c r="Q209" s="545"/>
    </row>
    <row r="210" spans="4:17" ht="18" customHeight="1">
      <c r="D210" s="546">
        <v>2019</v>
      </c>
      <c r="E210" s="544">
        <v>12</v>
      </c>
      <c r="F210" s="544" t="s">
        <v>637</v>
      </c>
      <c r="G210" s="544" t="s">
        <v>1144</v>
      </c>
      <c r="H210" s="544" t="s">
        <v>1145</v>
      </c>
      <c r="I210" s="544">
        <v>3</v>
      </c>
      <c r="J210" s="544" t="s">
        <v>475</v>
      </c>
      <c r="K210" s="544">
        <f>SUMIF('CF.1'!$D:$D,CFS!G210,'CF.1'!$X:$X)</f>
        <v>0</v>
      </c>
      <c r="L210" s="544">
        <f t="shared" si="17"/>
        <v>0</v>
      </c>
      <c r="M210" s="547">
        <f t="shared" si="20"/>
        <v>0</v>
      </c>
      <c r="O210" s="177"/>
      <c r="P210" s="544"/>
      <c r="Q210" s="545"/>
    </row>
    <row r="211" spans="4:17" ht="18" customHeight="1">
      <c r="D211" s="546">
        <v>2019</v>
      </c>
      <c r="E211" s="544">
        <v>12</v>
      </c>
      <c r="F211" s="544" t="s">
        <v>637</v>
      </c>
      <c r="G211" s="544" t="s">
        <v>1146</v>
      </c>
      <c r="H211" s="544" t="s">
        <v>1147</v>
      </c>
      <c r="I211" s="544">
        <v>3</v>
      </c>
      <c r="J211" s="544" t="s">
        <v>475</v>
      </c>
      <c r="K211" s="544">
        <f>SUMIF('CF.1'!$D:$D,CFS!G211,'CF.1'!$X:$X)</f>
        <v>0</v>
      </c>
      <c r="L211" s="544">
        <f t="shared" si="17"/>
        <v>0</v>
      </c>
      <c r="M211" s="547">
        <f t="shared" si="20"/>
        <v>0</v>
      </c>
      <c r="O211" s="177"/>
      <c r="P211" s="544"/>
      <c r="Q211" s="545"/>
    </row>
    <row r="212" spans="4:17" ht="18" customHeight="1">
      <c r="D212" s="546">
        <v>2019</v>
      </c>
      <c r="E212" s="544">
        <v>12</v>
      </c>
      <c r="F212" s="544" t="s">
        <v>637</v>
      </c>
      <c r="G212" s="544" t="s">
        <v>1148</v>
      </c>
      <c r="H212" s="544" t="s">
        <v>1149</v>
      </c>
      <c r="I212" s="544">
        <v>3</v>
      </c>
      <c r="J212" s="544" t="s">
        <v>475</v>
      </c>
      <c r="K212" s="544">
        <f>SUMIF('CF.1'!$D:$D,CFS!G212,'CF.1'!$X:$X)</f>
        <v>-422188000</v>
      </c>
      <c r="L212" s="544">
        <f t="shared" si="17"/>
        <v>-422188000</v>
      </c>
      <c r="M212" s="547">
        <f t="shared" si="20"/>
        <v>0</v>
      </c>
      <c r="O212" s="177"/>
      <c r="P212" s="544"/>
      <c r="Q212" s="545"/>
    </row>
    <row r="213" spans="4:17" ht="18" customHeight="1">
      <c r="D213" s="546">
        <v>2019</v>
      </c>
      <c r="E213" s="544">
        <v>12</v>
      </c>
      <c r="F213" s="544" t="s">
        <v>637</v>
      </c>
      <c r="G213" s="544" t="s">
        <v>1150</v>
      </c>
      <c r="H213" s="544" t="s">
        <v>1151</v>
      </c>
      <c r="I213" s="544">
        <v>3</v>
      </c>
      <c r="J213" s="544" t="s">
        <v>475</v>
      </c>
      <c r="K213" s="544">
        <f>SUMIF('CF.1'!$D:$D,CFS!G213,'CF.1'!$X:$X)</f>
        <v>0</v>
      </c>
      <c r="L213" s="544">
        <f t="shared" si="17"/>
        <v>0</v>
      </c>
      <c r="M213" s="547">
        <f t="shared" si="20"/>
        <v>0</v>
      </c>
      <c r="O213" s="177"/>
      <c r="P213" s="544"/>
      <c r="Q213" s="545"/>
    </row>
    <row r="214" spans="4:17" ht="18" customHeight="1">
      <c r="D214" s="546">
        <v>2019</v>
      </c>
      <c r="E214" s="544">
        <v>12</v>
      </c>
      <c r="F214" s="544" t="s">
        <v>637</v>
      </c>
      <c r="G214" s="544" t="s">
        <v>1152</v>
      </c>
      <c r="H214" s="544" t="s">
        <v>1153</v>
      </c>
      <c r="I214" s="544">
        <v>3</v>
      </c>
      <c r="J214" s="544" t="s">
        <v>475</v>
      </c>
      <c r="K214" s="544">
        <f>SUMIF('CF.1'!$D:$D,CFS!G214,'CF.1'!$X:$X)</f>
        <v>0</v>
      </c>
      <c r="L214" s="544">
        <f t="shared" si="17"/>
        <v>0</v>
      </c>
      <c r="M214" s="547">
        <f t="shared" si="20"/>
        <v>0</v>
      </c>
      <c r="O214" s="177"/>
      <c r="P214" s="544"/>
      <c r="Q214" s="545"/>
    </row>
    <row r="215" spans="4:17" ht="18" customHeight="1">
      <c r="D215" s="546">
        <v>2019</v>
      </c>
      <c r="E215" s="544">
        <v>12</v>
      </c>
      <c r="F215" s="544" t="s">
        <v>637</v>
      </c>
      <c r="G215" s="544" t="s">
        <v>1154</v>
      </c>
      <c r="H215" s="544" t="s">
        <v>1155</v>
      </c>
      <c r="I215" s="544">
        <v>3</v>
      </c>
      <c r="J215" s="544" t="s">
        <v>475</v>
      </c>
      <c r="K215" s="544">
        <f>SUMIF('CF.1'!$D:$D,CFS!G215,'CF.1'!$X:$X)</f>
        <v>0</v>
      </c>
      <c r="L215" s="544">
        <f t="shared" si="17"/>
        <v>0</v>
      </c>
      <c r="M215" s="547">
        <f t="shared" si="20"/>
        <v>0</v>
      </c>
      <c r="O215" s="177"/>
      <c r="P215" s="544"/>
      <c r="Q215" s="545"/>
    </row>
    <row r="216" spans="4:17" ht="18" customHeight="1">
      <c r="D216" s="546">
        <v>2019</v>
      </c>
      <c r="E216" s="544">
        <v>12</v>
      </c>
      <c r="F216" s="544" t="s">
        <v>637</v>
      </c>
      <c r="G216" s="544" t="s">
        <v>1580</v>
      </c>
      <c r="H216" s="544" t="s">
        <v>1157</v>
      </c>
      <c r="I216" s="544">
        <v>3</v>
      </c>
      <c r="J216" s="544" t="s">
        <v>475</v>
      </c>
      <c r="K216" s="544">
        <f>SUMIF('CF.1'!$D:$D,CFS!G216,'CF.1'!$X:$X)</f>
        <v>0</v>
      </c>
      <c r="L216" s="544">
        <f t="shared" si="17"/>
        <v>0</v>
      </c>
      <c r="M216" s="547">
        <f t="shared" si="20"/>
        <v>0</v>
      </c>
      <c r="O216" s="177"/>
      <c r="P216" s="544"/>
      <c r="Q216" s="545"/>
    </row>
    <row r="217" spans="4:17" ht="18" customHeight="1">
      <c r="D217" s="546">
        <v>2019</v>
      </c>
      <c r="E217" s="544">
        <v>12</v>
      </c>
      <c r="F217" s="544" t="s">
        <v>637</v>
      </c>
      <c r="G217" s="544" t="s">
        <v>1581</v>
      </c>
      <c r="H217" s="544" t="s">
        <v>1582</v>
      </c>
      <c r="I217" s="544">
        <v>3</v>
      </c>
      <c r="J217" s="544" t="s">
        <v>475</v>
      </c>
      <c r="K217" s="544">
        <f>SUMIF('CF.1'!$D:$D,CFS!G217,'CF.1'!$X:$X)</f>
        <v>0</v>
      </c>
      <c r="L217" s="544">
        <f t="shared" si="17"/>
        <v>0</v>
      </c>
      <c r="M217" s="547">
        <f t="shared" si="20"/>
        <v>0</v>
      </c>
      <c r="O217" s="177"/>
      <c r="P217" s="544"/>
      <c r="Q217" s="545"/>
    </row>
    <row r="218" spans="4:17" ht="18" customHeight="1">
      <c r="D218" s="546">
        <v>2019</v>
      </c>
      <c r="E218" s="544">
        <v>12</v>
      </c>
      <c r="F218" s="544" t="s">
        <v>637</v>
      </c>
      <c r="G218" s="544" t="s">
        <v>1158</v>
      </c>
      <c r="H218" s="544" t="s">
        <v>1159</v>
      </c>
      <c r="I218" s="544">
        <v>3</v>
      </c>
      <c r="J218" s="544" t="s">
        <v>475</v>
      </c>
      <c r="K218" s="544">
        <f>SUMIF('CF.1'!$D:$D,CFS!G218,'CF.1'!$X:$X)</f>
        <v>0</v>
      </c>
      <c r="L218" s="544">
        <f t="shared" ref="L218:L255" si="21">K218</f>
        <v>0</v>
      </c>
      <c r="M218" s="547">
        <f t="shared" si="20"/>
        <v>0</v>
      </c>
      <c r="O218" s="177"/>
      <c r="P218" s="544"/>
      <c r="Q218" s="545"/>
    </row>
    <row r="219" spans="4:17" ht="18" customHeight="1">
      <c r="D219" s="546">
        <v>2019</v>
      </c>
      <c r="E219" s="544">
        <v>12</v>
      </c>
      <c r="F219" s="544" t="s">
        <v>637</v>
      </c>
      <c r="G219" s="544" t="s">
        <v>1160</v>
      </c>
      <c r="H219" s="544" t="s">
        <v>1583</v>
      </c>
      <c r="I219" s="544">
        <v>3</v>
      </c>
      <c r="J219" s="544" t="s">
        <v>475</v>
      </c>
      <c r="K219" s="544">
        <f>SUMIF('CF.1'!$D:$D,CFS!G219,'CF.1'!$X:$X)</f>
        <v>0</v>
      </c>
      <c r="L219" s="544">
        <f t="shared" si="21"/>
        <v>0</v>
      </c>
      <c r="M219" s="547">
        <f t="shared" si="20"/>
        <v>0</v>
      </c>
      <c r="O219" s="177"/>
      <c r="P219" s="544"/>
      <c r="Q219" s="545"/>
    </row>
    <row r="220" spans="4:17" ht="18" customHeight="1">
      <c r="D220" s="546">
        <v>2019</v>
      </c>
      <c r="E220" s="544">
        <v>12</v>
      </c>
      <c r="F220" s="544" t="s">
        <v>637</v>
      </c>
      <c r="G220" s="544" t="s">
        <v>1162</v>
      </c>
      <c r="H220" s="544" t="s">
        <v>1163</v>
      </c>
      <c r="I220" s="544">
        <v>3</v>
      </c>
      <c r="J220" s="544" t="s">
        <v>475</v>
      </c>
      <c r="K220" s="544">
        <f>SUMIF('CF.1'!$D:$D,CFS!G220,'CF.1'!$X:$X)</f>
        <v>0</v>
      </c>
      <c r="L220" s="544">
        <f t="shared" si="21"/>
        <v>0</v>
      </c>
      <c r="M220" s="547">
        <f t="shared" si="20"/>
        <v>0</v>
      </c>
      <c r="O220" s="177"/>
      <c r="P220" s="544"/>
      <c r="Q220" s="545"/>
    </row>
    <row r="221" spans="4:17" ht="18" customHeight="1">
      <c r="D221" s="546">
        <v>2019</v>
      </c>
      <c r="E221" s="544">
        <v>12</v>
      </c>
      <c r="F221" s="544" t="s">
        <v>637</v>
      </c>
      <c r="G221" s="544" t="s">
        <v>1164</v>
      </c>
      <c r="H221" s="544" t="s">
        <v>1165</v>
      </c>
      <c r="I221" s="544">
        <v>3</v>
      </c>
      <c r="J221" s="544" t="s">
        <v>475</v>
      </c>
      <c r="K221" s="544">
        <f>SUMIF('CF.1'!$D:$D,CFS!G221,'CF.1'!$X:$X)</f>
        <v>0</v>
      </c>
      <c r="L221" s="544">
        <f t="shared" si="21"/>
        <v>0</v>
      </c>
      <c r="M221" s="547">
        <f t="shared" si="20"/>
        <v>0</v>
      </c>
      <c r="O221" s="177"/>
      <c r="P221" s="544"/>
      <c r="Q221" s="545"/>
    </row>
    <row r="222" spans="4:17" ht="18" customHeight="1">
      <c r="D222" s="546">
        <v>2019</v>
      </c>
      <c r="E222" s="544">
        <v>12</v>
      </c>
      <c r="F222" s="544" t="s">
        <v>637</v>
      </c>
      <c r="G222" s="544" t="s">
        <v>1166</v>
      </c>
      <c r="H222" s="544" t="s">
        <v>1167</v>
      </c>
      <c r="I222" s="544">
        <v>3</v>
      </c>
      <c r="J222" s="544" t="s">
        <v>475</v>
      </c>
      <c r="K222" s="544">
        <f>SUMIF('CF.1'!$D:$D,CFS!G222,'CF.1'!$X:$X)</f>
        <v>0</v>
      </c>
      <c r="L222" s="544">
        <f t="shared" si="21"/>
        <v>0</v>
      </c>
      <c r="M222" s="547">
        <f t="shared" si="20"/>
        <v>0</v>
      </c>
      <c r="O222" s="177"/>
      <c r="P222" s="544"/>
      <c r="Q222" s="545"/>
    </row>
    <row r="223" spans="4:17" ht="18" customHeight="1">
      <c r="D223" s="546">
        <v>2019</v>
      </c>
      <c r="E223" s="544">
        <v>12</v>
      </c>
      <c r="F223" s="544" t="s">
        <v>637</v>
      </c>
      <c r="G223" s="544" t="s">
        <v>1168</v>
      </c>
      <c r="H223" s="544" t="s">
        <v>1169</v>
      </c>
      <c r="I223" s="544">
        <v>3</v>
      </c>
      <c r="J223" s="544" t="s">
        <v>475</v>
      </c>
      <c r="K223" s="544">
        <f>SUMIF('CF.1'!$D:$D,CFS!G223,'CF.1'!$X:$X)</f>
        <v>0</v>
      </c>
      <c r="L223" s="544">
        <f t="shared" si="21"/>
        <v>0</v>
      </c>
      <c r="M223" s="547">
        <f t="shared" si="20"/>
        <v>0</v>
      </c>
      <c r="O223" s="177"/>
      <c r="P223" s="544"/>
      <c r="Q223" s="545"/>
    </row>
    <row r="224" spans="4:17" ht="18" customHeight="1">
      <c r="D224" s="546">
        <v>2019</v>
      </c>
      <c r="E224" s="544">
        <v>12</v>
      </c>
      <c r="F224" s="544" t="s">
        <v>637</v>
      </c>
      <c r="G224" s="544" t="s">
        <v>1170</v>
      </c>
      <c r="H224" s="544" t="s">
        <v>1171</v>
      </c>
      <c r="I224" s="544">
        <v>3</v>
      </c>
      <c r="J224" s="544" t="s">
        <v>475</v>
      </c>
      <c r="K224" s="544">
        <f>SUMIF('CF.1'!$D:$D,CFS!G224,'CF.1'!$X:$X)</f>
        <v>0</v>
      </c>
      <c r="L224" s="544">
        <f t="shared" si="21"/>
        <v>0</v>
      </c>
      <c r="M224" s="547">
        <f t="shared" si="20"/>
        <v>0</v>
      </c>
      <c r="O224" s="177"/>
      <c r="P224" s="544"/>
      <c r="Q224" s="545"/>
    </row>
    <row r="225" spans="4:17" ht="18" customHeight="1">
      <c r="D225" s="546">
        <v>2019</v>
      </c>
      <c r="E225" s="544">
        <v>12</v>
      </c>
      <c r="F225" s="544" t="s">
        <v>637</v>
      </c>
      <c r="G225" s="544" t="s">
        <v>1172</v>
      </c>
      <c r="H225" s="544" t="s">
        <v>1173</v>
      </c>
      <c r="I225" s="544">
        <v>3</v>
      </c>
      <c r="J225" s="544" t="s">
        <v>475</v>
      </c>
      <c r="K225" s="544">
        <f>SUMIF('CF.1'!$D:$D,CFS!G225,'CF.1'!$X:$X)</f>
        <v>0</v>
      </c>
      <c r="L225" s="544">
        <f t="shared" si="21"/>
        <v>0</v>
      </c>
      <c r="M225" s="547">
        <f t="shared" si="20"/>
        <v>0</v>
      </c>
      <c r="O225" s="177"/>
      <c r="P225" s="544"/>
      <c r="Q225" s="545"/>
    </row>
    <row r="226" spans="4:17" ht="18" customHeight="1">
      <c r="D226" s="546">
        <v>2019</v>
      </c>
      <c r="E226" s="544">
        <v>12</v>
      </c>
      <c r="F226" s="544" t="s">
        <v>637</v>
      </c>
      <c r="G226" s="544" t="s">
        <v>1174</v>
      </c>
      <c r="H226" s="544" t="s">
        <v>1175</v>
      </c>
      <c r="I226" s="544">
        <v>3</v>
      </c>
      <c r="J226" s="544" t="s">
        <v>475</v>
      </c>
      <c r="K226" s="544">
        <f>SUMIF('CF.1'!$D:$D,CFS!G226,'CF.1'!$X:$X)</f>
        <v>0</v>
      </c>
      <c r="L226" s="544">
        <f t="shared" si="21"/>
        <v>0</v>
      </c>
      <c r="M226" s="547">
        <f t="shared" si="20"/>
        <v>0</v>
      </c>
      <c r="O226" s="177"/>
      <c r="P226" s="544"/>
      <c r="Q226" s="545"/>
    </row>
    <row r="227" spans="4:17" ht="18" customHeight="1">
      <c r="D227" s="546">
        <v>2019</v>
      </c>
      <c r="E227" s="544">
        <v>12</v>
      </c>
      <c r="F227" s="544" t="s">
        <v>637</v>
      </c>
      <c r="G227" s="544" t="s">
        <v>1176</v>
      </c>
      <c r="H227" s="544" t="s">
        <v>1177</v>
      </c>
      <c r="I227" s="544">
        <v>3</v>
      </c>
      <c r="J227" s="544" t="s">
        <v>475</v>
      </c>
      <c r="K227" s="544">
        <f>SUMIF('CF.1'!$D:$D,CFS!G227,'CF.1'!$X:$X)</f>
        <v>0</v>
      </c>
      <c r="L227" s="544">
        <f t="shared" si="21"/>
        <v>0</v>
      </c>
      <c r="M227" s="547">
        <f t="shared" si="20"/>
        <v>0</v>
      </c>
      <c r="O227" s="177"/>
      <c r="P227" s="544"/>
      <c r="Q227" s="545"/>
    </row>
    <row r="228" spans="4:17" ht="18" customHeight="1">
      <c r="D228" s="546">
        <v>2019</v>
      </c>
      <c r="E228" s="544">
        <v>12</v>
      </c>
      <c r="F228" s="544" t="s">
        <v>637</v>
      </c>
      <c r="G228" s="544" t="s">
        <v>1178</v>
      </c>
      <c r="H228" s="544" t="s">
        <v>1179</v>
      </c>
      <c r="I228" s="544">
        <v>3</v>
      </c>
      <c r="J228" s="544" t="s">
        <v>475</v>
      </c>
      <c r="K228" s="544">
        <f>SUMIF('CF.1'!$D:$D,CFS!G228,'CF.1'!$X:$X)</f>
        <v>0</v>
      </c>
      <c r="L228" s="544">
        <f t="shared" si="21"/>
        <v>0</v>
      </c>
      <c r="M228" s="547">
        <f t="shared" si="20"/>
        <v>0</v>
      </c>
      <c r="O228" s="177"/>
      <c r="P228" s="544"/>
      <c r="Q228" s="545"/>
    </row>
    <row r="229" spans="4:17" ht="18" customHeight="1">
      <c r="D229" s="546">
        <v>2019</v>
      </c>
      <c r="E229" s="544">
        <v>12</v>
      </c>
      <c r="F229" s="544" t="s">
        <v>637</v>
      </c>
      <c r="G229" s="544" t="s">
        <v>1180</v>
      </c>
      <c r="H229" s="544" t="s">
        <v>1181</v>
      </c>
      <c r="I229" s="544">
        <v>3</v>
      </c>
      <c r="J229" s="544" t="s">
        <v>475</v>
      </c>
      <c r="K229" s="544">
        <f>SUMIF('CF.1'!$D:$D,CFS!G229,'CF.1'!$X:$X)</f>
        <v>0</v>
      </c>
      <c r="L229" s="544">
        <f t="shared" si="21"/>
        <v>0</v>
      </c>
      <c r="M229" s="547">
        <f t="shared" si="20"/>
        <v>0</v>
      </c>
      <c r="O229" s="177"/>
      <c r="P229" s="544"/>
      <c r="Q229" s="545"/>
    </row>
    <row r="230" spans="4:17" ht="18" customHeight="1">
      <c r="D230" s="546">
        <v>2019</v>
      </c>
      <c r="E230" s="544">
        <v>12</v>
      </c>
      <c r="F230" s="544" t="s">
        <v>637</v>
      </c>
      <c r="G230" s="544" t="s">
        <v>1182</v>
      </c>
      <c r="H230" s="544" t="s">
        <v>1183</v>
      </c>
      <c r="I230" s="544">
        <v>3</v>
      </c>
      <c r="J230" s="544" t="s">
        <v>475</v>
      </c>
      <c r="K230" s="544">
        <f>SUMIF('CF.1'!$D:$D,CFS!G230,'CF.1'!$X:$X)</f>
        <v>-9363637</v>
      </c>
      <c r="L230" s="544">
        <f t="shared" si="21"/>
        <v>-9363637</v>
      </c>
      <c r="M230" s="547">
        <f t="shared" si="20"/>
        <v>0</v>
      </c>
      <c r="O230" s="177"/>
      <c r="P230" s="544"/>
      <c r="Q230" s="545"/>
    </row>
    <row r="231" spans="4:17" ht="18" customHeight="1">
      <c r="D231" s="546">
        <v>2019</v>
      </c>
      <c r="E231" s="544">
        <v>12</v>
      </c>
      <c r="F231" s="544" t="s">
        <v>637</v>
      </c>
      <c r="G231" s="544" t="s">
        <v>1184</v>
      </c>
      <c r="H231" s="544" t="s">
        <v>1185</v>
      </c>
      <c r="I231" s="544">
        <v>3</v>
      </c>
      <c r="J231" s="544" t="s">
        <v>475</v>
      </c>
      <c r="K231" s="544">
        <f>SUMIF('CF.1'!$D:$D,CFS!G231,'CF.1'!$X:$X)</f>
        <v>0</v>
      </c>
      <c r="L231" s="544">
        <f t="shared" si="21"/>
        <v>0</v>
      </c>
      <c r="M231" s="547">
        <f t="shared" si="20"/>
        <v>0</v>
      </c>
      <c r="O231" s="177"/>
      <c r="P231" s="544"/>
      <c r="Q231" s="545"/>
    </row>
    <row r="232" spans="4:17" ht="18" customHeight="1">
      <c r="D232" s="546">
        <v>2019</v>
      </c>
      <c r="E232" s="544">
        <v>12</v>
      </c>
      <c r="F232" s="544" t="s">
        <v>637</v>
      </c>
      <c r="G232" s="544" t="s">
        <v>1186</v>
      </c>
      <c r="H232" s="544" t="s">
        <v>1187</v>
      </c>
      <c r="I232" s="544">
        <v>3</v>
      </c>
      <c r="J232" s="544" t="s">
        <v>475</v>
      </c>
      <c r="K232" s="544">
        <f>SUMIF('CF.1'!$D:$D,CFS!G232,'CF.1'!$X:$X)</f>
        <v>-4117746</v>
      </c>
      <c r="L232" s="544">
        <f t="shared" si="21"/>
        <v>-4117746</v>
      </c>
      <c r="M232" s="547">
        <f t="shared" si="20"/>
        <v>0</v>
      </c>
      <c r="O232" s="177"/>
      <c r="P232" s="544"/>
      <c r="Q232" s="545"/>
    </row>
    <row r="233" spans="4:17" ht="18" customHeight="1">
      <c r="D233" s="546">
        <v>2019</v>
      </c>
      <c r="E233" s="544">
        <v>12</v>
      </c>
      <c r="F233" s="544" t="s">
        <v>637</v>
      </c>
      <c r="G233" s="544" t="s">
        <v>1188</v>
      </c>
      <c r="H233" s="544" t="s">
        <v>1189</v>
      </c>
      <c r="I233" s="544">
        <v>3</v>
      </c>
      <c r="J233" s="544" t="s">
        <v>475</v>
      </c>
      <c r="K233" s="544">
        <f>SUMIF('CF.1'!$D:$D,CFS!G233,'CF.1'!$X:$X)</f>
        <v>0</v>
      </c>
      <c r="L233" s="544">
        <f t="shared" si="21"/>
        <v>0</v>
      </c>
      <c r="M233" s="547">
        <f t="shared" si="20"/>
        <v>0</v>
      </c>
      <c r="O233" s="177"/>
      <c r="P233" s="544"/>
      <c r="Q233" s="545"/>
    </row>
    <row r="234" spans="4:17" ht="18" customHeight="1">
      <c r="D234" s="546">
        <v>2019</v>
      </c>
      <c r="E234" s="544">
        <v>12</v>
      </c>
      <c r="F234" s="544" t="s">
        <v>637</v>
      </c>
      <c r="G234" s="544" t="s">
        <v>1190</v>
      </c>
      <c r="H234" s="544" t="s">
        <v>1584</v>
      </c>
      <c r="I234" s="544">
        <v>3</v>
      </c>
      <c r="J234" s="544" t="s">
        <v>475</v>
      </c>
      <c r="K234" s="544">
        <f>SUMIF('CF.1'!$D:$D,CFS!G234,'CF.1'!$X:$X)</f>
        <v>-943534271</v>
      </c>
      <c r="L234" s="544">
        <f t="shared" si="21"/>
        <v>-943534271</v>
      </c>
      <c r="M234" s="547">
        <f t="shared" si="20"/>
        <v>0</v>
      </c>
      <c r="O234" s="177"/>
      <c r="P234" s="544"/>
      <c r="Q234" s="545"/>
    </row>
    <row r="235" spans="4:17" ht="18" customHeight="1">
      <c r="D235" s="546">
        <v>2019</v>
      </c>
      <c r="E235" s="544">
        <v>12</v>
      </c>
      <c r="F235" s="544" t="s">
        <v>637</v>
      </c>
      <c r="G235" s="544" t="s">
        <v>1191</v>
      </c>
      <c r="H235" s="544" t="s">
        <v>1192</v>
      </c>
      <c r="I235" s="544">
        <v>3</v>
      </c>
      <c r="J235" s="544" t="s">
        <v>475</v>
      </c>
      <c r="K235" s="544">
        <f>SUMIF('CF.1'!$D:$D,CFS!G235,'CF.1'!$X:$X)</f>
        <v>0</v>
      </c>
      <c r="L235" s="544">
        <f t="shared" si="21"/>
        <v>0</v>
      </c>
      <c r="M235" s="547">
        <f t="shared" si="20"/>
        <v>0</v>
      </c>
      <c r="O235" s="177"/>
      <c r="P235" s="544"/>
      <c r="Q235" s="545"/>
    </row>
    <row r="236" spans="4:17" ht="18" customHeight="1">
      <c r="D236" s="546">
        <v>2019</v>
      </c>
      <c r="E236" s="544">
        <v>12</v>
      </c>
      <c r="F236" s="544" t="s">
        <v>637</v>
      </c>
      <c r="G236" s="544" t="s">
        <v>1193</v>
      </c>
      <c r="H236" s="544" t="s">
        <v>1194</v>
      </c>
      <c r="I236" s="544">
        <v>3</v>
      </c>
      <c r="J236" s="544" t="s">
        <v>475</v>
      </c>
      <c r="K236" s="544">
        <f>SUMIF('CF.1'!$D:$D,CFS!G236,'CF.1'!$X:$X)</f>
        <v>0</v>
      </c>
      <c r="L236" s="544">
        <f t="shared" si="21"/>
        <v>0</v>
      </c>
      <c r="M236" s="547">
        <f t="shared" si="20"/>
        <v>0</v>
      </c>
      <c r="O236" s="177"/>
      <c r="P236" s="544"/>
      <c r="Q236" s="545"/>
    </row>
    <row r="237" spans="4:17" ht="18" customHeight="1">
      <c r="D237" s="546">
        <v>2019</v>
      </c>
      <c r="E237" s="544">
        <v>12</v>
      </c>
      <c r="F237" s="544" t="s">
        <v>637</v>
      </c>
      <c r="G237" s="544" t="s">
        <v>1195</v>
      </c>
      <c r="H237" s="544" t="s">
        <v>1196</v>
      </c>
      <c r="I237" s="544">
        <v>3</v>
      </c>
      <c r="J237" s="544" t="s">
        <v>475</v>
      </c>
      <c r="K237" s="544">
        <f>SUMIF('CF.1'!$D:$D,CFS!G237,'CF.1'!$X:$X)</f>
        <v>0</v>
      </c>
      <c r="L237" s="544">
        <f t="shared" si="21"/>
        <v>0</v>
      </c>
      <c r="M237" s="547">
        <f t="shared" si="20"/>
        <v>0</v>
      </c>
      <c r="O237" s="177"/>
      <c r="P237" s="544"/>
      <c r="Q237" s="545"/>
    </row>
    <row r="238" spans="4:17" ht="18" customHeight="1">
      <c r="D238" s="546">
        <v>2019</v>
      </c>
      <c r="E238" s="544">
        <v>12</v>
      </c>
      <c r="F238" s="544" t="s">
        <v>637</v>
      </c>
      <c r="G238" s="544" t="s">
        <v>1197</v>
      </c>
      <c r="H238" s="544" t="s">
        <v>1198</v>
      </c>
      <c r="I238" s="544">
        <v>3</v>
      </c>
      <c r="J238" s="544" t="s">
        <v>475</v>
      </c>
      <c r="K238" s="544">
        <f>SUMIF('CF.1'!$D:$D,CFS!G238,'CF.1'!$X:$X)</f>
        <v>0</v>
      </c>
      <c r="L238" s="544">
        <f t="shared" si="21"/>
        <v>0</v>
      </c>
      <c r="M238" s="547">
        <f t="shared" si="20"/>
        <v>0</v>
      </c>
      <c r="O238" s="177"/>
      <c r="P238" s="544"/>
      <c r="Q238" s="545"/>
    </row>
    <row r="239" spans="4:17" ht="18" customHeight="1">
      <c r="D239" s="546">
        <v>2019</v>
      </c>
      <c r="E239" s="544">
        <v>12</v>
      </c>
      <c r="F239" s="544" t="s">
        <v>637</v>
      </c>
      <c r="G239" s="544" t="s">
        <v>1199</v>
      </c>
      <c r="H239" s="544" t="s">
        <v>1200</v>
      </c>
      <c r="I239" s="544">
        <v>3</v>
      </c>
      <c r="J239" s="544" t="s">
        <v>475</v>
      </c>
      <c r="K239" s="544">
        <f>SUMIF('CF.1'!$D:$D,CFS!G239,'CF.1'!$X:$X)</f>
        <v>-885108119</v>
      </c>
      <c r="L239" s="544">
        <f t="shared" si="21"/>
        <v>-885108119</v>
      </c>
      <c r="M239" s="547">
        <f t="shared" si="20"/>
        <v>0</v>
      </c>
      <c r="O239" s="177"/>
      <c r="P239" s="544"/>
      <c r="Q239" s="545"/>
    </row>
    <row r="240" spans="4:17" ht="18" customHeight="1">
      <c r="D240" s="546">
        <v>2019</v>
      </c>
      <c r="E240" s="544">
        <v>12</v>
      </c>
      <c r="F240" s="544" t="s">
        <v>637</v>
      </c>
      <c r="G240" s="544" t="s">
        <v>1201</v>
      </c>
      <c r="H240" s="544" t="s">
        <v>1202</v>
      </c>
      <c r="I240" s="544">
        <v>3</v>
      </c>
      <c r="J240" s="544" t="s">
        <v>475</v>
      </c>
      <c r="K240" s="544">
        <f>SUMIF('CF.1'!$D:$D,CFS!G240,'CF.1'!$X:$X)</f>
        <v>0</v>
      </c>
      <c r="L240" s="544">
        <f t="shared" si="21"/>
        <v>0</v>
      </c>
      <c r="M240" s="547">
        <f t="shared" si="20"/>
        <v>0</v>
      </c>
      <c r="O240" s="177"/>
      <c r="P240" s="544"/>
      <c r="Q240" s="545"/>
    </row>
    <row r="241" spans="4:17" ht="18" customHeight="1">
      <c r="D241" s="546">
        <v>2019</v>
      </c>
      <c r="E241" s="544">
        <v>12</v>
      </c>
      <c r="F241" s="544" t="s">
        <v>637</v>
      </c>
      <c r="G241" s="544" t="s">
        <v>1203</v>
      </c>
      <c r="H241" s="544" t="s">
        <v>1204</v>
      </c>
      <c r="I241" s="544">
        <v>3</v>
      </c>
      <c r="J241" s="544" t="s">
        <v>475</v>
      </c>
      <c r="K241" s="544">
        <f>SUMIF('CF.1'!$D:$D,CFS!G241,'CF.1'!$X:$X)</f>
        <v>0</v>
      </c>
      <c r="L241" s="544">
        <f t="shared" si="21"/>
        <v>0</v>
      </c>
      <c r="M241" s="547">
        <f t="shared" si="20"/>
        <v>0</v>
      </c>
      <c r="O241" s="177"/>
      <c r="P241" s="544"/>
      <c r="Q241" s="545"/>
    </row>
    <row r="242" spans="4:17" ht="18" customHeight="1">
      <c r="D242" s="546">
        <v>2019</v>
      </c>
      <c r="E242" s="544">
        <v>12</v>
      </c>
      <c r="F242" s="544" t="s">
        <v>637</v>
      </c>
      <c r="G242" s="544" t="s">
        <v>1205</v>
      </c>
      <c r="H242" s="544" t="s">
        <v>1206</v>
      </c>
      <c r="I242" s="544">
        <v>3</v>
      </c>
      <c r="J242" s="544" t="s">
        <v>475</v>
      </c>
      <c r="K242" s="544">
        <f>SUMIF('CF.1'!$D:$D,CFS!G242,'CF.1'!$X:$X)</f>
        <v>0</v>
      </c>
      <c r="L242" s="544">
        <f t="shared" si="21"/>
        <v>0</v>
      </c>
      <c r="M242" s="547">
        <f t="shared" si="20"/>
        <v>0</v>
      </c>
      <c r="O242" s="177"/>
      <c r="P242" s="544"/>
      <c r="Q242" s="545"/>
    </row>
    <row r="243" spans="4:17" ht="18" customHeight="1">
      <c r="D243" s="546">
        <v>2019</v>
      </c>
      <c r="E243" s="544">
        <v>12</v>
      </c>
      <c r="F243" s="544" t="s">
        <v>637</v>
      </c>
      <c r="G243" s="544" t="s">
        <v>1207</v>
      </c>
      <c r="H243" s="544" t="s">
        <v>1208</v>
      </c>
      <c r="I243" s="544">
        <v>3</v>
      </c>
      <c r="J243" s="544" t="s">
        <v>475</v>
      </c>
      <c r="K243" s="544">
        <f>SUMIF('CF.1'!$D:$D,CFS!G243,'CF.1'!$X:$X)</f>
        <v>-301017327</v>
      </c>
      <c r="L243" s="544">
        <f t="shared" si="21"/>
        <v>-301017327</v>
      </c>
      <c r="M243" s="547">
        <f t="shared" si="20"/>
        <v>0</v>
      </c>
      <c r="O243" s="177"/>
      <c r="P243" s="544"/>
      <c r="Q243" s="545"/>
    </row>
    <row r="244" spans="4:17" ht="18" customHeight="1">
      <c r="D244" s="546">
        <v>2019</v>
      </c>
      <c r="E244" s="544">
        <v>12</v>
      </c>
      <c r="F244" s="544" t="s">
        <v>637</v>
      </c>
      <c r="G244" s="544" t="s">
        <v>1209</v>
      </c>
      <c r="H244" s="544" t="s">
        <v>1210</v>
      </c>
      <c r="I244" s="544">
        <v>3</v>
      </c>
      <c r="J244" s="544" t="s">
        <v>475</v>
      </c>
      <c r="K244" s="544">
        <f>SUMIF('CF.1'!$D:$D,CFS!G244,'CF.1'!$X:$X)</f>
        <v>0</v>
      </c>
      <c r="L244" s="544">
        <f t="shared" si="21"/>
        <v>0</v>
      </c>
      <c r="M244" s="547">
        <f t="shared" si="20"/>
        <v>0</v>
      </c>
      <c r="O244" s="177"/>
      <c r="P244" s="544"/>
      <c r="Q244" s="545"/>
    </row>
    <row r="245" spans="4:17" ht="18" customHeight="1">
      <c r="D245" s="546">
        <v>2019</v>
      </c>
      <c r="E245" s="544">
        <v>12</v>
      </c>
      <c r="F245" s="544" t="s">
        <v>637</v>
      </c>
      <c r="G245" s="544" t="s">
        <v>1211</v>
      </c>
      <c r="H245" s="544" t="s">
        <v>1212</v>
      </c>
      <c r="I245" s="544">
        <v>3</v>
      </c>
      <c r="J245" s="544" t="s">
        <v>475</v>
      </c>
      <c r="K245" s="544">
        <f>SUMIF('CF.1'!$D:$D,CFS!G245,'CF.1'!$X:$X)</f>
        <v>0</v>
      </c>
      <c r="L245" s="544">
        <f t="shared" si="21"/>
        <v>0</v>
      </c>
      <c r="M245" s="547">
        <f t="shared" si="20"/>
        <v>0</v>
      </c>
      <c r="O245" s="177"/>
      <c r="P245" s="544"/>
      <c r="Q245" s="545"/>
    </row>
    <row r="246" spans="4:17" ht="18" customHeight="1">
      <c r="D246" s="546">
        <v>2019</v>
      </c>
      <c r="E246" s="544">
        <v>12</v>
      </c>
      <c r="F246" s="544" t="s">
        <v>637</v>
      </c>
      <c r="G246" s="544" t="s">
        <v>1213</v>
      </c>
      <c r="H246" s="544" t="s">
        <v>1214</v>
      </c>
      <c r="I246" s="544">
        <v>3</v>
      </c>
      <c r="J246" s="544" t="s">
        <v>475</v>
      </c>
      <c r="K246" s="544">
        <f>SUMIF('CF.1'!$D:$D,CFS!G246,'CF.1'!$X:$X)</f>
        <v>0</v>
      </c>
      <c r="L246" s="544">
        <f t="shared" si="21"/>
        <v>0</v>
      </c>
      <c r="M246" s="547">
        <f t="shared" si="20"/>
        <v>0</v>
      </c>
      <c r="O246" s="177"/>
      <c r="P246" s="544"/>
      <c r="Q246" s="545"/>
    </row>
    <row r="247" spans="4:17" ht="18" customHeight="1">
      <c r="D247" s="546">
        <v>2019</v>
      </c>
      <c r="E247" s="544">
        <v>12</v>
      </c>
      <c r="F247" s="544" t="s">
        <v>637</v>
      </c>
      <c r="G247" s="544" t="s">
        <v>1215</v>
      </c>
      <c r="H247" s="544" t="s">
        <v>1216</v>
      </c>
      <c r="I247" s="544">
        <v>3</v>
      </c>
      <c r="J247" s="544" t="s">
        <v>475</v>
      </c>
      <c r="K247" s="544">
        <f>SUMIF('CF.1'!$D:$D,CFS!G247,'CF.1'!$X:$X)</f>
        <v>-3518505485</v>
      </c>
      <c r="L247" s="544">
        <f t="shared" si="21"/>
        <v>-3518505485</v>
      </c>
      <c r="M247" s="547">
        <f t="shared" si="20"/>
        <v>0</v>
      </c>
      <c r="O247" s="177"/>
      <c r="P247" s="544"/>
      <c r="Q247" s="545"/>
    </row>
    <row r="248" spans="4:17" ht="18" customHeight="1">
      <c r="D248" s="546">
        <v>2019</v>
      </c>
      <c r="E248" s="544">
        <v>12</v>
      </c>
      <c r="F248" s="544" t="s">
        <v>637</v>
      </c>
      <c r="G248" s="544" t="s">
        <v>1217</v>
      </c>
      <c r="H248" s="544" t="s">
        <v>1218</v>
      </c>
      <c r="I248" s="544">
        <v>3</v>
      </c>
      <c r="J248" s="544" t="s">
        <v>475</v>
      </c>
      <c r="K248" s="544">
        <f>SUMIF('CF.1'!$D:$D,CFS!G248,'CF.1'!$X:$X)</f>
        <v>0</v>
      </c>
      <c r="L248" s="544">
        <f t="shared" si="21"/>
        <v>0</v>
      </c>
      <c r="M248" s="547">
        <f t="shared" si="20"/>
        <v>0</v>
      </c>
      <c r="O248" s="177"/>
      <c r="P248" s="544"/>
      <c r="Q248" s="545"/>
    </row>
    <row r="249" spans="4:17" ht="18" customHeight="1">
      <c r="D249" s="546">
        <v>2019</v>
      </c>
      <c r="E249" s="544">
        <v>12</v>
      </c>
      <c r="F249" s="544" t="s">
        <v>637</v>
      </c>
      <c r="G249" s="544" t="s">
        <v>1219</v>
      </c>
      <c r="H249" s="544" t="s">
        <v>1220</v>
      </c>
      <c r="I249" s="544">
        <v>3</v>
      </c>
      <c r="J249" s="544" t="s">
        <v>475</v>
      </c>
      <c r="K249" s="544">
        <f>SUMIF('CF.1'!$D:$D,CFS!G249,'CF.1'!$X:$X)</f>
        <v>0</v>
      </c>
      <c r="L249" s="544">
        <f t="shared" si="21"/>
        <v>0</v>
      </c>
      <c r="M249" s="547">
        <f t="shared" si="20"/>
        <v>0</v>
      </c>
      <c r="O249" s="177"/>
      <c r="P249" s="544"/>
      <c r="Q249" s="545"/>
    </row>
    <row r="250" spans="4:17" ht="18" customHeight="1">
      <c r="D250" s="546">
        <v>2019</v>
      </c>
      <c r="E250" s="544">
        <v>12</v>
      </c>
      <c r="F250" s="544" t="s">
        <v>637</v>
      </c>
      <c r="G250" s="544" t="s">
        <v>1221</v>
      </c>
      <c r="H250" s="544" t="s">
        <v>1585</v>
      </c>
      <c r="I250" s="544">
        <v>3</v>
      </c>
      <c r="J250" s="544" t="s">
        <v>475</v>
      </c>
      <c r="K250" s="544">
        <f>SUMIF('CF.1'!$D:$D,CFS!G250,'CF.1'!$X:$X)</f>
        <v>0</v>
      </c>
      <c r="L250" s="544">
        <f t="shared" si="21"/>
        <v>0</v>
      </c>
      <c r="M250" s="547">
        <f t="shared" si="20"/>
        <v>0</v>
      </c>
      <c r="O250" s="177"/>
      <c r="P250" s="544"/>
      <c r="Q250" s="545"/>
    </row>
    <row r="251" spans="4:17" ht="18" customHeight="1">
      <c r="D251" s="546">
        <v>2019</v>
      </c>
      <c r="E251" s="544">
        <v>12</v>
      </c>
      <c r="F251" s="544" t="s">
        <v>637</v>
      </c>
      <c r="G251" s="544" t="s">
        <v>1223</v>
      </c>
      <c r="H251" s="544" t="s">
        <v>1224</v>
      </c>
      <c r="I251" s="544">
        <v>3</v>
      </c>
      <c r="J251" s="544" t="s">
        <v>475</v>
      </c>
      <c r="K251" s="544">
        <f>SUMIF('CF.1'!$D:$D,CFS!G251,'CF.1'!$X:$X)</f>
        <v>0</v>
      </c>
      <c r="L251" s="544">
        <f t="shared" si="21"/>
        <v>0</v>
      </c>
      <c r="M251" s="547">
        <f t="shared" si="20"/>
        <v>0</v>
      </c>
      <c r="O251" s="177"/>
      <c r="P251" s="544"/>
      <c r="Q251" s="545"/>
    </row>
    <row r="252" spans="4:17" ht="18" customHeight="1">
      <c r="D252" s="546">
        <v>2019</v>
      </c>
      <c r="E252" s="544">
        <v>12</v>
      </c>
      <c r="F252" s="544" t="s">
        <v>637</v>
      </c>
      <c r="G252" s="544" t="s">
        <v>1225</v>
      </c>
      <c r="H252" s="544" t="s">
        <v>1226</v>
      </c>
      <c r="I252" s="544">
        <v>3</v>
      </c>
      <c r="J252" s="544" t="s">
        <v>475</v>
      </c>
      <c r="K252" s="544">
        <f>SUMIF('CF.1'!$D:$D,CFS!G252,'CF.1'!$X:$X)</f>
        <v>-800000000</v>
      </c>
      <c r="L252" s="544">
        <f t="shared" si="21"/>
        <v>-800000000</v>
      </c>
      <c r="M252" s="547">
        <f t="shared" si="20"/>
        <v>0</v>
      </c>
      <c r="O252" s="177"/>
      <c r="P252" s="544"/>
      <c r="Q252" s="545"/>
    </row>
    <row r="253" spans="4:17" ht="18" customHeight="1">
      <c r="D253" s="546">
        <v>2019</v>
      </c>
      <c r="E253" s="544">
        <v>12</v>
      </c>
      <c r="F253" s="544" t="s">
        <v>637</v>
      </c>
      <c r="G253" s="544" t="s">
        <v>1227</v>
      </c>
      <c r="H253" s="544" t="s">
        <v>1228</v>
      </c>
      <c r="I253" s="544">
        <v>3</v>
      </c>
      <c r="J253" s="544" t="s">
        <v>475</v>
      </c>
      <c r="K253" s="544">
        <f>SUMIF('CF.1'!$D:$D,CFS!G253,'CF.1'!$X:$X)</f>
        <v>0</v>
      </c>
      <c r="L253" s="544">
        <f t="shared" si="21"/>
        <v>0</v>
      </c>
      <c r="M253" s="547">
        <f t="shared" si="20"/>
        <v>0</v>
      </c>
      <c r="O253" s="177"/>
      <c r="P253" s="544"/>
      <c r="Q253" s="545"/>
    </row>
    <row r="254" spans="4:17" ht="18" customHeight="1">
      <c r="D254" s="546">
        <v>2019</v>
      </c>
      <c r="E254" s="544">
        <v>12</v>
      </c>
      <c r="F254" s="544" t="s">
        <v>637</v>
      </c>
      <c r="G254" s="544" t="s">
        <v>1229</v>
      </c>
      <c r="H254" s="544" t="s">
        <v>1230</v>
      </c>
      <c r="I254" s="544">
        <v>3</v>
      </c>
      <c r="J254" s="544" t="s">
        <v>475</v>
      </c>
      <c r="K254" s="544">
        <f>SUMIF('CF.1'!$D:$D,CFS!G254,'CF.1'!$X:$X)</f>
        <v>0</v>
      </c>
      <c r="L254" s="544">
        <f t="shared" si="21"/>
        <v>0</v>
      </c>
      <c r="M254" s="547">
        <f t="shared" si="20"/>
        <v>0</v>
      </c>
      <c r="O254" s="177"/>
      <c r="P254" s="544"/>
      <c r="Q254" s="545"/>
    </row>
    <row r="255" spans="4:17" ht="18" customHeight="1">
      <c r="D255" s="546">
        <v>2019</v>
      </c>
      <c r="E255" s="544">
        <v>12</v>
      </c>
      <c r="F255" s="544" t="s">
        <v>637</v>
      </c>
      <c r="G255" s="544" t="s">
        <v>1239</v>
      </c>
      <c r="H255" s="544" t="s">
        <v>1240</v>
      </c>
      <c r="I255" s="544">
        <v>3</v>
      </c>
      <c r="J255" s="544" t="s">
        <v>475</v>
      </c>
      <c r="K255" s="544">
        <f>SUMIF('CF.1'!$D:$D,CFS!G255,'CF.1'!$X:$X)</f>
        <v>0</v>
      </c>
      <c r="L255" s="544">
        <f t="shared" si="21"/>
        <v>0</v>
      </c>
      <c r="M255" s="547">
        <f t="shared" si="20"/>
        <v>0</v>
      </c>
      <c r="O255" s="177"/>
      <c r="P255" s="544"/>
      <c r="Q255" s="545"/>
    </row>
    <row r="256" spans="4:17" ht="18" customHeight="1">
      <c r="D256" s="541">
        <v>2019</v>
      </c>
      <c r="E256" s="542">
        <v>12</v>
      </c>
      <c r="F256" s="542" t="s">
        <v>637</v>
      </c>
      <c r="G256" s="542" t="s">
        <v>1241</v>
      </c>
      <c r="H256" s="542" t="s">
        <v>1242</v>
      </c>
      <c r="I256" s="542">
        <v>1</v>
      </c>
      <c r="J256" s="542" t="s">
        <v>475</v>
      </c>
      <c r="K256" s="542">
        <f>K257+K278</f>
        <v>-2965409032</v>
      </c>
      <c r="L256" s="542">
        <f t="shared" ref="L256:M256" si="22">L257+L278</f>
        <v>-2965409032</v>
      </c>
      <c r="M256" s="543">
        <f t="shared" si="22"/>
        <v>0</v>
      </c>
      <c r="O256" s="177"/>
      <c r="P256" s="544"/>
      <c r="Q256" s="545"/>
    </row>
    <row r="257" spans="4:17" ht="18" customHeight="1">
      <c r="D257" s="541">
        <v>2019</v>
      </c>
      <c r="E257" s="542">
        <v>12</v>
      </c>
      <c r="F257" s="542" t="s">
        <v>637</v>
      </c>
      <c r="G257" s="542" t="s">
        <v>1243</v>
      </c>
      <c r="H257" s="542" t="s">
        <v>1244</v>
      </c>
      <c r="I257" s="542">
        <v>2</v>
      </c>
      <c r="J257" s="542" t="s">
        <v>475</v>
      </c>
      <c r="K257" s="542">
        <f>SUM(K258:K277)</f>
        <v>0</v>
      </c>
      <c r="L257" s="542">
        <f t="shared" ref="L257:M257" si="23">SUM(L258:L277)</f>
        <v>0</v>
      </c>
      <c r="M257" s="543">
        <f t="shared" si="23"/>
        <v>0</v>
      </c>
      <c r="O257" s="177"/>
      <c r="P257" s="544"/>
      <c r="Q257" s="545"/>
    </row>
    <row r="258" spans="4:17" ht="18" customHeight="1">
      <c r="D258" s="546">
        <v>2019</v>
      </c>
      <c r="E258" s="544">
        <v>12</v>
      </c>
      <c r="F258" s="544" t="s">
        <v>637</v>
      </c>
      <c r="G258" s="544" t="s">
        <v>1245</v>
      </c>
      <c r="H258" s="544" t="s">
        <v>1246</v>
      </c>
      <c r="I258" s="544">
        <v>3</v>
      </c>
      <c r="J258" s="544" t="s">
        <v>475</v>
      </c>
      <c r="K258" s="544">
        <f>SUMIF('CF.1'!$D:$D,CFS!G258,'CF.1'!$X:$X)</f>
        <v>0</v>
      </c>
      <c r="L258" s="544">
        <f t="shared" ref="L258:L277" si="24">K258</f>
        <v>0</v>
      </c>
      <c r="M258" s="547">
        <f t="shared" ref="M258:M277" si="25">L258-K258</f>
        <v>0</v>
      </c>
      <c r="O258" s="177"/>
      <c r="P258" s="544"/>
      <c r="Q258" s="545"/>
    </row>
    <row r="259" spans="4:17" ht="18" customHeight="1">
      <c r="D259" s="546">
        <v>2019</v>
      </c>
      <c r="E259" s="544">
        <v>12</v>
      </c>
      <c r="F259" s="544" t="s">
        <v>637</v>
      </c>
      <c r="G259" s="544" t="s">
        <v>1247</v>
      </c>
      <c r="H259" s="544" t="s">
        <v>1248</v>
      </c>
      <c r="I259" s="544">
        <v>3</v>
      </c>
      <c r="J259" s="544" t="s">
        <v>475</v>
      </c>
      <c r="K259" s="544">
        <f>SUMIF('CF.1'!$D:$D,CFS!G259,'CF.1'!$X:$X)</f>
        <v>0</v>
      </c>
      <c r="L259" s="544">
        <f t="shared" si="24"/>
        <v>0</v>
      </c>
      <c r="M259" s="547">
        <f t="shared" si="25"/>
        <v>0</v>
      </c>
      <c r="O259" s="177"/>
      <c r="P259" s="544"/>
      <c r="Q259" s="545"/>
    </row>
    <row r="260" spans="4:17" ht="18" customHeight="1">
      <c r="D260" s="546">
        <v>2019</v>
      </c>
      <c r="E260" s="544">
        <v>12</v>
      </c>
      <c r="F260" s="544" t="s">
        <v>637</v>
      </c>
      <c r="G260" s="544" t="s">
        <v>1249</v>
      </c>
      <c r="H260" s="544" t="s">
        <v>1250</v>
      </c>
      <c r="I260" s="544">
        <v>3</v>
      </c>
      <c r="J260" s="544" t="s">
        <v>475</v>
      </c>
      <c r="K260" s="544">
        <f>SUMIF('CF.1'!$D:$D,CFS!G260,'CF.1'!$X:$X)</f>
        <v>0</v>
      </c>
      <c r="L260" s="544">
        <f t="shared" si="24"/>
        <v>0</v>
      </c>
      <c r="M260" s="547">
        <f t="shared" si="25"/>
        <v>0</v>
      </c>
      <c r="O260" s="177"/>
      <c r="P260" s="544"/>
      <c r="Q260" s="545"/>
    </row>
    <row r="261" spans="4:17" ht="18" customHeight="1">
      <c r="D261" s="546">
        <v>2019</v>
      </c>
      <c r="E261" s="544">
        <v>12</v>
      </c>
      <c r="F261" s="544" t="s">
        <v>637</v>
      </c>
      <c r="G261" s="544" t="s">
        <v>1251</v>
      </c>
      <c r="H261" s="544" t="s">
        <v>1252</v>
      </c>
      <c r="I261" s="544">
        <v>3</v>
      </c>
      <c r="J261" s="544" t="s">
        <v>475</v>
      </c>
      <c r="K261" s="544">
        <f>SUMIF('CF.1'!$D:$D,CFS!G261,'CF.1'!$X:$X)</f>
        <v>0</v>
      </c>
      <c r="L261" s="544">
        <f t="shared" si="24"/>
        <v>0</v>
      </c>
      <c r="M261" s="547">
        <f t="shared" si="25"/>
        <v>0</v>
      </c>
      <c r="O261" s="177"/>
      <c r="P261" s="544"/>
      <c r="Q261" s="545"/>
    </row>
    <row r="262" spans="4:17" ht="18" customHeight="1">
      <c r="D262" s="546">
        <v>2019</v>
      </c>
      <c r="E262" s="544">
        <v>12</v>
      </c>
      <c r="F262" s="544" t="s">
        <v>637</v>
      </c>
      <c r="G262" s="544" t="s">
        <v>1253</v>
      </c>
      <c r="H262" s="544" t="s">
        <v>1254</v>
      </c>
      <c r="I262" s="544">
        <v>3</v>
      </c>
      <c r="J262" s="544" t="s">
        <v>475</v>
      </c>
      <c r="K262" s="544">
        <f>SUMIF('CF.1'!$D:$D,CFS!G262,'CF.1'!$X:$X)</f>
        <v>0</v>
      </c>
      <c r="L262" s="544">
        <f t="shared" si="24"/>
        <v>0</v>
      </c>
      <c r="M262" s="547">
        <f t="shared" si="25"/>
        <v>0</v>
      </c>
      <c r="O262" s="177"/>
      <c r="P262" s="544"/>
      <c r="Q262" s="545"/>
    </row>
    <row r="263" spans="4:17" ht="18" customHeight="1">
      <c r="D263" s="546">
        <v>2019</v>
      </c>
      <c r="E263" s="544">
        <v>12</v>
      </c>
      <c r="F263" s="544" t="s">
        <v>637</v>
      </c>
      <c r="G263" s="544" t="s">
        <v>1255</v>
      </c>
      <c r="H263" s="544" t="s">
        <v>1256</v>
      </c>
      <c r="I263" s="544">
        <v>3</v>
      </c>
      <c r="J263" s="544" t="s">
        <v>475</v>
      </c>
      <c r="K263" s="544">
        <f>SUMIF('CF.1'!$D:$D,CFS!G263,'CF.1'!$X:$X)</f>
        <v>0</v>
      </c>
      <c r="L263" s="544">
        <f t="shared" si="24"/>
        <v>0</v>
      </c>
      <c r="M263" s="547">
        <f t="shared" si="25"/>
        <v>0</v>
      </c>
      <c r="O263" s="177"/>
      <c r="P263" s="544"/>
      <c r="Q263" s="545"/>
    </row>
    <row r="264" spans="4:17" ht="18" customHeight="1">
      <c r="D264" s="546">
        <v>2019</v>
      </c>
      <c r="E264" s="544">
        <v>12</v>
      </c>
      <c r="F264" s="544" t="s">
        <v>637</v>
      </c>
      <c r="G264" s="544" t="s">
        <v>1257</v>
      </c>
      <c r="H264" s="544" t="s">
        <v>1258</v>
      </c>
      <c r="I264" s="544">
        <v>3</v>
      </c>
      <c r="J264" s="544" t="s">
        <v>475</v>
      </c>
      <c r="K264" s="544">
        <f>SUMIF('CF.1'!$D:$D,CFS!G264,'CF.1'!$X:$X)</f>
        <v>0</v>
      </c>
      <c r="L264" s="544">
        <f t="shared" si="24"/>
        <v>0</v>
      </c>
      <c r="M264" s="547">
        <f t="shared" si="25"/>
        <v>0</v>
      </c>
      <c r="O264" s="177"/>
      <c r="P264" s="544"/>
      <c r="Q264" s="545"/>
    </row>
    <row r="265" spans="4:17" ht="18" customHeight="1">
      <c r="D265" s="546">
        <v>2019</v>
      </c>
      <c r="E265" s="544">
        <v>12</v>
      </c>
      <c r="F265" s="544" t="s">
        <v>637</v>
      </c>
      <c r="G265" s="544" t="s">
        <v>1259</v>
      </c>
      <c r="H265" s="544" t="s">
        <v>1260</v>
      </c>
      <c r="I265" s="544">
        <v>3</v>
      </c>
      <c r="J265" s="544" t="s">
        <v>475</v>
      </c>
      <c r="K265" s="544">
        <f>SUMIF('CF.1'!$D:$D,CFS!G265,'CF.1'!$X:$X)</f>
        <v>0</v>
      </c>
      <c r="L265" s="544">
        <f t="shared" si="24"/>
        <v>0</v>
      </c>
      <c r="M265" s="547">
        <f t="shared" si="25"/>
        <v>0</v>
      </c>
      <c r="O265" s="177"/>
      <c r="P265" s="544"/>
      <c r="Q265" s="545"/>
    </row>
    <row r="266" spans="4:17" ht="18" customHeight="1">
      <c r="D266" s="546">
        <v>2019</v>
      </c>
      <c r="E266" s="544">
        <v>12</v>
      </c>
      <c r="F266" s="544" t="s">
        <v>637</v>
      </c>
      <c r="G266" s="544" t="s">
        <v>1261</v>
      </c>
      <c r="H266" s="544" t="s">
        <v>1262</v>
      </c>
      <c r="I266" s="544">
        <v>3</v>
      </c>
      <c r="J266" s="544" t="s">
        <v>475</v>
      </c>
      <c r="K266" s="544">
        <f>SUMIF('CF.1'!$D:$D,CFS!G266,'CF.1'!$X:$X)</f>
        <v>0</v>
      </c>
      <c r="L266" s="544">
        <f t="shared" si="24"/>
        <v>0</v>
      </c>
      <c r="M266" s="547">
        <f t="shared" si="25"/>
        <v>0</v>
      </c>
      <c r="O266" s="177"/>
      <c r="P266" s="544"/>
      <c r="Q266" s="545"/>
    </row>
    <row r="267" spans="4:17" ht="18" customHeight="1">
      <c r="D267" s="546">
        <v>2019</v>
      </c>
      <c r="E267" s="544">
        <v>12</v>
      </c>
      <c r="F267" s="544" t="s">
        <v>637</v>
      </c>
      <c r="G267" s="544" t="s">
        <v>1263</v>
      </c>
      <c r="H267" s="544" t="s">
        <v>1038</v>
      </c>
      <c r="I267" s="544">
        <v>3</v>
      </c>
      <c r="J267" s="544" t="s">
        <v>475</v>
      </c>
      <c r="K267" s="544">
        <f>SUMIF('CF.1'!$D:$D,CFS!G267,'CF.1'!$X:$X)</f>
        <v>0</v>
      </c>
      <c r="L267" s="544">
        <f t="shared" si="24"/>
        <v>0</v>
      </c>
      <c r="M267" s="547">
        <f t="shared" si="25"/>
        <v>0</v>
      </c>
      <c r="O267" s="177"/>
      <c r="P267" s="544"/>
      <c r="Q267" s="545"/>
    </row>
    <row r="268" spans="4:17" ht="18" customHeight="1">
      <c r="D268" s="546">
        <v>2019</v>
      </c>
      <c r="E268" s="544">
        <v>12</v>
      </c>
      <c r="F268" s="544" t="s">
        <v>637</v>
      </c>
      <c r="G268" s="544" t="s">
        <v>1264</v>
      </c>
      <c r="H268" s="544" t="s">
        <v>1040</v>
      </c>
      <c r="I268" s="544">
        <v>3</v>
      </c>
      <c r="J268" s="544" t="s">
        <v>475</v>
      </c>
      <c r="K268" s="544">
        <f>SUMIF('CF.1'!$D:$D,CFS!G268,'CF.1'!$X:$X)</f>
        <v>0</v>
      </c>
      <c r="L268" s="544">
        <f t="shared" si="24"/>
        <v>0</v>
      </c>
      <c r="M268" s="547">
        <f t="shared" si="25"/>
        <v>0</v>
      </c>
      <c r="O268" s="177"/>
      <c r="P268" s="544"/>
      <c r="Q268" s="545"/>
    </row>
    <row r="269" spans="4:17" ht="18" customHeight="1">
      <c r="D269" s="546">
        <v>2019</v>
      </c>
      <c r="E269" s="544">
        <v>12</v>
      </c>
      <c r="F269" s="544" t="s">
        <v>637</v>
      </c>
      <c r="G269" s="544" t="s">
        <v>1265</v>
      </c>
      <c r="H269" s="544" t="s">
        <v>1266</v>
      </c>
      <c r="I269" s="544">
        <v>3</v>
      </c>
      <c r="J269" s="544" t="s">
        <v>475</v>
      </c>
      <c r="K269" s="544">
        <f>SUMIF('CF.1'!$D:$D,CFS!G269,'CF.1'!$X:$X)</f>
        <v>0</v>
      </c>
      <c r="L269" s="544">
        <f t="shared" si="24"/>
        <v>0</v>
      </c>
      <c r="M269" s="547">
        <f t="shared" si="25"/>
        <v>0</v>
      </c>
      <c r="O269" s="177"/>
      <c r="P269" s="544"/>
      <c r="Q269" s="545"/>
    </row>
    <row r="270" spans="4:17" ht="18" customHeight="1">
      <c r="D270" s="546">
        <v>2019</v>
      </c>
      <c r="E270" s="544">
        <v>12</v>
      </c>
      <c r="F270" s="544" t="s">
        <v>637</v>
      </c>
      <c r="G270" s="544" t="s">
        <v>1267</v>
      </c>
      <c r="H270" s="544" t="s">
        <v>1268</v>
      </c>
      <c r="I270" s="544">
        <v>3</v>
      </c>
      <c r="J270" s="544" t="s">
        <v>475</v>
      </c>
      <c r="K270" s="544">
        <f>SUMIF('CF.1'!$D:$D,CFS!G270,'CF.1'!$X:$X)</f>
        <v>0</v>
      </c>
      <c r="L270" s="544">
        <f t="shared" si="24"/>
        <v>0</v>
      </c>
      <c r="M270" s="547">
        <f t="shared" si="25"/>
        <v>0</v>
      </c>
      <c r="O270" s="177"/>
      <c r="P270" s="544"/>
      <c r="Q270" s="545"/>
    </row>
    <row r="271" spans="4:17" ht="18" customHeight="1">
      <c r="D271" s="546">
        <v>2019</v>
      </c>
      <c r="E271" s="544">
        <v>12</v>
      </c>
      <c r="F271" s="544" t="s">
        <v>637</v>
      </c>
      <c r="G271" s="544" t="s">
        <v>1269</v>
      </c>
      <c r="H271" s="544" t="s">
        <v>1270</v>
      </c>
      <c r="I271" s="544">
        <v>3</v>
      </c>
      <c r="J271" s="544" t="s">
        <v>475</v>
      </c>
      <c r="K271" s="544">
        <f>SUMIF('CF.1'!$D:$D,CFS!G271,'CF.1'!$X:$X)</f>
        <v>0</v>
      </c>
      <c r="L271" s="544">
        <f t="shared" si="24"/>
        <v>0</v>
      </c>
      <c r="M271" s="547">
        <f t="shared" si="25"/>
        <v>0</v>
      </c>
      <c r="O271" s="177"/>
      <c r="P271" s="544"/>
      <c r="Q271" s="545"/>
    </row>
    <row r="272" spans="4:17" ht="18" customHeight="1">
      <c r="D272" s="546">
        <v>2019</v>
      </c>
      <c r="E272" s="544">
        <v>12</v>
      </c>
      <c r="F272" s="544" t="s">
        <v>637</v>
      </c>
      <c r="G272" s="544" t="s">
        <v>1271</v>
      </c>
      <c r="H272" s="544" t="s">
        <v>1272</v>
      </c>
      <c r="I272" s="544">
        <v>3</v>
      </c>
      <c r="J272" s="544" t="s">
        <v>475</v>
      </c>
      <c r="K272" s="544">
        <f>SUMIF('CF.1'!$D:$D,CFS!G272,'CF.1'!$X:$X)</f>
        <v>0</v>
      </c>
      <c r="L272" s="544">
        <f t="shared" si="24"/>
        <v>0</v>
      </c>
      <c r="M272" s="547">
        <f t="shared" si="25"/>
        <v>0</v>
      </c>
      <c r="O272" s="177"/>
      <c r="P272" s="544"/>
      <c r="Q272" s="545"/>
    </row>
    <row r="273" spans="4:17" ht="18" customHeight="1">
      <c r="D273" s="546">
        <v>2019</v>
      </c>
      <c r="E273" s="544">
        <v>12</v>
      </c>
      <c r="F273" s="544" t="s">
        <v>637</v>
      </c>
      <c r="G273" s="544" t="s">
        <v>1273</v>
      </c>
      <c r="H273" s="544" t="s">
        <v>1274</v>
      </c>
      <c r="I273" s="544">
        <v>3</v>
      </c>
      <c r="J273" s="544" t="s">
        <v>475</v>
      </c>
      <c r="K273" s="544">
        <f>SUMIF('CF.1'!$D:$D,CFS!G273,'CF.1'!$X:$X)</f>
        <v>0</v>
      </c>
      <c r="L273" s="544">
        <f t="shared" si="24"/>
        <v>0</v>
      </c>
      <c r="M273" s="547">
        <f t="shared" si="25"/>
        <v>0</v>
      </c>
      <c r="O273" s="177"/>
      <c r="P273" s="544"/>
      <c r="Q273" s="545"/>
    </row>
    <row r="274" spans="4:17" ht="18" customHeight="1">
      <c r="D274" s="546">
        <v>2019</v>
      </c>
      <c r="E274" s="544">
        <v>12</v>
      </c>
      <c r="F274" s="544" t="s">
        <v>637</v>
      </c>
      <c r="G274" s="544" t="s">
        <v>1275</v>
      </c>
      <c r="H274" s="544" t="s">
        <v>1276</v>
      </c>
      <c r="I274" s="544">
        <v>3</v>
      </c>
      <c r="J274" s="544" t="s">
        <v>475</v>
      </c>
      <c r="K274" s="544">
        <f>SUMIF('CF.1'!$D:$D,CFS!G274,'CF.1'!$X:$X)</f>
        <v>0</v>
      </c>
      <c r="L274" s="544">
        <f t="shared" si="24"/>
        <v>0</v>
      </c>
      <c r="M274" s="547">
        <f t="shared" si="25"/>
        <v>0</v>
      </c>
      <c r="O274" s="177"/>
      <c r="P274" s="544"/>
      <c r="Q274" s="545"/>
    </row>
    <row r="275" spans="4:17" ht="18" customHeight="1">
      <c r="D275" s="546">
        <v>2019</v>
      </c>
      <c r="E275" s="544">
        <v>12</v>
      </c>
      <c r="F275" s="544" t="s">
        <v>637</v>
      </c>
      <c r="G275" s="544" t="s">
        <v>1277</v>
      </c>
      <c r="H275" s="544" t="s">
        <v>1278</v>
      </c>
      <c r="I275" s="544">
        <v>3</v>
      </c>
      <c r="J275" s="544" t="s">
        <v>475</v>
      </c>
      <c r="K275" s="544">
        <f>SUMIF('CF.1'!$D:$D,CFS!G275,'CF.1'!$X:$X)</f>
        <v>0</v>
      </c>
      <c r="L275" s="544">
        <f t="shared" si="24"/>
        <v>0</v>
      </c>
      <c r="M275" s="547">
        <f t="shared" si="25"/>
        <v>0</v>
      </c>
      <c r="O275" s="177"/>
      <c r="P275" s="544"/>
      <c r="Q275" s="545"/>
    </row>
    <row r="276" spans="4:17" ht="18" customHeight="1">
      <c r="D276" s="546">
        <v>2019</v>
      </c>
      <c r="E276" s="544">
        <v>12</v>
      </c>
      <c r="F276" s="544" t="s">
        <v>637</v>
      </c>
      <c r="G276" s="544" t="s">
        <v>1586</v>
      </c>
      <c r="H276" s="544" t="s">
        <v>1587</v>
      </c>
      <c r="I276" s="544">
        <v>3</v>
      </c>
      <c r="J276" s="544" t="s">
        <v>475</v>
      </c>
      <c r="K276" s="544">
        <f>SUMIF('CF.1'!$D:$D,CFS!G276,'CF.1'!$X:$X)</f>
        <v>0</v>
      </c>
      <c r="L276" s="544">
        <f t="shared" si="24"/>
        <v>0</v>
      </c>
      <c r="M276" s="547">
        <f t="shared" si="25"/>
        <v>0</v>
      </c>
      <c r="O276" s="177"/>
      <c r="P276" s="544"/>
      <c r="Q276" s="545"/>
    </row>
    <row r="277" spans="4:17" ht="18" customHeight="1">
      <c r="D277" s="546">
        <v>2019</v>
      </c>
      <c r="E277" s="544">
        <v>12</v>
      </c>
      <c r="F277" s="544" t="s">
        <v>637</v>
      </c>
      <c r="G277" s="544" t="s">
        <v>1283</v>
      </c>
      <c r="H277" s="544" t="s">
        <v>1284</v>
      </c>
      <c r="I277" s="544">
        <v>3</v>
      </c>
      <c r="J277" s="544" t="s">
        <v>475</v>
      </c>
      <c r="K277" s="544">
        <f>SUMIF('CF.1'!$D:$D,CFS!G277,'CF.1'!$X:$X)</f>
        <v>0</v>
      </c>
      <c r="L277" s="544">
        <f t="shared" si="24"/>
        <v>0</v>
      </c>
      <c r="M277" s="547">
        <f t="shared" si="25"/>
        <v>0</v>
      </c>
      <c r="O277" s="177"/>
      <c r="P277" s="544"/>
      <c r="Q277" s="545"/>
    </row>
    <row r="278" spans="4:17" ht="18" customHeight="1">
      <c r="D278" s="541">
        <v>2019</v>
      </c>
      <c r="E278" s="542">
        <v>12</v>
      </c>
      <c r="F278" s="542" t="s">
        <v>637</v>
      </c>
      <c r="G278" s="542" t="s">
        <v>1285</v>
      </c>
      <c r="H278" s="542" t="s">
        <v>1286</v>
      </c>
      <c r="I278" s="542">
        <v>2</v>
      </c>
      <c r="J278" s="542" t="s">
        <v>475</v>
      </c>
      <c r="K278" s="542">
        <f>SUM(K279:K296)</f>
        <v>-2965409032</v>
      </c>
      <c r="L278" s="542">
        <f t="shared" ref="L278:M278" si="26">SUM(L279:L296)</f>
        <v>-2965409032</v>
      </c>
      <c r="M278" s="543">
        <f t="shared" si="26"/>
        <v>0</v>
      </c>
      <c r="O278" s="177"/>
      <c r="P278" s="544"/>
      <c r="Q278" s="545"/>
    </row>
    <row r="279" spans="4:17" ht="18" customHeight="1">
      <c r="D279" s="546">
        <v>2019</v>
      </c>
      <c r="E279" s="544">
        <v>12</v>
      </c>
      <c r="F279" s="544" t="s">
        <v>637</v>
      </c>
      <c r="G279" s="544" t="s">
        <v>1287</v>
      </c>
      <c r="H279" s="544" t="s">
        <v>1288</v>
      </c>
      <c r="I279" s="544">
        <v>3</v>
      </c>
      <c r="J279" s="544" t="s">
        <v>475</v>
      </c>
      <c r="K279" s="544">
        <f>SUMIF('CF.1'!$D:$D,CFS!G279,'CF.1'!$X:$X)</f>
        <v>-465735790</v>
      </c>
      <c r="L279" s="544">
        <f t="shared" ref="L279:L296" si="27">K279</f>
        <v>-465735790</v>
      </c>
      <c r="M279" s="547">
        <f t="shared" ref="M279:M299" si="28">L279-K279</f>
        <v>0</v>
      </c>
      <c r="O279" s="177"/>
      <c r="P279" s="544"/>
      <c r="Q279" s="545"/>
    </row>
    <row r="280" spans="4:17" ht="18" customHeight="1">
      <c r="D280" s="546">
        <v>2019</v>
      </c>
      <c r="E280" s="544">
        <v>12</v>
      </c>
      <c r="F280" s="544" t="s">
        <v>637</v>
      </c>
      <c r="G280" s="544" t="s">
        <v>1289</v>
      </c>
      <c r="H280" s="544" t="s">
        <v>1290</v>
      </c>
      <c r="I280" s="544">
        <v>3</v>
      </c>
      <c r="J280" s="544" t="s">
        <v>475</v>
      </c>
      <c r="K280" s="544">
        <f>SUMIF('CF.1'!$D:$D,CFS!G280,'CF.1'!$X:$X)</f>
        <v>0</v>
      </c>
      <c r="L280" s="544">
        <f t="shared" si="27"/>
        <v>0</v>
      </c>
      <c r="M280" s="547">
        <f t="shared" si="28"/>
        <v>0</v>
      </c>
      <c r="O280" s="177"/>
      <c r="P280" s="544"/>
      <c r="Q280" s="545"/>
    </row>
    <row r="281" spans="4:17" ht="18" customHeight="1">
      <c r="D281" s="546">
        <v>2019</v>
      </c>
      <c r="E281" s="544">
        <v>12</v>
      </c>
      <c r="F281" s="544" t="s">
        <v>637</v>
      </c>
      <c r="G281" s="544" t="s">
        <v>1291</v>
      </c>
      <c r="H281" s="544" t="s">
        <v>1292</v>
      </c>
      <c r="I281" s="544">
        <v>3</v>
      </c>
      <c r="J281" s="544" t="s">
        <v>475</v>
      </c>
      <c r="K281" s="544">
        <f>SUMIF('CF.1'!$D:$D,CFS!G281,'CF.1'!$X:$X)</f>
        <v>0</v>
      </c>
      <c r="L281" s="544">
        <f t="shared" si="27"/>
        <v>0</v>
      </c>
      <c r="M281" s="547">
        <f t="shared" si="28"/>
        <v>0</v>
      </c>
      <c r="O281" s="177"/>
      <c r="P281" s="544"/>
      <c r="Q281" s="545"/>
    </row>
    <row r="282" spans="4:17" ht="18" customHeight="1">
      <c r="D282" s="546">
        <v>2019</v>
      </c>
      <c r="E282" s="544">
        <v>12</v>
      </c>
      <c r="F282" s="544" t="s">
        <v>637</v>
      </c>
      <c r="G282" s="544" t="s">
        <v>1293</v>
      </c>
      <c r="H282" s="544" t="s">
        <v>1294</v>
      </c>
      <c r="I282" s="544">
        <v>3</v>
      </c>
      <c r="J282" s="544" t="s">
        <v>475</v>
      </c>
      <c r="K282" s="544">
        <f>SUMIF('CF.1'!$D:$D,CFS!G282,'CF.1'!$X:$X)</f>
        <v>0</v>
      </c>
      <c r="L282" s="544">
        <f t="shared" si="27"/>
        <v>0</v>
      </c>
      <c r="M282" s="547">
        <f t="shared" si="28"/>
        <v>0</v>
      </c>
      <c r="O282" s="177"/>
      <c r="P282" s="544"/>
      <c r="Q282" s="545"/>
    </row>
    <row r="283" spans="4:17" ht="18" customHeight="1">
      <c r="D283" s="546">
        <v>2019</v>
      </c>
      <c r="E283" s="544">
        <v>12</v>
      </c>
      <c r="F283" s="544" t="s">
        <v>637</v>
      </c>
      <c r="G283" s="544" t="s">
        <v>1295</v>
      </c>
      <c r="H283" s="544" t="s">
        <v>1296</v>
      </c>
      <c r="I283" s="544">
        <v>3</v>
      </c>
      <c r="J283" s="544" t="s">
        <v>475</v>
      </c>
      <c r="K283" s="544">
        <f>SUMIF('CF.1'!$D:$D,CFS!G283,'CF.1'!$X:$X)</f>
        <v>0</v>
      </c>
      <c r="L283" s="544">
        <f t="shared" si="27"/>
        <v>0</v>
      </c>
      <c r="M283" s="547">
        <f t="shared" si="28"/>
        <v>0</v>
      </c>
      <c r="O283" s="177"/>
      <c r="P283" s="544"/>
      <c r="Q283" s="545"/>
    </row>
    <row r="284" spans="4:17" ht="18" customHeight="1">
      <c r="D284" s="546">
        <v>2019</v>
      </c>
      <c r="E284" s="544">
        <v>12</v>
      </c>
      <c r="F284" s="544" t="s">
        <v>637</v>
      </c>
      <c r="G284" s="544" t="s">
        <v>1297</v>
      </c>
      <c r="H284" s="544" t="s">
        <v>1298</v>
      </c>
      <c r="I284" s="544">
        <v>3</v>
      </c>
      <c r="J284" s="544" t="s">
        <v>475</v>
      </c>
      <c r="K284" s="544">
        <f>SUMIF('CF.1'!$D:$D,CFS!G284,'CF.1'!$X:$X)</f>
        <v>0</v>
      </c>
      <c r="L284" s="544">
        <f t="shared" si="27"/>
        <v>0</v>
      </c>
      <c r="M284" s="547">
        <f t="shared" si="28"/>
        <v>0</v>
      </c>
      <c r="O284" s="177"/>
      <c r="P284" s="544"/>
      <c r="Q284" s="545"/>
    </row>
    <row r="285" spans="4:17" ht="18" customHeight="1">
      <c r="D285" s="546">
        <v>2019</v>
      </c>
      <c r="E285" s="544">
        <v>12</v>
      </c>
      <c r="F285" s="544" t="s">
        <v>637</v>
      </c>
      <c r="G285" s="544" t="s">
        <v>1299</v>
      </c>
      <c r="H285" s="544" t="s">
        <v>1147</v>
      </c>
      <c r="I285" s="544">
        <v>3</v>
      </c>
      <c r="J285" s="544" t="s">
        <v>475</v>
      </c>
      <c r="K285" s="544">
        <f>SUMIF('CF.1'!$D:$D,CFS!G285,'CF.1'!$X:$X)</f>
        <v>0</v>
      </c>
      <c r="L285" s="544">
        <f t="shared" si="27"/>
        <v>0</v>
      </c>
      <c r="M285" s="547">
        <f t="shared" si="28"/>
        <v>0</v>
      </c>
      <c r="O285" s="177"/>
      <c r="P285" s="544"/>
      <c r="Q285" s="545"/>
    </row>
    <row r="286" spans="4:17" ht="18" customHeight="1">
      <c r="D286" s="546">
        <v>2019</v>
      </c>
      <c r="E286" s="544">
        <v>12</v>
      </c>
      <c r="F286" s="544" t="s">
        <v>637</v>
      </c>
      <c r="G286" s="544" t="s">
        <v>1300</v>
      </c>
      <c r="H286" s="544" t="s">
        <v>1149</v>
      </c>
      <c r="I286" s="544">
        <v>3</v>
      </c>
      <c r="J286" s="544" t="s">
        <v>475</v>
      </c>
      <c r="K286" s="544">
        <f>SUMIF('CF.1'!$D:$D,CFS!G286,'CF.1'!$X:$X)</f>
        <v>0</v>
      </c>
      <c r="L286" s="544">
        <f t="shared" si="27"/>
        <v>0</v>
      </c>
      <c r="M286" s="547">
        <f t="shared" si="28"/>
        <v>0</v>
      </c>
      <c r="O286" s="177"/>
      <c r="P286" s="544"/>
      <c r="Q286" s="545"/>
    </row>
    <row r="287" spans="4:17" ht="18" customHeight="1">
      <c r="D287" s="546">
        <v>2019</v>
      </c>
      <c r="E287" s="544">
        <v>12</v>
      </c>
      <c r="F287" s="544" t="s">
        <v>637</v>
      </c>
      <c r="G287" s="544" t="s">
        <v>1301</v>
      </c>
      <c r="H287" s="544" t="s">
        <v>1302</v>
      </c>
      <c r="I287" s="544">
        <v>3</v>
      </c>
      <c r="J287" s="36" t="s">
        <v>475</v>
      </c>
      <c r="K287" s="544">
        <f>SUMIF('CF.1'!$D:$D,CFS!G287,'CF.1'!$X:$X)</f>
        <v>0</v>
      </c>
      <c r="L287" s="544">
        <f t="shared" si="27"/>
        <v>0</v>
      </c>
      <c r="M287" s="547">
        <f t="shared" si="28"/>
        <v>0</v>
      </c>
      <c r="O287" s="177"/>
      <c r="P287" s="544"/>
      <c r="Q287" s="545"/>
    </row>
    <row r="288" spans="4:17" ht="18" customHeight="1">
      <c r="D288" s="546">
        <v>2019</v>
      </c>
      <c r="E288" s="544">
        <v>12</v>
      </c>
      <c r="F288" s="544" t="s">
        <v>637</v>
      </c>
      <c r="G288" s="544" t="s">
        <v>1303</v>
      </c>
      <c r="H288" s="544" t="s">
        <v>1304</v>
      </c>
      <c r="I288" s="544">
        <v>3</v>
      </c>
      <c r="J288" s="544" t="s">
        <v>475</v>
      </c>
      <c r="K288" s="544">
        <f>SUMIF('CF.1'!$D:$D,CFS!G288,'CF.1'!$X:$X)</f>
        <v>0</v>
      </c>
      <c r="L288" s="544">
        <f t="shared" si="27"/>
        <v>0</v>
      </c>
      <c r="M288" s="547">
        <f t="shared" si="28"/>
        <v>0</v>
      </c>
      <c r="O288" s="177"/>
      <c r="P288" s="544"/>
      <c r="Q288" s="545"/>
    </row>
    <row r="289" spans="4:17" ht="18" customHeight="1">
      <c r="D289" s="546">
        <v>2019</v>
      </c>
      <c r="E289" s="544">
        <v>12</v>
      </c>
      <c r="F289" s="544" t="s">
        <v>637</v>
      </c>
      <c r="G289" s="544" t="s">
        <v>1305</v>
      </c>
      <c r="H289" s="544" t="s">
        <v>1306</v>
      </c>
      <c r="I289" s="544">
        <v>3</v>
      </c>
      <c r="J289" s="544" t="s">
        <v>475</v>
      </c>
      <c r="K289" s="544">
        <f>SUMIF('CF.1'!$D:$D,CFS!G289,'CF.1'!$X:$X)</f>
        <v>0</v>
      </c>
      <c r="L289" s="544">
        <f t="shared" si="27"/>
        <v>0</v>
      </c>
      <c r="M289" s="547">
        <f t="shared" si="28"/>
        <v>0</v>
      </c>
      <c r="O289" s="177"/>
      <c r="P289" s="544"/>
      <c r="Q289" s="545"/>
    </row>
    <row r="290" spans="4:17" ht="18" customHeight="1">
      <c r="D290" s="546">
        <v>2019</v>
      </c>
      <c r="E290" s="544">
        <v>12</v>
      </c>
      <c r="F290" s="544" t="s">
        <v>637</v>
      </c>
      <c r="G290" s="544" t="s">
        <v>1307</v>
      </c>
      <c r="H290" s="544" t="s">
        <v>1588</v>
      </c>
      <c r="I290" s="544">
        <v>3</v>
      </c>
      <c r="J290" s="544" t="s">
        <v>475</v>
      </c>
      <c r="K290" s="544">
        <f>SUMIF('CF.1'!$D:$D,CFS!G290,'CF.1'!$X:$X)</f>
        <v>0</v>
      </c>
      <c r="L290" s="544">
        <f t="shared" si="27"/>
        <v>0</v>
      </c>
      <c r="M290" s="547">
        <f t="shared" si="28"/>
        <v>0</v>
      </c>
      <c r="O290" s="177"/>
      <c r="P290" s="544"/>
      <c r="Q290" s="545"/>
    </row>
    <row r="291" spans="4:17" ht="18" customHeight="1">
      <c r="D291" s="546">
        <v>2019</v>
      </c>
      <c r="E291" s="544">
        <v>12</v>
      </c>
      <c r="F291" s="544" t="s">
        <v>637</v>
      </c>
      <c r="G291" s="544" t="s">
        <v>1309</v>
      </c>
      <c r="H291" s="544" t="s">
        <v>1310</v>
      </c>
      <c r="I291" s="544">
        <v>3</v>
      </c>
      <c r="J291" s="544" t="s">
        <v>475</v>
      </c>
      <c r="K291" s="544">
        <f>SUMIF('CF.1'!$D:$D,CFS!G291,'CF.1'!$X:$X)</f>
        <v>0</v>
      </c>
      <c r="L291" s="544">
        <f t="shared" si="27"/>
        <v>0</v>
      </c>
      <c r="M291" s="547">
        <f t="shared" si="28"/>
        <v>0</v>
      </c>
      <c r="O291" s="177"/>
      <c r="P291" s="544"/>
      <c r="Q291" s="545"/>
    </row>
    <row r="292" spans="4:17" ht="18" customHeight="1">
      <c r="D292" s="546">
        <v>2019</v>
      </c>
      <c r="E292" s="544">
        <v>12</v>
      </c>
      <c r="F292" s="544" t="s">
        <v>637</v>
      </c>
      <c r="G292" s="544" t="s">
        <v>1311</v>
      </c>
      <c r="H292" s="544" t="s">
        <v>1312</v>
      </c>
      <c r="I292" s="544">
        <v>3</v>
      </c>
      <c r="J292" s="544" t="s">
        <v>475</v>
      </c>
      <c r="K292" s="544">
        <f>SUMIF('CF.1'!$D:$D,CFS!G292,'CF.1'!$X:$X)</f>
        <v>0</v>
      </c>
      <c r="L292" s="544">
        <f t="shared" si="27"/>
        <v>0</v>
      </c>
      <c r="M292" s="547">
        <f t="shared" si="28"/>
        <v>0</v>
      </c>
      <c r="O292" s="177"/>
      <c r="P292" s="544"/>
      <c r="Q292" s="545"/>
    </row>
    <row r="293" spans="4:17" ht="18" customHeight="1">
      <c r="D293" s="546">
        <v>2019</v>
      </c>
      <c r="E293" s="544">
        <v>12</v>
      </c>
      <c r="F293" s="544" t="s">
        <v>637</v>
      </c>
      <c r="G293" s="544" t="s">
        <v>1313</v>
      </c>
      <c r="H293" s="544" t="s">
        <v>1314</v>
      </c>
      <c r="I293" s="544">
        <v>3</v>
      </c>
      <c r="J293" s="544" t="s">
        <v>475</v>
      </c>
      <c r="K293" s="544">
        <f>SUMIF('CF.1'!$D:$D,CFS!G293,'CF.1'!$X:$X)</f>
        <v>-2491608053</v>
      </c>
      <c r="L293" s="544">
        <f t="shared" si="27"/>
        <v>-2491608053</v>
      </c>
      <c r="M293" s="547">
        <f t="shared" si="28"/>
        <v>0</v>
      </c>
      <c r="O293" s="177"/>
      <c r="P293" s="544"/>
      <c r="Q293" s="545"/>
    </row>
    <row r="294" spans="4:17" ht="18" customHeight="1">
      <c r="D294" s="546">
        <v>2019</v>
      </c>
      <c r="E294" s="544">
        <v>12</v>
      </c>
      <c r="F294" s="544" t="s">
        <v>637</v>
      </c>
      <c r="G294" s="544" t="s">
        <v>1315</v>
      </c>
      <c r="H294" s="544" t="s">
        <v>1316</v>
      </c>
      <c r="I294" s="544">
        <v>3</v>
      </c>
      <c r="J294" s="544" t="s">
        <v>475</v>
      </c>
      <c r="K294" s="544">
        <f>SUMIF('CF.1'!$D:$D,CFS!G294,'CF.1'!$X:$X)</f>
        <v>0</v>
      </c>
      <c r="L294" s="544">
        <f t="shared" si="27"/>
        <v>0</v>
      </c>
      <c r="M294" s="547">
        <f t="shared" si="28"/>
        <v>0</v>
      </c>
      <c r="O294" s="177"/>
      <c r="P294" s="544"/>
      <c r="Q294" s="545"/>
    </row>
    <row r="295" spans="4:17" ht="18" customHeight="1">
      <c r="D295" s="546">
        <v>2019</v>
      </c>
      <c r="E295" s="544">
        <v>12</v>
      </c>
      <c r="F295" s="544" t="s">
        <v>637</v>
      </c>
      <c r="G295" s="544" t="s">
        <v>1589</v>
      </c>
      <c r="H295" s="544" t="s">
        <v>1590</v>
      </c>
      <c r="I295" s="544">
        <v>3</v>
      </c>
      <c r="J295" s="544" t="s">
        <v>475</v>
      </c>
      <c r="K295" s="544">
        <f>SUMIF('CF.1'!$D:$D,CFS!G295,'CF.1'!$X:$X)</f>
        <v>0</v>
      </c>
      <c r="L295" s="544">
        <f t="shared" si="27"/>
        <v>0</v>
      </c>
      <c r="M295" s="547">
        <f t="shared" si="28"/>
        <v>0</v>
      </c>
      <c r="O295" s="177"/>
      <c r="P295" s="544"/>
      <c r="Q295" s="545"/>
    </row>
    <row r="296" spans="4:17" ht="18" customHeight="1">
      <c r="D296" s="546">
        <v>2019</v>
      </c>
      <c r="E296" s="544">
        <v>12</v>
      </c>
      <c r="F296" s="544" t="s">
        <v>637</v>
      </c>
      <c r="G296" s="544" t="s">
        <v>1319</v>
      </c>
      <c r="H296" s="544" t="s">
        <v>1320</v>
      </c>
      <c r="I296" s="544">
        <v>3</v>
      </c>
      <c r="J296" s="544" t="s">
        <v>475</v>
      </c>
      <c r="K296" s="544">
        <f>SUMIF('CF.1'!$D:$D,CFS!G296,'CF.1'!$X:$X)</f>
        <v>-8065189</v>
      </c>
      <c r="L296" s="544">
        <f t="shared" si="27"/>
        <v>-8065189</v>
      </c>
      <c r="M296" s="547">
        <f t="shared" si="28"/>
        <v>0</v>
      </c>
      <c r="O296" s="177"/>
      <c r="P296" s="544"/>
      <c r="Q296" s="545"/>
    </row>
    <row r="297" spans="4:17" ht="18" customHeight="1">
      <c r="D297" s="541">
        <v>2019</v>
      </c>
      <c r="E297" s="542">
        <v>12</v>
      </c>
      <c r="F297" s="542" t="s">
        <v>637</v>
      </c>
      <c r="G297" s="542" t="s">
        <v>1321</v>
      </c>
      <c r="H297" s="542" t="s">
        <v>1322</v>
      </c>
      <c r="I297" s="542">
        <v>1</v>
      </c>
      <c r="J297" s="542" t="s">
        <v>475</v>
      </c>
      <c r="K297" s="542">
        <f>K298</f>
        <v>197126402</v>
      </c>
      <c r="L297" s="542">
        <f t="shared" ref="L297:M298" si="29">L298</f>
        <v>197126402</v>
      </c>
      <c r="M297" s="543">
        <f t="shared" si="29"/>
        <v>0</v>
      </c>
      <c r="O297" s="177"/>
      <c r="P297" s="544"/>
      <c r="Q297" s="545"/>
    </row>
    <row r="298" spans="4:17" ht="18" customHeight="1">
      <c r="D298" s="541">
        <v>2019</v>
      </c>
      <c r="E298" s="542">
        <v>12</v>
      </c>
      <c r="F298" s="542" t="s">
        <v>637</v>
      </c>
      <c r="G298" s="542" t="s">
        <v>1323</v>
      </c>
      <c r="H298" s="542" t="s">
        <v>1322</v>
      </c>
      <c r="I298" s="542">
        <v>2</v>
      </c>
      <c r="J298" s="542" t="s">
        <v>475</v>
      </c>
      <c r="K298" s="542">
        <f>K299</f>
        <v>197126402</v>
      </c>
      <c r="L298" s="542">
        <f t="shared" si="29"/>
        <v>197126402</v>
      </c>
      <c r="M298" s="543">
        <f t="shared" si="29"/>
        <v>0</v>
      </c>
      <c r="O298" s="177"/>
      <c r="P298" s="544"/>
      <c r="Q298" s="545"/>
    </row>
    <row r="299" spans="4:17" ht="18" customHeight="1">
      <c r="D299" s="546">
        <v>2019</v>
      </c>
      <c r="E299" s="544">
        <v>12</v>
      </c>
      <c r="F299" s="544" t="s">
        <v>637</v>
      </c>
      <c r="G299" s="544" t="s">
        <v>1324</v>
      </c>
      <c r="H299" s="544" t="s">
        <v>1325</v>
      </c>
      <c r="I299" s="544">
        <v>3</v>
      </c>
      <c r="J299" s="544" t="s">
        <v>475</v>
      </c>
      <c r="K299" s="544">
        <f>SUMIF('CF.1'!$D:$D,CFS!G299,'CF.1'!$X:$X)</f>
        <v>197126402</v>
      </c>
      <c r="L299" s="544">
        <f t="shared" ref="L299" si="30">K299</f>
        <v>197126402</v>
      </c>
      <c r="M299" s="547">
        <f t="shared" si="28"/>
        <v>0</v>
      </c>
      <c r="O299" s="177"/>
      <c r="P299" s="544"/>
      <c r="Q299" s="545"/>
    </row>
    <row r="300" spans="4:17" ht="18" customHeight="1">
      <c r="D300" s="541">
        <v>2019</v>
      </c>
      <c r="E300" s="542">
        <v>12</v>
      </c>
      <c r="F300" s="542" t="s">
        <v>637</v>
      </c>
      <c r="G300" s="542" t="s">
        <v>1326</v>
      </c>
      <c r="H300" s="542" t="s">
        <v>1591</v>
      </c>
      <c r="I300" s="542">
        <v>1</v>
      </c>
      <c r="J300" s="542" t="s">
        <v>475</v>
      </c>
      <c r="K300" s="542">
        <f>K301</f>
        <v>0</v>
      </c>
      <c r="L300" s="542">
        <f t="shared" ref="L300:M301" si="31">L301</f>
        <v>0</v>
      </c>
      <c r="M300" s="543">
        <f t="shared" si="31"/>
        <v>0</v>
      </c>
      <c r="O300" s="177"/>
      <c r="P300" s="544"/>
      <c r="Q300" s="545"/>
    </row>
    <row r="301" spans="4:17" ht="18" customHeight="1">
      <c r="D301" s="541">
        <v>2019</v>
      </c>
      <c r="E301" s="542">
        <v>12</v>
      </c>
      <c r="F301" s="542" t="s">
        <v>637</v>
      </c>
      <c r="G301" s="542" t="s">
        <v>1328</v>
      </c>
      <c r="H301" s="542" t="s">
        <v>1591</v>
      </c>
      <c r="I301" s="542">
        <v>2</v>
      </c>
      <c r="J301" s="542" t="s">
        <v>475</v>
      </c>
      <c r="K301" s="542">
        <f>K302</f>
        <v>0</v>
      </c>
      <c r="L301" s="542">
        <f t="shared" si="31"/>
        <v>0</v>
      </c>
      <c r="M301" s="543">
        <f t="shared" si="31"/>
        <v>0</v>
      </c>
      <c r="O301" s="177"/>
      <c r="P301" s="544"/>
      <c r="Q301" s="545"/>
    </row>
    <row r="302" spans="4:17" ht="18" customHeight="1">
      <c r="D302" s="546">
        <v>2019</v>
      </c>
      <c r="E302" s="544">
        <v>12</v>
      </c>
      <c r="F302" s="544" t="s">
        <v>637</v>
      </c>
      <c r="G302" s="544" t="s">
        <v>1329</v>
      </c>
      <c r="H302" s="544" t="s">
        <v>1592</v>
      </c>
      <c r="I302" s="544">
        <v>3</v>
      </c>
      <c r="J302" s="544" t="s">
        <v>475</v>
      </c>
      <c r="K302" s="544">
        <f>SUMIF('CF.1'!$D:$D,CFS!G302,'CF.1'!$X:$X)</f>
        <v>0</v>
      </c>
      <c r="L302" s="544">
        <f t="shared" ref="L302" si="32">K302</f>
        <v>0</v>
      </c>
      <c r="M302" s="547">
        <f t="shared" ref="M302:M312" si="33">L302-K302</f>
        <v>0</v>
      </c>
      <c r="O302" s="177"/>
      <c r="P302" s="544"/>
      <c r="Q302" s="545"/>
    </row>
    <row r="303" spans="4:17" ht="18" customHeight="1">
      <c r="D303" s="541">
        <v>2019</v>
      </c>
      <c r="E303" s="542">
        <v>12</v>
      </c>
      <c r="F303" s="542" t="s">
        <v>637</v>
      </c>
      <c r="G303" s="542" t="s">
        <v>1331</v>
      </c>
      <c r="H303" s="542" t="s">
        <v>1332</v>
      </c>
      <c r="I303" s="542">
        <v>1</v>
      </c>
      <c r="J303" s="542" t="s">
        <v>475</v>
      </c>
      <c r="K303" s="542">
        <f>K297+K256+K152+K5</f>
        <v>-6751968047</v>
      </c>
      <c r="L303" s="542">
        <f>L297+L256+L152+L5</f>
        <v>-6751968047</v>
      </c>
      <c r="M303" s="543">
        <f t="shared" si="33"/>
        <v>0</v>
      </c>
      <c r="O303" s="177"/>
      <c r="P303" s="544"/>
      <c r="Q303" s="545"/>
    </row>
    <row r="304" spans="4:17" ht="18" customHeight="1">
      <c r="D304" s="541">
        <v>2019</v>
      </c>
      <c r="E304" s="542">
        <v>12</v>
      </c>
      <c r="F304" s="542" t="s">
        <v>637</v>
      </c>
      <c r="G304" s="542" t="s">
        <v>1333</v>
      </c>
      <c r="H304" s="542" t="s">
        <v>1334</v>
      </c>
      <c r="I304" s="542">
        <v>1</v>
      </c>
      <c r="J304" s="542" t="s">
        <v>475</v>
      </c>
      <c r="K304" s="542">
        <f>K305</f>
        <v>95653360723</v>
      </c>
      <c r="L304" s="542">
        <f>L305</f>
        <v>95653360723</v>
      </c>
      <c r="M304" s="543">
        <f t="shared" si="33"/>
        <v>0</v>
      </c>
      <c r="O304" s="177"/>
      <c r="P304" s="544"/>
      <c r="Q304" s="545"/>
    </row>
    <row r="305" spans="4:17" ht="18" customHeight="1">
      <c r="D305" s="541">
        <v>2019</v>
      </c>
      <c r="E305" s="542">
        <v>12</v>
      </c>
      <c r="F305" s="542" t="s">
        <v>637</v>
      </c>
      <c r="G305" s="542" t="s">
        <v>1335</v>
      </c>
      <c r="H305" s="542" t="s">
        <v>1334</v>
      </c>
      <c r="I305" s="542">
        <v>2</v>
      </c>
      <c r="J305" s="542" t="s">
        <v>475</v>
      </c>
      <c r="K305" s="542">
        <f>K306</f>
        <v>95653360723</v>
      </c>
      <c r="L305" s="542">
        <f>L306</f>
        <v>95653360723</v>
      </c>
      <c r="M305" s="543">
        <f t="shared" si="33"/>
        <v>0</v>
      </c>
      <c r="O305" s="177"/>
      <c r="P305" s="544"/>
      <c r="Q305" s="545"/>
    </row>
    <row r="306" spans="4:17" ht="18" customHeight="1">
      <c r="D306" s="546">
        <v>2019</v>
      </c>
      <c r="E306" s="544">
        <v>12</v>
      </c>
      <c r="F306" s="544" t="s">
        <v>637</v>
      </c>
      <c r="G306" s="544" t="s">
        <v>1336</v>
      </c>
      <c r="H306" s="544" t="s">
        <v>1337</v>
      </c>
      <c r="I306" s="544">
        <v>3</v>
      </c>
      <c r="J306" s="544" t="s">
        <v>475</v>
      </c>
      <c r="K306" s="544">
        <f>SUMIF('CF.1'!$D:$D,CFS!G306,'CF.1'!$X:$X)</f>
        <v>95653360723</v>
      </c>
      <c r="L306" s="544">
        <f t="shared" ref="L306" si="34">K306</f>
        <v>95653360723</v>
      </c>
      <c r="M306" s="547">
        <f t="shared" si="33"/>
        <v>0</v>
      </c>
      <c r="O306" s="177">
        <v>95653360723</v>
      </c>
      <c r="P306" s="544">
        <f>O306-L306</f>
        <v>0</v>
      </c>
      <c r="Q306" s="545"/>
    </row>
    <row r="307" spans="4:17" ht="18" customHeight="1">
      <c r="D307" s="541">
        <v>2019</v>
      </c>
      <c r="E307" s="542">
        <v>12</v>
      </c>
      <c r="F307" s="542" t="s">
        <v>637</v>
      </c>
      <c r="G307" s="542" t="s">
        <v>1338</v>
      </c>
      <c r="H307" s="542" t="s">
        <v>1339</v>
      </c>
      <c r="I307" s="542">
        <v>1</v>
      </c>
      <c r="J307" s="542" t="s">
        <v>475</v>
      </c>
      <c r="K307" s="542">
        <f>K308</f>
        <v>88901392676</v>
      </c>
      <c r="L307" s="542">
        <f t="shared" ref="L307:M308" si="35">L308</f>
        <v>88901392676</v>
      </c>
      <c r="M307" s="543">
        <f t="shared" si="35"/>
        <v>0</v>
      </c>
      <c r="O307" s="177"/>
      <c r="P307" s="544"/>
      <c r="Q307" s="545"/>
    </row>
    <row r="308" spans="4:17" ht="18" customHeight="1">
      <c r="D308" s="541">
        <v>2019</v>
      </c>
      <c r="E308" s="542">
        <v>12</v>
      </c>
      <c r="F308" s="542" t="s">
        <v>637</v>
      </c>
      <c r="G308" s="542" t="s">
        <v>1340</v>
      </c>
      <c r="H308" s="542" t="s">
        <v>1339</v>
      </c>
      <c r="I308" s="542">
        <v>2</v>
      </c>
      <c r="J308" s="542" t="s">
        <v>475</v>
      </c>
      <c r="K308" s="542">
        <f>K309</f>
        <v>88901392676</v>
      </c>
      <c r="L308" s="542">
        <f t="shared" si="35"/>
        <v>88901392676</v>
      </c>
      <c r="M308" s="543">
        <f t="shared" si="35"/>
        <v>0</v>
      </c>
      <c r="O308" s="177"/>
      <c r="P308" s="544"/>
      <c r="Q308" s="545"/>
    </row>
    <row r="309" spans="4:17" ht="18" customHeight="1">
      <c r="D309" s="546">
        <v>2019</v>
      </c>
      <c r="E309" s="544">
        <v>12</v>
      </c>
      <c r="F309" s="544" t="s">
        <v>637</v>
      </c>
      <c r="G309" s="544" t="s">
        <v>1341</v>
      </c>
      <c r="H309" s="544" t="s">
        <v>1342</v>
      </c>
      <c r="I309" s="544">
        <v>3</v>
      </c>
      <c r="J309" s="544" t="s">
        <v>475</v>
      </c>
      <c r="K309" s="544">
        <f>SUMIF('CF.1'!$D:$D,CFS!G309,'CF.1'!$X:$X)</f>
        <v>88901392676</v>
      </c>
      <c r="L309" s="544">
        <f t="shared" ref="L309" si="36">K309</f>
        <v>88901392676</v>
      </c>
      <c r="M309" s="547">
        <f t="shared" si="33"/>
        <v>0</v>
      </c>
      <c r="O309" s="177">
        <f>T198_TB!M5+T198_TB!M6</f>
        <v>88901392676</v>
      </c>
      <c r="P309" s="544">
        <f>O309-L309</f>
        <v>0</v>
      </c>
      <c r="Q309" s="545"/>
    </row>
    <row r="310" spans="4:17" ht="18" customHeight="1">
      <c r="D310" s="541">
        <v>2019</v>
      </c>
      <c r="E310" s="542">
        <v>12</v>
      </c>
      <c r="F310" s="542" t="s">
        <v>637</v>
      </c>
      <c r="G310" s="542" t="s">
        <v>1343</v>
      </c>
      <c r="H310" s="542" t="s">
        <v>1344</v>
      </c>
      <c r="I310" s="542">
        <v>1</v>
      </c>
      <c r="J310" s="542" t="s">
        <v>475</v>
      </c>
      <c r="K310" s="542">
        <v>0</v>
      </c>
      <c r="L310" s="542">
        <v>0</v>
      </c>
      <c r="M310" s="543">
        <f t="shared" si="33"/>
        <v>0</v>
      </c>
      <c r="O310" s="177"/>
      <c r="P310" s="544"/>
      <c r="Q310" s="545"/>
    </row>
    <row r="311" spans="4:17" ht="18" customHeight="1">
      <c r="D311" s="541">
        <v>2019</v>
      </c>
      <c r="E311" s="542">
        <v>12</v>
      </c>
      <c r="F311" s="542" t="s">
        <v>637</v>
      </c>
      <c r="G311" s="542" t="s">
        <v>1345</v>
      </c>
      <c r="H311" s="542" t="s">
        <v>1344</v>
      </c>
      <c r="I311" s="542">
        <v>2</v>
      </c>
      <c r="J311" s="542" t="s">
        <v>475</v>
      </c>
      <c r="K311" s="542">
        <v>0</v>
      </c>
      <c r="L311" s="542">
        <v>0</v>
      </c>
      <c r="M311" s="543">
        <f t="shared" si="33"/>
        <v>0</v>
      </c>
      <c r="O311" s="177"/>
      <c r="P311" s="544"/>
      <c r="Q311" s="545"/>
    </row>
    <row r="312" spans="4:17" ht="18" customHeight="1" thickBot="1">
      <c r="D312" s="556">
        <v>2019</v>
      </c>
      <c r="E312" s="557">
        <v>12</v>
      </c>
      <c r="F312" s="557" t="s">
        <v>637</v>
      </c>
      <c r="G312" s="557" t="s">
        <v>1346</v>
      </c>
      <c r="H312" s="557" t="s">
        <v>1347</v>
      </c>
      <c r="I312" s="557">
        <v>3</v>
      </c>
      <c r="J312" s="557" t="s">
        <v>475</v>
      </c>
      <c r="K312" s="557">
        <f>SUMIF('CF.1'!$D:$D,CFS!G312,'CF.1'!$X:$X)</f>
        <v>0</v>
      </c>
      <c r="L312" s="557">
        <v>0</v>
      </c>
      <c r="M312" s="558">
        <f t="shared" si="33"/>
        <v>0</v>
      </c>
      <c r="O312" s="559"/>
      <c r="P312" s="557"/>
      <c r="Q312" s="560"/>
    </row>
    <row r="313" spans="4:17" ht="18" customHeight="1" thickBot="1">
      <c r="D313" s="561"/>
      <c r="E313" s="562"/>
      <c r="F313" s="562"/>
      <c r="G313" s="562"/>
      <c r="H313" s="562"/>
      <c r="I313" s="562"/>
      <c r="J313" s="562"/>
      <c r="K313" s="562">
        <f>K303+K304-K309</f>
        <v>0</v>
      </c>
      <c r="L313" s="562">
        <f t="shared" ref="L313" si="37">L303+L304-L309</f>
        <v>0</v>
      </c>
      <c r="M313" s="563"/>
    </row>
  </sheetData>
  <autoFilter ref="D4:M313" xr:uid="{00000000-0009-0000-0000-000009000000}"/>
  <phoneticPr fontId="18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D2:AA379"/>
  <sheetViews>
    <sheetView showGridLines="0" zoomScale="85" zoomScaleNormal="85" workbookViewId="0">
      <pane xSplit="7" ySplit="6" topLeftCell="H7" activePane="bottomRight" state="frozen"/>
      <selection activeCell="H85" sqref="H85"/>
      <selection pane="topRight" activeCell="H85" sqref="H85"/>
      <selection pane="bottomLeft" activeCell="H85" sqref="H85"/>
      <selection pane="bottomRight" activeCell="H82" sqref="H82"/>
    </sheetView>
  </sheetViews>
  <sheetFormatPr defaultColWidth="8.75" defaultRowHeight="18" customHeight="1" outlineLevelCol="1"/>
  <cols>
    <col min="1" max="3" width="2.375" style="164" customWidth="1"/>
    <col min="4" max="5" width="19.875" style="164" customWidth="1"/>
    <col min="6" max="6" width="19.875" style="166" customWidth="1"/>
    <col min="7" max="7" width="19.875" style="164" customWidth="1"/>
    <col min="8" max="8" width="19.25" style="492" customWidth="1" outlineLevel="1"/>
    <col min="9" max="14" width="19.375" style="492" customWidth="1" outlineLevel="1"/>
    <col min="15" max="15" width="19.375" style="492" customWidth="1"/>
    <col min="16" max="16" width="3.125" style="164" customWidth="1"/>
    <col min="17" max="22" width="19.375" style="492" customWidth="1"/>
    <col min="23" max="23" width="2.25" style="164" customWidth="1"/>
    <col min="24" max="24" width="19.375" style="492" customWidth="1"/>
    <col min="25" max="25" width="3.25" style="164" customWidth="1"/>
    <col min="26" max="26" width="13.75" style="164" customWidth="1"/>
    <col min="27" max="27" width="11.25" style="164" bestFit="1" customWidth="1"/>
    <col min="28" max="16384" width="8.75" style="164"/>
  </cols>
  <sheetData>
    <row r="2" spans="4:27" s="471" customFormat="1" ht="18" customHeight="1">
      <c r="F2" s="595"/>
      <c r="H2" s="729"/>
      <c r="I2" s="729"/>
      <c r="J2" s="729"/>
      <c r="K2" s="729"/>
      <c r="L2" s="729"/>
      <c r="M2" s="729"/>
      <c r="N2" s="729"/>
      <c r="O2" s="729"/>
      <c r="Q2" s="729"/>
      <c r="R2" s="729"/>
      <c r="S2" s="729"/>
      <c r="T2" s="729"/>
      <c r="U2" s="729"/>
      <c r="V2" s="729"/>
      <c r="X2" s="729"/>
    </row>
    <row r="3" spans="4:27" ht="18" customHeight="1">
      <c r="D3" s="162"/>
    </row>
    <row r="4" spans="4:27" s="163" customFormat="1" ht="18" customHeight="1">
      <c r="H4" s="266"/>
      <c r="I4" s="266"/>
      <c r="J4" s="266"/>
      <c r="K4" s="266"/>
      <c r="L4" s="266"/>
      <c r="M4" s="266"/>
      <c r="N4" s="266"/>
      <c r="O4" s="266"/>
      <c r="Q4" s="266"/>
      <c r="R4" s="266"/>
      <c r="S4" s="266"/>
      <c r="T4" s="266"/>
      <c r="U4" s="266"/>
      <c r="V4" s="266"/>
      <c r="X4" s="266"/>
    </row>
    <row r="5" spans="4:27" ht="18" customHeight="1" thickBot="1">
      <c r="H5" s="492">
        <f>H355-H352-H349</f>
        <v>0</v>
      </c>
      <c r="I5" s="492">
        <f t="shared" ref="I5:V5" si="0">I355-I352-I349</f>
        <v>0</v>
      </c>
      <c r="J5" s="492">
        <f t="shared" si="0"/>
        <v>0</v>
      </c>
      <c r="K5" s="492">
        <f t="shared" si="0"/>
        <v>0</v>
      </c>
      <c r="L5" s="492">
        <f t="shared" si="0"/>
        <v>0</v>
      </c>
      <c r="M5" s="492">
        <f t="shared" si="0"/>
        <v>0</v>
      </c>
      <c r="N5" s="492">
        <f t="shared" si="0"/>
        <v>0</v>
      </c>
      <c r="O5" s="492">
        <f t="shared" si="0"/>
        <v>0</v>
      </c>
      <c r="Q5" s="492">
        <f>Q355-Q352-Q349</f>
        <v>0</v>
      </c>
      <c r="R5" s="492">
        <f t="shared" si="0"/>
        <v>-1181400000</v>
      </c>
      <c r="S5" s="492">
        <f t="shared" si="0"/>
        <v>1181400000</v>
      </c>
      <c r="T5" s="492">
        <f t="shared" si="0"/>
        <v>0</v>
      </c>
      <c r="U5" s="492">
        <f t="shared" si="0"/>
        <v>0</v>
      </c>
      <c r="V5" s="492">
        <f t="shared" si="0"/>
        <v>0</v>
      </c>
      <c r="X5" s="492">
        <f>X355-X352-X349</f>
        <v>0</v>
      </c>
    </row>
    <row r="6" spans="4:27" s="497" customFormat="1" ht="38.1" customHeight="1">
      <c r="D6" s="493" t="s">
        <v>1371</v>
      </c>
      <c r="E6" s="494" t="s">
        <v>1372</v>
      </c>
      <c r="F6" s="494" t="s">
        <v>17</v>
      </c>
      <c r="G6" s="494" t="s">
        <v>698</v>
      </c>
      <c r="H6" s="322" t="s">
        <v>15</v>
      </c>
      <c r="I6" s="322" t="s">
        <v>218</v>
      </c>
      <c r="J6" s="322" t="s">
        <v>214</v>
      </c>
      <c r="K6" s="322" t="s">
        <v>215</v>
      </c>
      <c r="L6" s="322" t="s">
        <v>216</v>
      </c>
      <c r="M6" s="322" t="s">
        <v>534</v>
      </c>
      <c r="N6" s="322" t="s">
        <v>217</v>
      </c>
      <c r="O6" s="495" t="s">
        <v>228</v>
      </c>
      <c r="P6" s="496"/>
      <c r="Q6" s="32" t="s">
        <v>1504</v>
      </c>
      <c r="R6" s="33" t="s">
        <v>1505</v>
      </c>
      <c r="S6" s="33" t="s">
        <v>1506</v>
      </c>
      <c r="T6" s="33" t="s">
        <v>1507</v>
      </c>
      <c r="U6" s="33" t="s">
        <v>1508</v>
      </c>
      <c r="V6" s="34" t="s">
        <v>1519</v>
      </c>
      <c r="X6" s="498" t="s">
        <v>1520</v>
      </c>
    </row>
    <row r="7" spans="4:27" ht="18" customHeight="1">
      <c r="D7" s="499" t="s">
        <v>699</v>
      </c>
      <c r="E7" s="500" t="s">
        <v>699</v>
      </c>
      <c r="F7" s="501"/>
      <c r="G7" s="500" t="s">
        <v>700</v>
      </c>
      <c r="H7" s="502">
        <f t="shared" ref="H7:O7" si="1">SUM(H8,H10,H74,H125,H175)</f>
        <v>-1433566959</v>
      </c>
      <c r="I7" s="502">
        <f t="shared" si="1"/>
        <v>-144025809</v>
      </c>
      <c r="J7" s="502">
        <f t="shared" si="1"/>
        <v>411358035</v>
      </c>
      <c r="K7" s="502">
        <f t="shared" si="1"/>
        <v>-664004954</v>
      </c>
      <c r="L7" s="502">
        <f t="shared" si="1"/>
        <v>-746212394</v>
      </c>
      <c r="M7" s="502">
        <f t="shared" si="1"/>
        <v>0</v>
      </c>
      <c r="N7" s="502">
        <f t="shared" si="1"/>
        <v>1225527209</v>
      </c>
      <c r="O7" s="503">
        <f t="shared" si="1"/>
        <v>-1350924872</v>
      </c>
      <c r="Q7" s="504">
        <f t="shared" ref="Q7:V7" si="2">SUM(Q8,Q10,Q74,Q125,Q175)</f>
        <v>0</v>
      </c>
      <c r="R7" s="502">
        <f t="shared" si="2"/>
        <v>1181400000</v>
      </c>
      <c r="S7" s="502">
        <f t="shared" si="2"/>
        <v>-1218170000</v>
      </c>
      <c r="T7" s="502">
        <f t="shared" si="2"/>
        <v>0</v>
      </c>
      <c r="U7" s="502">
        <f t="shared" si="2"/>
        <v>0</v>
      </c>
      <c r="V7" s="503">
        <f t="shared" si="2"/>
        <v>-36770000</v>
      </c>
      <c r="X7" s="505">
        <f t="shared" ref="X7" si="3">SUM(X8,X10,X74,X125,X175)</f>
        <v>-1387694872</v>
      </c>
    </row>
    <row r="8" spans="4:27" ht="18" customHeight="1">
      <c r="D8" s="499" t="s">
        <v>701</v>
      </c>
      <c r="E8" s="500" t="s">
        <v>701</v>
      </c>
      <c r="F8" s="501"/>
      <c r="G8" s="500" t="s">
        <v>210</v>
      </c>
      <c r="H8" s="502">
        <f t="shared" ref="H8:O8" si="4">H9</f>
        <v>-48581156076</v>
      </c>
      <c r="I8" s="502">
        <f t="shared" si="4"/>
        <v>-255705283</v>
      </c>
      <c r="J8" s="502">
        <f t="shared" si="4"/>
        <v>3467979714</v>
      </c>
      <c r="K8" s="502">
        <f t="shared" si="4"/>
        <v>-1424965015</v>
      </c>
      <c r="L8" s="502">
        <f t="shared" si="4"/>
        <v>516070419</v>
      </c>
      <c r="M8" s="502">
        <f t="shared" si="4"/>
        <v>0</v>
      </c>
      <c r="N8" s="502">
        <f t="shared" si="4"/>
        <v>-4508613933</v>
      </c>
      <c r="O8" s="503">
        <f t="shared" si="4"/>
        <v>-50786390174</v>
      </c>
      <c r="Q8" s="504">
        <f t="shared" ref="Q8:X8" si="5">Q9</f>
        <v>0</v>
      </c>
      <c r="R8" s="502">
        <f t="shared" si="5"/>
        <v>492529583</v>
      </c>
      <c r="S8" s="502">
        <f t="shared" si="5"/>
        <v>0</v>
      </c>
      <c r="T8" s="502">
        <f t="shared" si="5"/>
        <v>-2590572260</v>
      </c>
      <c r="U8" s="502">
        <f t="shared" si="5"/>
        <v>4878910705</v>
      </c>
      <c r="V8" s="503">
        <f t="shared" si="5"/>
        <v>2780868028</v>
      </c>
      <c r="X8" s="505">
        <f t="shared" si="5"/>
        <v>-48005522146</v>
      </c>
    </row>
    <row r="9" spans="4:27" ht="18" customHeight="1">
      <c r="D9" s="506" t="s">
        <v>702</v>
      </c>
      <c r="E9" s="507" t="s">
        <v>702</v>
      </c>
      <c r="F9" s="508"/>
      <c r="G9" s="507" t="s">
        <v>703</v>
      </c>
      <c r="H9" s="509">
        <f>T_IS!H120</f>
        <v>-48581156076</v>
      </c>
      <c r="I9" s="509">
        <v>-255705283</v>
      </c>
      <c r="J9" s="509">
        <f>T_IS!J119</f>
        <v>3467979714</v>
      </c>
      <c r="K9" s="509">
        <v>-1424965015</v>
      </c>
      <c r="L9" s="509">
        <v>516070419</v>
      </c>
      <c r="M9" s="509">
        <f>T_IS!M120</f>
        <v>0</v>
      </c>
      <c r="N9" s="509">
        <v>-4508613933</v>
      </c>
      <c r="O9" s="510">
        <f>SUM(H9:N9)</f>
        <v>-50786390174</v>
      </c>
      <c r="Q9" s="511">
        <f>SUMIF('CF.2'!$H$5:$H$24,'CF.1'!E9,'CF.2'!$J$5:$J$24)-SUMIF('CF.2'!$K$5:$K$24,'CF.1'!E9,'CF.2'!$M$5:$M$24)</f>
        <v>0</v>
      </c>
      <c r="R9" s="509">
        <f>SUMIF('CF.2'!$H$30:$H$59,'CF.1'!E9,'CF.2'!$J$30:$J$59)+SUMIF('CF.2'!$K$30:$K$59,'CF.1'!E9,'CF.2'!$M$30:$M$59)</f>
        <v>492529583</v>
      </c>
      <c r="S9" s="509">
        <f>SUMIF('CF.2'!$H$64:$H$97,'CF.1'!E9,'CF.2'!$J$64:$J$97)+SUMIF('CF.2'!$K$64:$K$97,'CF.1'!E9,'CF.2'!$M$64:$M$97)</f>
        <v>0</v>
      </c>
      <c r="T9" s="509">
        <f>SUMIF('CF.2'!$H$101:$H$107,'CF.1'!E9,'CF.2'!$J$101:$J$107)+SUMIF('CF.2'!$K$101:$K$107,'CF.1'!E9,'CF.2'!$M$101:$M$107)</f>
        <v>-2590572260</v>
      </c>
      <c r="U9" s="509">
        <f>SUMIF('CF.2'!$H$112:$H$120,'CF.1'!E9,'CF.2'!$J$112:$J$120)+SUMIF('CF.2'!$K$112:$K$120,'CF.1'!E9,'CF.2'!$M$112:$M$120)</f>
        <v>4878910705</v>
      </c>
      <c r="V9" s="510">
        <f>SUM(Q9:U9)</f>
        <v>2780868028</v>
      </c>
      <c r="X9" s="512">
        <f t="shared" ref="X9:X75" si="6">V9+O9</f>
        <v>-48005522146</v>
      </c>
      <c r="Z9" s="36" t="b">
        <f>X9-T_IS!AA120=0</f>
        <v>1</v>
      </c>
      <c r="AA9" s="36"/>
    </row>
    <row r="10" spans="4:27" ht="18" customHeight="1">
      <c r="D10" s="499" t="s">
        <v>704</v>
      </c>
      <c r="E10" s="500" t="s">
        <v>704</v>
      </c>
      <c r="F10" s="501"/>
      <c r="G10" s="500" t="s">
        <v>705</v>
      </c>
      <c r="H10" s="502">
        <f t="shared" ref="H10:O10" si="7">SUM(H11:H73)</f>
        <v>50749776979</v>
      </c>
      <c r="I10" s="502">
        <f t="shared" si="7"/>
        <v>-182345186</v>
      </c>
      <c r="J10" s="502">
        <f t="shared" si="7"/>
        <v>21434716</v>
      </c>
      <c r="K10" s="502">
        <f t="shared" si="7"/>
        <v>911103040</v>
      </c>
      <c r="L10" s="502">
        <f t="shared" si="7"/>
        <v>1415500527</v>
      </c>
      <c r="M10" s="502">
        <f t="shared" si="7"/>
        <v>0</v>
      </c>
      <c r="N10" s="502">
        <f t="shared" si="7"/>
        <v>95434199</v>
      </c>
      <c r="O10" s="503">
        <f t="shared" si="7"/>
        <v>53010904275</v>
      </c>
      <c r="Q10" s="504">
        <f t="shared" ref="Q10:V10" si="8">SUM(Q11:Q73)</f>
        <v>0</v>
      </c>
      <c r="R10" s="502">
        <f t="shared" si="8"/>
        <v>1245339574</v>
      </c>
      <c r="S10" s="502">
        <f t="shared" si="8"/>
        <v>-18156386</v>
      </c>
      <c r="T10" s="502">
        <f t="shared" si="8"/>
        <v>-920006498</v>
      </c>
      <c r="U10" s="502">
        <f t="shared" si="8"/>
        <v>-4878910705</v>
      </c>
      <c r="V10" s="503">
        <f t="shared" si="8"/>
        <v>-4571734015</v>
      </c>
      <c r="X10" s="505">
        <f>SUM(X11:X73)</f>
        <v>48439170260</v>
      </c>
    </row>
    <row r="11" spans="4:27" ht="18" customHeight="1">
      <c r="D11" s="506" t="s">
        <v>706</v>
      </c>
      <c r="E11" s="507" t="s">
        <v>706</v>
      </c>
      <c r="F11" s="508" t="s">
        <v>492</v>
      </c>
      <c r="G11" s="507" t="s">
        <v>492</v>
      </c>
      <c r="H11" s="509">
        <v>3133172828</v>
      </c>
      <c r="I11" s="509">
        <v>4794315</v>
      </c>
      <c r="J11" s="517">
        <v>39903494</v>
      </c>
      <c r="K11" s="509">
        <v>268724195</v>
      </c>
      <c r="L11" s="509">
        <v>157029963</v>
      </c>
      <c r="M11" s="509"/>
      <c r="N11" s="509">
        <v>27266859</v>
      </c>
      <c r="O11" s="510">
        <f t="shared" ref="O11:O75" si="9">SUM(H11:N11)</f>
        <v>3630891654</v>
      </c>
      <c r="Q11" s="511">
        <f>SUMIF('CF.2'!$H$5:$H$24,'CF.1'!E11,'CF.2'!$J$5:$J$24)-SUMIF('CF.2'!$K$5:$K$24,'CF.1'!E11,'CF.2'!$M$5:$M$24)</f>
        <v>0</v>
      </c>
      <c r="R11" s="509">
        <f>SUMIF('CF.2'!$H$30:$H$59,'CF.1'!E11,'CF.2'!$J$30:$J$59)+SUMIF('CF.2'!$K$30:$K$59,'CF.1'!E11,'CF.2'!$M$30:$M$59)</f>
        <v>0</v>
      </c>
      <c r="S11" s="509">
        <f>SUMIF('CF.2'!$H$64:$H$97,'CF.1'!E11,'CF.2'!$J$64:$J$97)+SUMIF('CF.2'!$K$64:$K$97,'CF.1'!E11,'CF.2'!$M$64:$M$97)</f>
        <v>0</v>
      </c>
      <c r="T11" s="509">
        <f>SUMIF('CF.2'!$H$101:$H$107,'CF.1'!E11,'CF.2'!$J$101:$J$107)+SUMIF('CF.2'!$K$101:$K$107,'CF.1'!E11,'CF.2'!$M$101:$M$107)</f>
        <v>0</v>
      </c>
      <c r="U11" s="509">
        <f>SUMIF('CF.2'!$H$112:$H$120,'CF.1'!E11,'CF.2'!$J$112:$J$120)+SUMIF('CF.2'!$K$112:$K$120,'CF.1'!E11,'CF.2'!$M$112:$M$120)</f>
        <v>0</v>
      </c>
      <c r="V11" s="510">
        <f t="shared" ref="V11:V73" si="10">SUM(Q11:U11)</f>
        <v>0</v>
      </c>
      <c r="X11" s="512">
        <f t="shared" si="6"/>
        <v>3630891654</v>
      </c>
    </row>
    <row r="12" spans="4:27" ht="18" customHeight="1">
      <c r="D12" s="506" t="s">
        <v>707</v>
      </c>
      <c r="E12" s="507" t="s">
        <v>707</v>
      </c>
      <c r="F12" s="508" t="s">
        <v>387</v>
      </c>
      <c r="G12" s="507" t="s">
        <v>387</v>
      </c>
      <c r="H12" s="509">
        <v>7074972976</v>
      </c>
      <c r="I12" s="509">
        <v>0</v>
      </c>
      <c r="J12" s="509">
        <v>0</v>
      </c>
      <c r="K12" s="509">
        <v>99487839</v>
      </c>
      <c r="L12" s="509">
        <v>14238506</v>
      </c>
      <c r="M12" s="509"/>
      <c r="N12" s="509">
        <v>49955511</v>
      </c>
      <c r="O12" s="510">
        <f t="shared" si="9"/>
        <v>7238654832</v>
      </c>
      <c r="Q12" s="511">
        <f>SUMIF('CF.2'!$H$5:$H$24,'CF.1'!E12,'CF.2'!$J$5:$J$24)-SUMIF('CF.2'!$K$5:$K$24,'CF.1'!E12,'CF.2'!$M$5:$M$24)</f>
        <v>0</v>
      </c>
      <c r="R12" s="509">
        <f>SUMIF('CF.2'!$H$30:$H$59,'CF.1'!E12,'CF.2'!$J$30:$J$59)+SUMIF('CF.2'!$K$30:$K$59,'CF.1'!E12,'CF.2'!$M$30:$M$59)</f>
        <v>685224178</v>
      </c>
      <c r="S12" s="509">
        <f>SUMIF('CF.2'!$H$64:$H$97,'CF.1'!E12,'CF.2'!$J$64:$J$97)+SUMIF('CF.2'!$K$64:$K$97,'CF.1'!E12,'CF.2'!$M$64:$M$97)</f>
        <v>0</v>
      </c>
      <c r="T12" s="509">
        <f>SUMIF('CF.2'!$H$101:$H$107,'CF.1'!E12,'CF.2'!$J$101:$J$107)+SUMIF('CF.2'!$K$101:$K$107,'CF.1'!E12,'CF.2'!$M$101:$M$107)</f>
        <v>0</v>
      </c>
      <c r="U12" s="509">
        <f>SUMIF('CF.2'!$H$112:$H$120,'CF.1'!E12,'CF.2'!$J$112:$J$120)+SUMIF('CF.2'!$K$112:$K$120,'CF.1'!E12,'CF.2'!$M$112:$M$120)</f>
        <v>0</v>
      </c>
      <c r="V12" s="510">
        <f t="shared" si="10"/>
        <v>685224178</v>
      </c>
      <c r="X12" s="512">
        <f t="shared" si="6"/>
        <v>7923879010</v>
      </c>
    </row>
    <row r="13" spans="4:27" ht="18" customHeight="1">
      <c r="D13" s="506" t="s">
        <v>708</v>
      </c>
      <c r="E13" s="507" t="s">
        <v>708</v>
      </c>
      <c r="F13" s="508" t="s">
        <v>263</v>
      </c>
      <c r="G13" s="507" t="s">
        <v>263</v>
      </c>
      <c r="H13" s="509">
        <v>1048438896</v>
      </c>
      <c r="I13" s="509">
        <v>0</v>
      </c>
      <c r="J13" s="509">
        <v>0</v>
      </c>
      <c r="K13" s="509">
        <v>40033943</v>
      </c>
      <c r="L13" s="509">
        <v>450979</v>
      </c>
      <c r="M13" s="509"/>
      <c r="N13" s="509">
        <v>5380540</v>
      </c>
      <c r="O13" s="510">
        <f t="shared" si="9"/>
        <v>1094304358</v>
      </c>
      <c r="Q13" s="511">
        <f>SUMIF('CF.2'!$H$5:$H$24,'CF.1'!E13,'CF.2'!$J$5:$J$24)-SUMIF('CF.2'!$K$5:$K$24,'CF.1'!E13,'CF.2'!$M$5:$M$24)</f>
        <v>0</v>
      </c>
      <c r="R13" s="509">
        <f>SUMIF('CF.2'!$H$30:$H$59,'CF.1'!E13,'CF.2'!$J$30:$J$59)+SUMIF('CF.2'!$K$30:$K$59,'CF.1'!E13,'CF.2'!$M$30:$M$59)</f>
        <v>0</v>
      </c>
      <c r="S13" s="509">
        <f>SUMIF('CF.2'!$H$64:$H$97,'CF.1'!E13,'CF.2'!$J$64:$J$97)+SUMIF('CF.2'!$K$64:$K$97,'CF.1'!E13,'CF.2'!$M$64:$M$97)</f>
        <v>0</v>
      </c>
      <c r="T13" s="509">
        <f>SUMIF('CF.2'!$H$101:$H$107,'CF.1'!E13,'CF.2'!$J$101:$J$107)+SUMIF('CF.2'!$K$101:$K$107,'CF.1'!E13,'CF.2'!$M$101:$M$107)</f>
        <v>0</v>
      </c>
      <c r="U13" s="509">
        <f>SUMIF('CF.2'!$H$112:$H$120,'CF.1'!E13,'CF.2'!$J$112:$J$120)+SUMIF('CF.2'!$K$112:$K$120,'CF.1'!E13,'CF.2'!$M$112:$M$120)</f>
        <v>0</v>
      </c>
      <c r="V13" s="510">
        <f t="shared" si="10"/>
        <v>0</v>
      </c>
      <c r="X13" s="512">
        <f t="shared" si="6"/>
        <v>1094304358</v>
      </c>
    </row>
    <row r="14" spans="4:27" ht="18" customHeight="1">
      <c r="D14" s="506" t="s">
        <v>709</v>
      </c>
      <c r="E14" s="507" t="s">
        <v>709</v>
      </c>
      <c r="F14" s="508" t="s">
        <v>1471</v>
      </c>
      <c r="G14" s="507" t="s">
        <v>303</v>
      </c>
      <c r="H14" s="509">
        <v>1502435542</v>
      </c>
      <c r="I14" s="509">
        <v>-187557870</v>
      </c>
      <c r="J14" s="509">
        <v>-24722518</v>
      </c>
      <c r="K14" s="509">
        <v>0</v>
      </c>
      <c r="L14" s="509">
        <v>0</v>
      </c>
      <c r="M14" s="509"/>
      <c r="N14" s="509">
        <v>0</v>
      </c>
      <c r="O14" s="510">
        <f t="shared" si="9"/>
        <v>1290155154</v>
      </c>
      <c r="Q14" s="511">
        <f>SUMIF('CF.2'!$H$5:$H$24,'CF.1'!E14,'CF.2'!$J$5:$J$24)-SUMIF('CF.2'!$K$5:$K$24,'CF.1'!E14,'CF.2'!$M$5:$M$24)</f>
        <v>0</v>
      </c>
      <c r="R14" s="509">
        <f>SUMIF('CF.2'!$H$30:$H$59,'CF.1'!E14,'CF.2'!$J$30:$J$59)+SUMIF('CF.2'!$K$30:$K$59,'CF.1'!E14,'CF.2'!$M$30:$M$59)</f>
        <v>0</v>
      </c>
      <c r="S14" s="509">
        <f>SUMIF('CF.2'!$H$64:$H$97,'CF.1'!E14,'CF.2'!$J$64:$J$97)+SUMIF('CF.2'!$K$64:$K$97,'CF.1'!E14,'CF.2'!$M$64:$M$97)</f>
        <v>0</v>
      </c>
      <c r="T14" s="509">
        <f>SUMIF('CF.2'!$H$101:$H$107,'CF.1'!E14,'CF.2'!$J$101:$J$107)+SUMIF('CF.2'!$K$101:$K$107,'CF.1'!E14,'CF.2'!$M$101:$M$107)</f>
        <v>-920006498</v>
      </c>
      <c r="U14" s="509">
        <f>SUMIF('CF.2'!$H$112:$H$120,'CF.1'!E14,'CF.2'!$J$112:$J$120)+SUMIF('CF.2'!$K$112:$K$120,'CF.1'!E14,'CF.2'!$M$112:$M$120)</f>
        <v>0</v>
      </c>
      <c r="V14" s="510">
        <f t="shared" si="10"/>
        <v>-920006498</v>
      </c>
      <c r="X14" s="512">
        <f t="shared" si="6"/>
        <v>370148656</v>
      </c>
      <c r="Z14" s="164" t="b">
        <f>X14=T_IS!AA65</f>
        <v>1</v>
      </c>
    </row>
    <row r="15" spans="4:27" ht="18" customHeight="1">
      <c r="D15" s="506" t="s">
        <v>710</v>
      </c>
      <c r="E15" s="507" t="s">
        <v>710</v>
      </c>
      <c r="F15" s="508" t="s">
        <v>688</v>
      </c>
      <c r="G15" s="507" t="s">
        <v>688</v>
      </c>
      <c r="H15" s="509">
        <v>409104361</v>
      </c>
      <c r="I15" s="509">
        <v>0</v>
      </c>
      <c r="J15" s="509">
        <v>0</v>
      </c>
      <c r="K15" s="509">
        <v>0</v>
      </c>
      <c r="L15" s="509">
        <v>0</v>
      </c>
      <c r="M15" s="509"/>
      <c r="N15" s="509">
        <v>0</v>
      </c>
      <c r="O15" s="510">
        <f t="shared" si="9"/>
        <v>409104361</v>
      </c>
      <c r="Q15" s="511">
        <f>SUMIF('CF.2'!$H$5:$H$24,'CF.1'!E15,'CF.2'!$J$5:$J$24)-SUMIF('CF.2'!$K$5:$K$24,'CF.1'!E15,'CF.2'!$M$5:$M$24)</f>
        <v>0</v>
      </c>
      <c r="R15" s="509">
        <f>SUMIF('CF.2'!$H$30:$H$59,'CF.1'!E15,'CF.2'!$J$30:$J$59)+SUMIF('CF.2'!$K$30:$K$59,'CF.1'!E15,'CF.2'!$M$30:$M$59)</f>
        <v>0</v>
      </c>
      <c r="S15" s="509">
        <f>SUMIF('CF.2'!$H$64:$H$97,'CF.1'!E15,'CF.2'!$J$64:$J$97)+SUMIF('CF.2'!$K$64:$K$97,'CF.1'!E15,'CF.2'!$M$64:$M$97)</f>
        <v>0</v>
      </c>
      <c r="T15" s="509">
        <f>SUMIF('CF.2'!$H$101:$H$107,'CF.1'!E15,'CF.2'!$J$101:$J$107)+SUMIF('CF.2'!$K$101:$K$107,'CF.1'!E15,'CF.2'!$M$101:$M$107)</f>
        <v>0</v>
      </c>
      <c r="U15" s="509">
        <f>SUMIF('CF.2'!$H$112:$H$120,'CF.1'!E15,'CF.2'!$J$112:$J$120)+SUMIF('CF.2'!$K$112:$K$120,'CF.1'!E15,'CF.2'!$M$112:$M$120)</f>
        <v>0</v>
      </c>
      <c r="V15" s="510">
        <f t="shared" si="10"/>
        <v>0</v>
      </c>
      <c r="X15" s="512">
        <f t="shared" si="6"/>
        <v>409104361</v>
      </c>
      <c r="Z15" s="164" t="b">
        <f>T_IS!AA90+T_IS!AA91=X15</f>
        <v>1</v>
      </c>
    </row>
    <row r="16" spans="4:27" ht="18" customHeight="1">
      <c r="D16" s="506" t="s">
        <v>711</v>
      </c>
      <c r="E16" s="507" t="s">
        <v>711</v>
      </c>
      <c r="F16" s="508" t="s">
        <v>1503</v>
      </c>
      <c r="G16" s="507" t="s">
        <v>712</v>
      </c>
      <c r="H16" s="509">
        <v>0</v>
      </c>
      <c r="I16" s="509">
        <v>0</v>
      </c>
      <c r="J16" s="509">
        <v>0</v>
      </c>
      <c r="K16" s="509">
        <v>0</v>
      </c>
      <c r="L16" s="509">
        <v>0</v>
      </c>
      <c r="M16" s="509"/>
      <c r="N16" s="509">
        <v>0</v>
      </c>
      <c r="O16" s="510">
        <f t="shared" si="9"/>
        <v>0</v>
      </c>
      <c r="Q16" s="511">
        <f>SUMIF('CF.2'!$H$5:$H$24,'CF.1'!E16,'CF.2'!$J$5:$J$24)-SUMIF('CF.2'!$K$5:$K$24,'CF.1'!E16,'CF.2'!$M$5:$M$24)</f>
        <v>0</v>
      </c>
      <c r="R16" s="509">
        <f>SUMIF('CF.2'!$H$30:$H$59,'CF.1'!E16,'CF.2'!$J$30:$J$59)+SUMIF('CF.2'!$K$30:$K$59,'CF.1'!E16,'CF.2'!$M$30:$M$59)</f>
        <v>0</v>
      </c>
      <c r="S16" s="509">
        <f>SUMIF('CF.2'!$H$64:$H$97,'CF.1'!E16,'CF.2'!$J$64:$J$97)+SUMIF('CF.2'!$K$64:$K$97,'CF.1'!E16,'CF.2'!$M$64:$M$97)</f>
        <v>0</v>
      </c>
      <c r="T16" s="509">
        <f>SUMIF('CF.2'!$H$101:$H$107,'CF.1'!E16,'CF.2'!$J$101:$J$107)+SUMIF('CF.2'!$K$101:$K$107,'CF.1'!E16,'CF.2'!$M$101:$M$107)</f>
        <v>0</v>
      </c>
      <c r="U16" s="509">
        <f>SUMIF('CF.2'!$H$112:$H$120,'CF.1'!E16,'CF.2'!$J$112:$J$120)+SUMIF('CF.2'!$K$112:$K$120,'CF.1'!E16,'CF.2'!$M$112:$M$120)</f>
        <v>0</v>
      </c>
      <c r="V16" s="510">
        <f t="shared" si="10"/>
        <v>0</v>
      </c>
      <c r="X16" s="512">
        <f t="shared" si="6"/>
        <v>0</v>
      </c>
    </row>
    <row r="17" spans="4:26" ht="18" customHeight="1">
      <c r="D17" s="506" t="s">
        <v>713</v>
      </c>
      <c r="E17" s="507" t="s">
        <v>713</v>
      </c>
      <c r="F17" s="508" t="s">
        <v>1475</v>
      </c>
      <c r="G17" s="507" t="s">
        <v>714</v>
      </c>
      <c r="H17" s="509">
        <v>0</v>
      </c>
      <c r="I17" s="509">
        <v>0</v>
      </c>
      <c r="J17" s="509">
        <v>0</v>
      </c>
      <c r="K17" s="509">
        <v>0</v>
      </c>
      <c r="L17" s="509">
        <v>0</v>
      </c>
      <c r="M17" s="509"/>
      <c r="N17" s="509">
        <v>0</v>
      </c>
      <c r="O17" s="510">
        <f t="shared" si="9"/>
        <v>0</v>
      </c>
      <c r="Q17" s="511">
        <f>SUMIF('CF.2'!$H$5:$H$24,'CF.1'!E17,'CF.2'!$J$5:$J$24)-SUMIF('CF.2'!$K$5:$K$24,'CF.1'!E17,'CF.2'!$M$5:$M$24)</f>
        <v>0</v>
      </c>
      <c r="R17" s="509">
        <f>SUMIF('CF.2'!$H$30:$H$59,'CF.1'!E17,'CF.2'!$J$30:$J$59)+SUMIF('CF.2'!$K$30:$K$59,'CF.1'!E17,'CF.2'!$M$30:$M$59)</f>
        <v>0</v>
      </c>
      <c r="S17" s="509">
        <f>SUMIF('CF.2'!$H$64:$H$97,'CF.1'!E17,'CF.2'!$J$64:$J$97)+SUMIF('CF.2'!$K$64:$K$97,'CF.1'!E17,'CF.2'!$M$64:$M$97)</f>
        <v>0</v>
      </c>
      <c r="T17" s="509">
        <f>SUMIF('CF.2'!$H$101:$H$107,'CF.1'!E17,'CF.2'!$J$101:$J$107)+SUMIF('CF.2'!$K$101:$K$107,'CF.1'!E17,'CF.2'!$M$101:$M$107)</f>
        <v>0</v>
      </c>
      <c r="U17" s="509">
        <f>SUMIF('CF.2'!$H$112:$H$120,'CF.1'!E17,'CF.2'!$J$112:$J$120)+SUMIF('CF.2'!$K$112:$K$120,'CF.1'!E17,'CF.2'!$M$112:$M$120)</f>
        <v>0</v>
      </c>
      <c r="V17" s="510">
        <f t="shared" si="10"/>
        <v>0</v>
      </c>
      <c r="X17" s="512">
        <f t="shared" si="6"/>
        <v>0</v>
      </c>
    </row>
    <row r="18" spans="4:26" ht="18" customHeight="1">
      <c r="D18" s="506" t="s">
        <v>715</v>
      </c>
      <c r="E18" s="507" t="s">
        <v>715</v>
      </c>
      <c r="F18" s="508" t="s">
        <v>616</v>
      </c>
      <c r="G18" s="507" t="s">
        <v>716</v>
      </c>
      <c r="H18" s="509">
        <v>0</v>
      </c>
      <c r="I18" s="509">
        <v>0</v>
      </c>
      <c r="J18" s="509">
        <v>0</v>
      </c>
      <c r="K18" s="509">
        <v>0</v>
      </c>
      <c r="L18" s="509">
        <v>0</v>
      </c>
      <c r="M18" s="509"/>
      <c r="N18" s="509">
        <v>0</v>
      </c>
      <c r="O18" s="510">
        <f t="shared" si="9"/>
        <v>0</v>
      </c>
      <c r="Q18" s="511">
        <f>SUMIF('CF.2'!$H$5:$H$24,'CF.1'!E18,'CF.2'!$J$5:$J$24)-SUMIF('CF.2'!$K$5:$K$24,'CF.1'!E18,'CF.2'!$M$5:$M$24)</f>
        <v>0</v>
      </c>
      <c r="R18" s="509">
        <f>SUMIF('CF.2'!$H$30:$H$59,'CF.1'!E18,'CF.2'!$J$30:$J$59)+SUMIF('CF.2'!$K$30:$K$59,'CF.1'!E18,'CF.2'!$M$30:$M$59)</f>
        <v>0</v>
      </c>
      <c r="S18" s="509">
        <f>SUMIF('CF.2'!$H$64:$H$97,'CF.1'!E18,'CF.2'!$J$64:$J$97)+SUMIF('CF.2'!$K$64:$K$97,'CF.1'!E18,'CF.2'!$M$64:$M$97)</f>
        <v>0</v>
      </c>
      <c r="T18" s="509">
        <f>SUMIF('CF.2'!$H$101:$H$107,'CF.1'!E18,'CF.2'!$J$101:$J$107)+SUMIF('CF.2'!$K$101:$K$107,'CF.1'!E18,'CF.2'!$M$101:$M$107)</f>
        <v>0</v>
      </c>
      <c r="U18" s="509">
        <f>SUMIF('CF.2'!$H$112:$H$120,'CF.1'!E18,'CF.2'!$J$112:$J$120)+SUMIF('CF.2'!$K$112:$K$120,'CF.1'!E18,'CF.2'!$M$112:$M$120)</f>
        <v>0</v>
      </c>
      <c r="V18" s="510">
        <f t="shared" si="10"/>
        <v>0</v>
      </c>
      <c r="X18" s="512">
        <f t="shared" si="6"/>
        <v>0</v>
      </c>
    </row>
    <row r="19" spans="4:26" ht="18" customHeight="1">
      <c r="D19" s="506" t="s">
        <v>717</v>
      </c>
      <c r="E19" s="507" t="s">
        <v>717</v>
      </c>
      <c r="F19" s="508" t="s">
        <v>616</v>
      </c>
      <c r="G19" s="507" t="s">
        <v>718</v>
      </c>
      <c r="H19" s="509">
        <v>0</v>
      </c>
      <c r="I19" s="509">
        <v>0</v>
      </c>
      <c r="J19" s="509">
        <v>0</v>
      </c>
      <c r="K19" s="509">
        <v>0</v>
      </c>
      <c r="L19" s="509">
        <v>0</v>
      </c>
      <c r="M19" s="509"/>
      <c r="N19" s="509">
        <v>0</v>
      </c>
      <c r="O19" s="510">
        <f t="shared" si="9"/>
        <v>0</v>
      </c>
      <c r="Q19" s="511">
        <f>SUMIF('CF.2'!$H$5:$H$24,'CF.1'!E19,'CF.2'!$J$5:$J$24)-SUMIF('CF.2'!$K$5:$K$24,'CF.1'!E19,'CF.2'!$M$5:$M$24)</f>
        <v>0</v>
      </c>
      <c r="R19" s="509">
        <f>SUMIF('CF.2'!$H$30:$H$59,'CF.1'!E19,'CF.2'!$J$30:$J$59)+SUMIF('CF.2'!$K$30:$K$59,'CF.1'!E19,'CF.2'!$M$30:$M$59)</f>
        <v>0</v>
      </c>
      <c r="S19" s="509">
        <f>SUMIF('CF.2'!$H$64:$H$97,'CF.1'!E19,'CF.2'!$J$64:$J$97)+SUMIF('CF.2'!$K$64:$K$97,'CF.1'!E19,'CF.2'!$M$64:$M$97)</f>
        <v>0</v>
      </c>
      <c r="T19" s="509">
        <f>SUMIF('CF.2'!$H$101:$H$107,'CF.1'!E19,'CF.2'!$J$101:$J$107)+SUMIF('CF.2'!$K$101:$K$107,'CF.1'!E19,'CF.2'!$M$101:$M$107)</f>
        <v>0</v>
      </c>
      <c r="U19" s="509">
        <f>SUMIF('CF.2'!$H$112:$H$120,'CF.1'!E19,'CF.2'!$J$112:$J$120)+SUMIF('CF.2'!$K$112:$K$120,'CF.1'!E19,'CF.2'!$M$112:$M$120)</f>
        <v>0</v>
      </c>
      <c r="V19" s="510">
        <f t="shared" si="10"/>
        <v>0</v>
      </c>
      <c r="X19" s="512">
        <f t="shared" si="6"/>
        <v>0</v>
      </c>
    </row>
    <row r="20" spans="4:26" ht="18" customHeight="1">
      <c r="D20" s="506" t="s">
        <v>719</v>
      </c>
      <c r="E20" s="507" t="s">
        <v>719</v>
      </c>
      <c r="F20" s="508" t="s">
        <v>1880</v>
      </c>
      <c r="G20" s="507" t="s">
        <v>720</v>
      </c>
      <c r="H20" s="509">
        <v>0</v>
      </c>
      <c r="I20" s="509">
        <v>0</v>
      </c>
      <c r="J20" s="509">
        <v>0</v>
      </c>
      <c r="K20" s="509">
        <v>0</v>
      </c>
      <c r="L20" s="509">
        <v>0</v>
      </c>
      <c r="M20" s="509"/>
      <c r="N20" s="509">
        <v>0</v>
      </c>
      <c r="O20" s="510">
        <f t="shared" si="9"/>
        <v>0</v>
      </c>
      <c r="Q20" s="511">
        <f>SUMIF('CF.2'!$H$5:$H$24,'CF.1'!E20,'CF.2'!$J$5:$J$24)-SUMIF('CF.2'!$K$5:$K$24,'CF.1'!E20,'CF.2'!$M$5:$M$24)</f>
        <v>0</v>
      </c>
      <c r="R20" s="509">
        <f>SUMIF('CF.2'!$H$30:$H$59,'CF.1'!E20,'CF.2'!$J$30:$J$59)+SUMIF('CF.2'!$K$30:$K$59,'CF.1'!E20,'CF.2'!$M$30:$M$59)</f>
        <v>798641919</v>
      </c>
      <c r="S20" s="509">
        <f>SUMIF('CF.2'!$H$64:$H$97,'CF.1'!E20,'CF.2'!$J$64:$J$97)+SUMIF('CF.2'!$K$64:$K$97,'CF.1'!E20,'CF.2'!$M$64:$M$97)</f>
        <v>0</v>
      </c>
      <c r="T20" s="509">
        <f>SUMIF('CF.2'!$H$101:$H$107,'CF.1'!E20,'CF.2'!$J$101:$J$107)+SUMIF('CF.2'!$K$101:$K$107,'CF.1'!E20,'CF.2'!$M$101:$M$107)</f>
        <v>0</v>
      </c>
      <c r="U20" s="509">
        <f>SUMIF('CF.2'!$H$112:$H$120,'CF.1'!E20,'CF.2'!$J$112:$J$120)+SUMIF('CF.2'!$K$112:$K$120,'CF.1'!E20,'CF.2'!$M$112:$M$120)</f>
        <v>0</v>
      </c>
      <c r="V20" s="510">
        <f t="shared" si="10"/>
        <v>798641919</v>
      </c>
      <c r="X20" s="512">
        <f t="shared" si="6"/>
        <v>798641919</v>
      </c>
      <c r="Z20" s="164" t="b">
        <f>X20=-T_IS!AA111</f>
        <v>1</v>
      </c>
    </row>
    <row r="21" spans="4:26" ht="18" customHeight="1">
      <c r="D21" s="506" t="s">
        <v>721</v>
      </c>
      <c r="E21" s="507" t="s">
        <v>721</v>
      </c>
      <c r="F21" s="508" t="s">
        <v>616</v>
      </c>
      <c r="G21" s="507" t="s">
        <v>722</v>
      </c>
      <c r="H21" s="509">
        <v>0</v>
      </c>
      <c r="I21" s="509">
        <v>0</v>
      </c>
      <c r="J21" s="509">
        <v>0</v>
      </c>
      <c r="K21" s="509">
        <v>0</v>
      </c>
      <c r="L21" s="509">
        <v>0</v>
      </c>
      <c r="M21" s="509"/>
      <c r="N21" s="509">
        <v>0</v>
      </c>
      <c r="O21" s="510">
        <f t="shared" si="9"/>
        <v>0</v>
      </c>
      <c r="Q21" s="511">
        <f>SUMIF('CF.2'!$H$5:$H$24,'CF.1'!E21,'CF.2'!$J$5:$J$24)-SUMIF('CF.2'!$K$5:$K$24,'CF.1'!E21,'CF.2'!$M$5:$M$24)</f>
        <v>0</v>
      </c>
      <c r="R21" s="509">
        <f>SUMIF('CF.2'!$H$30:$H$59,'CF.1'!E21,'CF.2'!$J$30:$J$59)+SUMIF('CF.2'!$K$30:$K$59,'CF.1'!E21,'CF.2'!$M$30:$M$59)</f>
        <v>0</v>
      </c>
      <c r="S21" s="509">
        <f>SUMIF('CF.2'!$H$64:$H$97,'CF.1'!E21,'CF.2'!$J$64:$J$97)+SUMIF('CF.2'!$K$64:$K$97,'CF.1'!E21,'CF.2'!$M$64:$M$97)</f>
        <v>0</v>
      </c>
      <c r="T21" s="509">
        <f>SUMIF('CF.2'!$H$101:$H$107,'CF.1'!E21,'CF.2'!$J$101:$J$107)+SUMIF('CF.2'!$K$101:$K$107,'CF.1'!E21,'CF.2'!$M$101:$M$107)</f>
        <v>0</v>
      </c>
      <c r="U21" s="509">
        <f>SUMIF('CF.2'!$H$112:$H$120,'CF.1'!E21,'CF.2'!$J$112:$J$120)+SUMIF('CF.2'!$K$112:$K$120,'CF.1'!E21,'CF.2'!$M$112:$M$120)</f>
        <v>0</v>
      </c>
      <c r="V21" s="510">
        <f t="shared" si="10"/>
        <v>0</v>
      </c>
      <c r="X21" s="512">
        <f t="shared" si="6"/>
        <v>0</v>
      </c>
    </row>
    <row r="22" spans="4:26" ht="18" customHeight="1">
      <c r="D22" s="506" t="s">
        <v>723</v>
      </c>
      <c r="E22" s="507" t="s">
        <v>723</v>
      </c>
      <c r="F22" s="508" t="s">
        <v>378</v>
      </c>
      <c r="G22" s="507" t="s">
        <v>724</v>
      </c>
      <c r="H22" s="509">
        <v>25472597960</v>
      </c>
      <c r="I22" s="509">
        <v>0</v>
      </c>
      <c r="J22" s="509">
        <v>0</v>
      </c>
      <c r="K22" s="509">
        <v>0</v>
      </c>
      <c r="L22" s="509">
        <v>0</v>
      </c>
      <c r="M22" s="509"/>
      <c r="N22" s="509">
        <v>0</v>
      </c>
      <c r="O22" s="510">
        <f t="shared" si="9"/>
        <v>25472597960</v>
      </c>
      <c r="Q22" s="511">
        <f>SUMIF('CF.2'!$H$5:$H$24,'CF.1'!E22,'CF.2'!$J$5:$J$24)-SUMIF('CF.2'!$K$5:$K$24,'CF.1'!E22,'CF.2'!$M$5:$M$24)</f>
        <v>0</v>
      </c>
      <c r="R22" s="509">
        <f>SUMIF('CF.2'!$H$30:$H$59,'CF.1'!E22,'CF.2'!$J$30:$J$59)+SUMIF('CF.2'!$K$30:$K$59,'CF.1'!E22,'CF.2'!$M$30:$M$59)</f>
        <v>0</v>
      </c>
      <c r="S22" s="509">
        <f>SUMIF('CF.2'!$H$64:$H$97,'CF.1'!E22,'CF.2'!$J$64:$J$97)+SUMIF('CF.2'!$K$64:$K$97,'CF.1'!E22,'CF.2'!$M$64:$M$97)</f>
        <v>0</v>
      </c>
      <c r="T22" s="509">
        <f>SUMIF('CF.2'!$H$101:$H$107,'CF.1'!E22,'CF.2'!$J$101:$J$107)+SUMIF('CF.2'!$K$101:$K$107,'CF.1'!E22,'CF.2'!$M$101:$M$107)</f>
        <v>0</v>
      </c>
      <c r="U22" s="509">
        <f>SUMIF('CF.2'!$H$112:$H$120,'CF.1'!E22,'CF.2'!$J$112:$J$120)+SUMIF('CF.2'!$K$112:$K$120,'CF.1'!E22,'CF.2'!$M$112:$M$120)</f>
        <v>-25472597960</v>
      </c>
      <c r="V22" s="510">
        <f t="shared" si="10"/>
        <v>-25472597960</v>
      </c>
      <c r="X22" s="512">
        <f t="shared" si="6"/>
        <v>0</v>
      </c>
    </row>
    <row r="23" spans="4:26" ht="18" customHeight="1">
      <c r="D23" s="506" t="s">
        <v>725</v>
      </c>
      <c r="E23" s="507" t="s">
        <v>725</v>
      </c>
      <c r="F23" s="508"/>
      <c r="G23" s="507" t="s">
        <v>726</v>
      </c>
      <c r="H23" s="509">
        <v>0</v>
      </c>
      <c r="I23" s="509">
        <v>0</v>
      </c>
      <c r="J23" s="509">
        <v>0</v>
      </c>
      <c r="K23" s="509">
        <v>0</v>
      </c>
      <c r="L23" s="509">
        <v>0</v>
      </c>
      <c r="M23" s="509"/>
      <c r="N23" s="509">
        <v>0</v>
      </c>
      <c r="O23" s="510">
        <f t="shared" si="9"/>
        <v>0</v>
      </c>
      <c r="Q23" s="511">
        <f>SUMIF('CF.2'!$H$5:$H$24,'CF.1'!E23,'CF.2'!$J$5:$J$24)-SUMIF('CF.2'!$K$5:$K$24,'CF.1'!E23,'CF.2'!$M$5:$M$24)</f>
        <v>0</v>
      </c>
      <c r="R23" s="509">
        <f>SUMIF('CF.2'!$H$30:$H$59,'CF.1'!E23,'CF.2'!$J$30:$J$59)+SUMIF('CF.2'!$K$30:$K$59,'CF.1'!E23,'CF.2'!$M$30:$M$59)</f>
        <v>0</v>
      </c>
      <c r="S23" s="509">
        <f>SUMIF('CF.2'!$H$64:$H$97,'CF.1'!E23,'CF.2'!$J$64:$J$97)+SUMIF('CF.2'!$K$64:$K$97,'CF.1'!E23,'CF.2'!$M$64:$M$97)</f>
        <v>0</v>
      </c>
      <c r="T23" s="509">
        <f>SUMIF('CF.2'!$H$101:$H$107,'CF.1'!E23,'CF.2'!$J$101:$J$107)+SUMIF('CF.2'!$K$101:$K$107,'CF.1'!E23,'CF.2'!$M$101:$M$107)</f>
        <v>0</v>
      </c>
      <c r="U23" s="509">
        <f>SUMIF('CF.2'!$H$112:$H$120,'CF.1'!E23,'CF.2'!$J$112:$J$120)+SUMIF('CF.2'!$K$112:$K$120,'CF.1'!E23,'CF.2'!$M$112:$M$120)</f>
        <v>0</v>
      </c>
      <c r="V23" s="510">
        <f t="shared" si="10"/>
        <v>0</v>
      </c>
      <c r="X23" s="512">
        <f t="shared" si="6"/>
        <v>0</v>
      </c>
    </row>
    <row r="24" spans="4:26" ht="18" customHeight="1">
      <c r="D24" s="506" t="s">
        <v>727</v>
      </c>
      <c r="E24" s="507" t="s">
        <v>727</v>
      </c>
      <c r="F24" s="508"/>
      <c r="G24" s="507" t="s">
        <v>728</v>
      </c>
      <c r="H24" s="509">
        <v>0</v>
      </c>
      <c r="I24" s="509">
        <v>0</v>
      </c>
      <c r="J24" s="509">
        <v>0</v>
      </c>
      <c r="K24" s="509">
        <v>0</v>
      </c>
      <c r="L24" s="509">
        <v>0</v>
      </c>
      <c r="M24" s="509"/>
      <c r="N24" s="509">
        <v>0</v>
      </c>
      <c r="O24" s="510">
        <f t="shared" si="9"/>
        <v>0</v>
      </c>
      <c r="Q24" s="511">
        <f>SUMIF('CF.2'!$H$5:$H$24,'CF.1'!E24,'CF.2'!$J$5:$J$24)-SUMIF('CF.2'!$K$5:$K$24,'CF.1'!E24,'CF.2'!$M$5:$M$24)</f>
        <v>0</v>
      </c>
      <c r="R24" s="509">
        <f>SUMIF('CF.2'!$H$30:$H$59,'CF.1'!E24,'CF.2'!$J$30:$J$59)+SUMIF('CF.2'!$K$30:$K$59,'CF.1'!E24,'CF.2'!$M$30:$M$59)</f>
        <v>0</v>
      </c>
      <c r="S24" s="509">
        <f>SUMIF('CF.2'!$H$64:$H$97,'CF.1'!E24,'CF.2'!$J$64:$J$97)+SUMIF('CF.2'!$K$64:$K$97,'CF.1'!E24,'CF.2'!$M$64:$M$97)</f>
        <v>0</v>
      </c>
      <c r="T24" s="509">
        <f>SUMIF('CF.2'!$H$101:$H$107,'CF.1'!E24,'CF.2'!$J$101:$J$107)+SUMIF('CF.2'!$K$101:$K$107,'CF.1'!E24,'CF.2'!$M$101:$M$107)</f>
        <v>0</v>
      </c>
      <c r="U24" s="509">
        <f>SUMIF('CF.2'!$H$112:$H$120,'CF.1'!E24,'CF.2'!$J$112:$J$120)+SUMIF('CF.2'!$K$112:$K$120,'CF.1'!E24,'CF.2'!$M$112:$M$120)</f>
        <v>0</v>
      </c>
      <c r="V24" s="510">
        <f t="shared" si="10"/>
        <v>0</v>
      </c>
      <c r="X24" s="512">
        <f t="shared" si="6"/>
        <v>0</v>
      </c>
    </row>
    <row r="25" spans="4:26" ht="18" customHeight="1">
      <c r="D25" s="506" t="s">
        <v>729</v>
      </c>
      <c r="E25" s="507" t="s">
        <v>729</v>
      </c>
      <c r="F25" s="508"/>
      <c r="G25" s="507" t="s">
        <v>730</v>
      </c>
      <c r="H25" s="509">
        <v>0</v>
      </c>
      <c r="I25" s="509">
        <v>0</v>
      </c>
      <c r="J25" s="509">
        <v>0</v>
      </c>
      <c r="K25" s="509">
        <v>0</v>
      </c>
      <c r="L25" s="509">
        <v>0</v>
      </c>
      <c r="M25" s="509"/>
      <c r="N25" s="509">
        <v>0</v>
      </c>
      <c r="O25" s="510">
        <f t="shared" si="9"/>
        <v>0</v>
      </c>
      <c r="Q25" s="511">
        <f>SUMIF('CF.2'!$H$5:$H$24,'CF.1'!E25,'CF.2'!$J$5:$J$24)-SUMIF('CF.2'!$K$5:$K$24,'CF.1'!E25,'CF.2'!$M$5:$M$24)</f>
        <v>0</v>
      </c>
      <c r="R25" s="509">
        <f>SUMIF('CF.2'!$H$30:$H$59,'CF.1'!E25,'CF.2'!$J$30:$J$59)+SUMIF('CF.2'!$K$30:$K$59,'CF.1'!E25,'CF.2'!$M$30:$M$59)</f>
        <v>0</v>
      </c>
      <c r="S25" s="509">
        <f>SUMIF('CF.2'!$H$64:$H$97,'CF.1'!E25,'CF.2'!$J$64:$J$97)+SUMIF('CF.2'!$K$64:$K$97,'CF.1'!E25,'CF.2'!$M$64:$M$97)</f>
        <v>0</v>
      </c>
      <c r="T25" s="509">
        <f>SUMIF('CF.2'!$H$101:$H$107,'CF.1'!E25,'CF.2'!$J$101:$J$107)+SUMIF('CF.2'!$K$101:$K$107,'CF.1'!E25,'CF.2'!$M$101:$M$107)</f>
        <v>0</v>
      </c>
      <c r="U25" s="509">
        <f>SUMIF('CF.2'!$H$112:$H$120,'CF.1'!E25,'CF.2'!$J$112:$J$120)+SUMIF('CF.2'!$K$112:$K$120,'CF.1'!E25,'CF.2'!$M$112:$M$120)</f>
        <v>0</v>
      </c>
      <c r="V25" s="510">
        <f t="shared" si="10"/>
        <v>0</v>
      </c>
      <c r="X25" s="512">
        <f t="shared" si="6"/>
        <v>0</v>
      </c>
    </row>
    <row r="26" spans="4:26" ht="18" customHeight="1">
      <c r="D26" s="506" t="s">
        <v>731</v>
      </c>
      <c r="E26" s="507" t="s">
        <v>731</v>
      </c>
      <c r="F26" s="508"/>
      <c r="G26" s="507" t="s">
        <v>732</v>
      </c>
      <c r="H26" s="509">
        <v>0</v>
      </c>
      <c r="I26" s="509">
        <v>0</v>
      </c>
      <c r="J26" s="509">
        <v>0</v>
      </c>
      <c r="K26" s="509">
        <v>0</v>
      </c>
      <c r="L26" s="509">
        <v>0</v>
      </c>
      <c r="M26" s="509"/>
      <c r="N26" s="509">
        <v>0</v>
      </c>
      <c r="O26" s="510">
        <f t="shared" si="9"/>
        <v>0</v>
      </c>
      <c r="Q26" s="511">
        <f>SUMIF('CF.2'!$H$5:$H$24,'CF.1'!E26,'CF.2'!$J$5:$J$24)-SUMIF('CF.2'!$K$5:$K$24,'CF.1'!E26,'CF.2'!$M$5:$M$24)</f>
        <v>0</v>
      </c>
      <c r="R26" s="509">
        <f>SUMIF('CF.2'!$H$30:$H$59,'CF.1'!E26,'CF.2'!$J$30:$J$59)+SUMIF('CF.2'!$K$30:$K$59,'CF.1'!E26,'CF.2'!$M$30:$M$59)</f>
        <v>0</v>
      </c>
      <c r="S26" s="509">
        <f>SUMIF('CF.2'!$H$64:$H$97,'CF.1'!E26,'CF.2'!$J$64:$J$97)+SUMIF('CF.2'!$K$64:$K$97,'CF.1'!E26,'CF.2'!$M$64:$M$97)</f>
        <v>0</v>
      </c>
      <c r="T26" s="509">
        <f>SUMIF('CF.2'!$H$101:$H$107,'CF.1'!E26,'CF.2'!$J$101:$J$107)+SUMIF('CF.2'!$K$101:$K$107,'CF.1'!E26,'CF.2'!$M$101:$M$107)</f>
        <v>0</v>
      </c>
      <c r="U26" s="509">
        <f>SUMIF('CF.2'!$H$112:$H$120,'CF.1'!E26,'CF.2'!$J$112:$J$120)+SUMIF('CF.2'!$K$112:$K$120,'CF.1'!E26,'CF.2'!$M$112:$M$120)</f>
        <v>0</v>
      </c>
      <c r="V26" s="510">
        <f t="shared" si="10"/>
        <v>0</v>
      </c>
      <c r="X26" s="512">
        <f t="shared" si="6"/>
        <v>0</v>
      </c>
    </row>
    <row r="27" spans="4:26" ht="18" customHeight="1">
      <c r="D27" s="506" t="s">
        <v>733</v>
      </c>
      <c r="E27" s="507" t="s">
        <v>733</v>
      </c>
      <c r="F27" s="508"/>
      <c r="G27" s="507" t="s">
        <v>734</v>
      </c>
      <c r="H27" s="509">
        <v>0</v>
      </c>
      <c r="I27" s="509">
        <v>0</v>
      </c>
      <c r="J27" s="509">
        <v>0</v>
      </c>
      <c r="K27" s="509">
        <v>0</v>
      </c>
      <c r="L27" s="509">
        <v>0</v>
      </c>
      <c r="M27" s="509"/>
      <c r="N27" s="509">
        <v>0</v>
      </c>
      <c r="O27" s="510">
        <f t="shared" si="9"/>
        <v>0</v>
      </c>
      <c r="Q27" s="511">
        <f>SUMIF('CF.2'!$H$5:$H$24,'CF.1'!E27,'CF.2'!$J$5:$J$24)-SUMIF('CF.2'!$K$5:$K$24,'CF.1'!E27,'CF.2'!$M$5:$M$24)</f>
        <v>0</v>
      </c>
      <c r="R27" s="509">
        <f>SUMIF('CF.2'!$H$30:$H$59,'CF.1'!E27,'CF.2'!$J$30:$J$59)+SUMIF('CF.2'!$K$30:$K$59,'CF.1'!E27,'CF.2'!$M$30:$M$59)</f>
        <v>0</v>
      </c>
      <c r="S27" s="509">
        <f>SUMIF('CF.2'!$H$64:$H$97,'CF.1'!E27,'CF.2'!$J$64:$J$97)+SUMIF('CF.2'!$K$64:$K$97,'CF.1'!E27,'CF.2'!$M$64:$M$97)</f>
        <v>0</v>
      </c>
      <c r="T27" s="509">
        <f>SUMIF('CF.2'!$H$101:$H$107,'CF.1'!E27,'CF.2'!$J$101:$J$107)+SUMIF('CF.2'!$K$101:$K$107,'CF.1'!E27,'CF.2'!$M$101:$M$107)</f>
        <v>0</v>
      </c>
      <c r="U27" s="509">
        <f>SUMIF('CF.2'!$H$112:$H$120,'CF.1'!E27,'CF.2'!$J$112:$J$120)+SUMIF('CF.2'!$K$112:$K$120,'CF.1'!E27,'CF.2'!$M$112:$M$120)</f>
        <v>0</v>
      </c>
      <c r="V27" s="510">
        <f t="shared" si="10"/>
        <v>0</v>
      </c>
      <c r="X27" s="512">
        <f t="shared" si="6"/>
        <v>0</v>
      </c>
    </row>
    <row r="28" spans="4:26" ht="18" customHeight="1">
      <c r="D28" s="506" t="s">
        <v>735</v>
      </c>
      <c r="E28" s="507" t="s">
        <v>735</v>
      </c>
      <c r="F28" s="508"/>
      <c r="G28" s="507" t="s">
        <v>736</v>
      </c>
      <c r="H28" s="509">
        <v>0</v>
      </c>
      <c r="I28" s="509">
        <v>0</v>
      </c>
      <c r="J28" s="509">
        <v>0</v>
      </c>
      <c r="K28" s="509">
        <v>0</v>
      </c>
      <c r="L28" s="509">
        <v>0</v>
      </c>
      <c r="M28" s="509"/>
      <c r="N28" s="509">
        <v>0</v>
      </c>
      <c r="O28" s="510">
        <f t="shared" si="9"/>
        <v>0</v>
      </c>
      <c r="Q28" s="511">
        <f>SUMIF('CF.2'!$H$5:$H$24,'CF.1'!E28,'CF.2'!$J$5:$J$24)-SUMIF('CF.2'!$K$5:$K$24,'CF.1'!E28,'CF.2'!$M$5:$M$24)</f>
        <v>0</v>
      </c>
      <c r="R28" s="509">
        <f>SUMIF('CF.2'!$H$30:$H$59,'CF.1'!E28,'CF.2'!$J$30:$J$59)+SUMIF('CF.2'!$K$30:$K$59,'CF.1'!E28,'CF.2'!$M$30:$M$59)</f>
        <v>0</v>
      </c>
      <c r="S28" s="509">
        <f>SUMIF('CF.2'!$H$64:$H$97,'CF.1'!E28,'CF.2'!$J$64:$J$97)+SUMIF('CF.2'!$K$64:$K$97,'CF.1'!E28,'CF.2'!$M$64:$M$97)</f>
        <v>0</v>
      </c>
      <c r="T28" s="509">
        <f>SUMIF('CF.2'!$H$101:$H$107,'CF.1'!E28,'CF.2'!$J$101:$J$107)+SUMIF('CF.2'!$K$101:$K$107,'CF.1'!E28,'CF.2'!$M$101:$M$107)</f>
        <v>0</v>
      </c>
      <c r="U28" s="509">
        <f>SUMIF('CF.2'!$H$112:$H$120,'CF.1'!E28,'CF.2'!$J$112:$J$120)+SUMIF('CF.2'!$K$112:$K$120,'CF.1'!E28,'CF.2'!$M$112:$M$120)</f>
        <v>0</v>
      </c>
      <c r="V28" s="510">
        <f t="shared" si="10"/>
        <v>0</v>
      </c>
      <c r="X28" s="512">
        <f t="shared" si="6"/>
        <v>0</v>
      </c>
    </row>
    <row r="29" spans="4:26" ht="18" customHeight="1">
      <c r="D29" s="506" t="s">
        <v>737</v>
      </c>
      <c r="E29" s="507" t="s">
        <v>737</v>
      </c>
      <c r="F29" s="508" t="s">
        <v>692</v>
      </c>
      <c r="G29" s="507" t="s">
        <v>692</v>
      </c>
      <c r="H29" s="509">
        <v>25430480</v>
      </c>
      <c r="I29" s="509">
        <v>0</v>
      </c>
      <c r="J29" s="509">
        <v>0</v>
      </c>
      <c r="K29" s="509">
        <v>0</v>
      </c>
      <c r="L29" s="509">
        <v>0</v>
      </c>
      <c r="M29" s="509"/>
      <c r="N29" s="509">
        <v>0</v>
      </c>
      <c r="O29" s="510">
        <f t="shared" si="9"/>
        <v>25430480</v>
      </c>
      <c r="Q29" s="511">
        <f>SUMIF('CF.2'!$H$5:$H$24,'CF.1'!E29,'CF.2'!$J$5:$J$24)-SUMIF('CF.2'!$K$5:$K$24,'CF.1'!E29,'CF.2'!$M$5:$M$24)</f>
        <v>0</v>
      </c>
      <c r="R29" s="509">
        <f>SUMIF('CF.2'!$H$30:$H$59,'CF.1'!E29,'CF.2'!$J$30:$J$59)+SUMIF('CF.2'!$K$30:$K$59,'CF.1'!E29,'CF.2'!$M$30:$M$59)</f>
        <v>0</v>
      </c>
      <c r="S29" s="509">
        <f>SUMIF('CF.2'!$H$64:$H$97,'CF.1'!E29,'CF.2'!$J$64:$J$97)+SUMIF('CF.2'!$K$64:$K$97,'CF.1'!E29,'CF.2'!$M$64:$M$97)</f>
        <v>0</v>
      </c>
      <c r="T29" s="509">
        <f>SUMIF('CF.2'!$H$101:$H$107,'CF.1'!E29,'CF.2'!$J$101:$J$107)+SUMIF('CF.2'!$K$101:$K$107,'CF.1'!E29,'CF.2'!$M$101:$M$107)</f>
        <v>0</v>
      </c>
      <c r="U29" s="509">
        <f>SUMIF('CF.2'!$H$112:$H$120,'CF.1'!E29,'CF.2'!$J$112:$J$120)+SUMIF('CF.2'!$K$112:$K$120,'CF.1'!E29,'CF.2'!$M$112:$M$120)</f>
        <v>0</v>
      </c>
      <c r="V29" s="510">
        <f t="shared" si="10"/>
        <v>0</v>
      </c>
      <c r="X29" s="512">
        <f t="shared" si="6"/>
        <v>25430480</v>
      </c>
    </row>
    <row r="30" spans="4:26" ht="18" customHeight="1">
      <c r="D30" s="506" t="s">
        <v>738</v>
      </c>
      <c r="E30" s="507" t="s">
        <v>738</v>
      </c>
      <c r="F30" s="508" t="s">
        <v>739</v>
      </c>
      <c r="G30" s="507" t="s">
        <v>739</v>
      </c>
      <c r="H30" s="509">
        <v>127467924</v>
      </c>
      <c r="I30" s="509">
        <v>0</v>
      </c>
      <c r="J30" s="509">
        <v>0</v>
      </c>
      <c r="K30" s="509">
        <v>0</v>
      </c>
      <c r="L30" s="509">
        <v>0</v>
      </c>
      <c r="M30" s="509"/>
      <c r="N30" s="509">
        <v>0</v>
      </c>
      <c r="O30" s="510">
        <f t="shared" si="9"/>
        <v>127467924</v>
      </c>
      <c r="Q30" s="511">
        <f>SUMIF('CF.2'!$H$5:$H$24,'CF.1'!E30,'CF.2'!$J$5:$J$24)-SUMIF('CF.2'!$K$5:$K$24,'CF.1'!E30,'CF.2'!$M$5:$M$24)</f>
        <v>0</v>
      </c>
      <c r="R30" s="509">
        <f>SUMIF('CF.2'!$H$30:$H$59,'CF.1'!E30,'CF.2'!$J$30:$J$59)+SUMIF('CF.2'!$K$30:$K$59,'CF.1'!E30,'CF.2'!$M$30:$M$59)</f>
        <v>0</v>
      </c>
      <c r="S30" s="509">
        <f>SUMIF('CF.2'!$H$64:$H$97,'CF.1'!E30,'CF.2'!$J$64:$J$97)+SUMIF('CF.2'!$K$64:$K$97,'CF.1'!E30,'CF.2'!$M$64:$M$97)</f>
        <v>0</v>
      </c>
      <c r="T30" s="509">
        <f>SUMIF('CF.2'!$H$101:$H$107,'CF.1'!E30,'CF.2'!$J$101:$J$107)+SUMIF('CF.2'!$K$101:$K$107,'CF.1'!E30,'CF.2'!$M$101:$M$107)</f>
        <v>0</v>
      </c>
      <c r="U30" s="509">
        <f>SUMIF('CF.2'!$H$112:$H$120,'CF.1'!E30,'CF.2'!$J$112:$J$120)+SUMIF('CF.2'!$K$112:$K$120,'CF.1'!E30,'CF.2'!$M$112:$M$120)</f>
        <v>0</v>
      </c>
      <c r="V30" s="510">
        <f t="shared" si="10"/>
        <v>0</v>
      </c>
      <c r="X30" s="512">
        <f t="shared" si="6"/>
        <v>127467924</v>
      </c>
    </row>
    <row r="31" spans="4:26" ht="18" customHeight="1">
      <c r="D31" s="506" t="s">
        <v>740</v>
      </c>
      <c r="E31" s="507" t="s">
        <v>740</v>
      </c>
      <c r="F31" s="508" t="s">
        <v>741</v>
      </c>
      <c r="G31" s="507" t="s">
        <v>741</v>
      </c>
      <c r="H31" s="509">
        <v>15979275</v>
      </c>
      <c r="I31" s="509">
        <v>0</v>
      </c>
      <c r="J31" s="509">
        <v>0</v>
      </c>
      <c r="K31" s="509">
        <v>0</v>
      </c>
      <c r="L31" s="509">
        <v>0</v>
      </c>
      <c r="M31" s="509"/>
      <c r="N31" s="509">
        <v>0</v>
      </c>
      <c r="O31" s="510">
        <f t="shared" si="9"/>
        <v>15979275</v>
      </c>
      <c r="Q31" s="511">
        <f>SUMIF('CF.2'!$H$5:$H$24,'CF.1'!E31,'CF.2'!$J$5:$J$24)-SUMIF('CF.2'!$K$5:$K$24,'CF.1'!E31,'CF.2'!$M$5:$M$24)</f>
        <v>0</v>
      </c>
      <c r="R31" s="509">
        <f>SUMIF('CF.2'!$H$30:$H$59,'CF.1'!E31,'CF.2'!$J$30:$J$59)+SUMIF('CF.2'!$K$30:$K$59,'CF.1'!E31,'CF.2'!$M$30:$M$59)</f>
        <v>0</v>
      </c>
      <c r="S31" s="509">
        <f>SUMIF('CF.2'!$H$64:$H$97,'CF.1'!E31,'CF.2'!$J$64:$J$97)+SUMIF('CF.2'!$K$64:$K$97,'CF.1'!E31,'CF.2'!$M$64:$M$97)</f>
        <v>0</v>
      </c>
      <c r="T31" s="509">
        <f>SUMIF('CF.2'!$H$101:$H$107,'CF.1'!E31,'CF.2'!$J$101:$J$107)+SUMIF('CF.2'!$K$101:$K$107,'CF.1'!E31,'CF.2'!$M$101:$M$107)</f>
        <v>0</v>
      </c>
      <c r="U31" s="509">
        <f>SUMIF('CF.2'!$H$112:$H$120,'CF.1'!E31,'CF.2'!$J$112:$J$120)+SUMIF('CF.2'!$K$112:$K$120,'CF.1'!E31,'CF.2'!$M$112:$M$120)</f>
        <v>0</v>
      </c>
      <c r="V31" s="510">
        <f t="shared" si="10"/>
        <v>0</v>
      </c>
      <c r="X31" s="512">
        <f t="shared" si="6"/>
        <v>15979275</v>
      </c>
    </row>
    <row r="32" spans="4:26" ht="18" customHeight="1">
      <c r="D32" s="506" t="s">
        <v>742</v>
      </c>
      <c r="E32" s="507" t="s">
        <v>742</v>
      </c>
      <c r="F32" s="508" t="s">
        <v>483</v>
      </c>
      <c r="G32" s="507" t="s">
        <v>483</v>
      </c>
      <c r="H32" s="509">
        <v>0</v>
      </c>
      <c r="I32" s="509">
        <v>0</v>
      </c>
      <c r="J32" s="509">
        <v>0</v>
      </c>
      <c r="K32" s="509">
        <v>0</v>
      </c>
      <c r="L32" s="509">
        <v>0</v>
      </c>
      <c r="M32" s="509"/>
      <c r="N32" s="509">
        <v>0</v>
      </c>
      <c r="O32" s="510">
        <f t="shared" si="9"/>
        <v>0</v>
      </c>
      <c r="Q32" s="511">
        <f>SUMIF('CF.2'!$H$5:$H$24,'CF.1'!E32,'CF.2'!$J$5:$J$24)-SUMIF('CF.2'!$K$5:$K$24,'CF.1'!E32,'CF.2'!$M$5:$M$24)</f>
        <v>0</v>
      </c>
      <c r="R32" s="509">
        <f>SUMIF('CF.2'!$H$30:$H$59,'CF.1'!E32,'CF.2'!$J$30:$J$59)+SUMIF('CF.2'!$K$30:$K$59,'CF.1'!E32,'CF.2'!$M$30:$M$59)</f>
        <v>0</v>
      </c>
      <c r="S32" s="509">
        <f>SUMIF('CF.2'!$H$64:$H$97,'CF.1'!E32,'CF.2'!$J$64:$J$97)+SUMIF('CF.2'!$K$64:$K$97,'CF.1'!E32,'CF.2'!$M$64:$M$97)</f>
        <v>0</v>
      </c>
      <c r="T32" s="509">
        <f>SUMIF('CF.2'!$H$101:$H$107,'CF.1'!E32,'CF.2'!$J$101:$J$107)+SUMIF('CF.2'!$K$101:$K$107,'CF.1'!E32,'CF.2'!$M$101:$M$107)</f>
        <v>0</v>
      </c>
      <c r="U32" s="509">
        <f>SUMIF('CF.2'!$H$112:$H$120,'CF.1'!E32,'CF.2'!$J$112:$J$120)+SUMIF('CF.2'!$K$112:$K$120,'CF.1'!E32,'CF.2'!$M$112:$M$120)</f>
        <v>0</v>
      </c>
      <c r="V32" s="510">
        <f t="shared" si="10"/>
        <v>0</v>
      </c>
      <c r="X32" s="512">
        <f t="shared" si="6"/>
        <v>0</v>
      </c>
    </row>
    <row r="33" spans="4:24" ht="18" customHeight="1">
      <c r="D33" s="506" t="s">
        <v>743</v>
      </c>
      <c r="E33" s="507" t="s">
        <v>743</v>
      </c>
      <c r="F33" s="508" t="s">
        <v>691</v>
      </c>
      <c r="G33" s="507" t="s">
        <v>691</v>
      </c>
      <c r="H33" s="509">
        <v>760551092</v>
      </c>
      <c r="I33" s="509">
        <v>0</v>
      </c>
      <c r="J33" s="509">
        <v>0</v>
      </c>
      <c r="K33" s="509">
        <v>470443496</v>
      </c>
      <c r="L33" s="509">
        <v>0</v>
      </c>
      <c r="M33" s="509"/>
      <c r="N33" s="509">
        <v>0</v>
      </c>
      <c r="O33" s="510">
        <f t="shared" si="9"/>
        <v>1230994588</v>
      </c>
      <c r="Q33" s="511">
        <f>SUMIF('CF.2'!$H$5:$H$24,'CF.1'!E33,'CF.2'!$J$5:$J$24)-SUMIF('CF.2'!$K$5:$K$24,'CF.1'!E33,'CF.2'!$M$5:$M$24)</f>
        <v>0</v>
      </c>
      <c r="R33" s="509">
        <f>SUMIF('CF.2'!$H$30:$H$59,'CF.1'!E33,'CF.2'!$J$30:$J$59)+SUMIF('CF.2'!$K$30:$K$59,'CF.1'!E33,'CF.2'!$M$30:$M$59)</f>
        <v>0</v>
      </c>
      <c r="S33" s="509">
        <f>SUMIF('CF.2'!$H$64:$H$97,'CF.1'!E33,'CF.2'!$J$64:$J$97)+SUMIF('CF.2'!$K$64:$K$97,'CF.1'!E33,'CF.2'!$M$64:$M$97)</f>
        <v>0</v>
      </c>
      <c r="T33" s="509">
        <f>SUMIF('CF.2'!$H$101:$H$107,'CF.1'!E33,'CF.2'!$J$101:$J$107)+SUMIF('CF.2'!$K$101:$K$107,'CF.1'!E33,'CF.2'!$M$101:$M$107)</f>
        <v>0</v>
      </c>
      <c r="U33" s="509">
        <f>SUMIF('CF.2'!$H$112:$H$120,'CF.1'!E33,'CF.2'!$J$112:$J$120)+SUMIF('CF.2'!$K$112:$K$120,'CF.1'!E33,'CF.2'!$M$112:$M$120)</f>
        <v>0</v>
      </c>
      <c r="V33" s="510">
        <f t="shared" si="10"/>
        <v>0</v>
      </c>
      <c r="X33" s="512">
        <f t="shared" si="6"/>
        <v>1230994588</v>
      </c>
    </row>
    <row r="34" spans="4:24" ht="18" customHeight="1">
      <c r="D34" s="506" t="s">
        <v>744</v>
      </c>
      <c r="E34" s="507" t="s">
        <v>744</v>
      </c>
      <c r="F34" s="508" t="s">
        <v>745</v>
      </c>
      <c r="G34" s="507" t="s">
        <v>745</v>
      </c>
      <c r="H34" s="509">
        <v>10138996313</v>
      </c>
      <c r="I34" s="509">
        <v>0</v>
      </c>
      <c r="J34" s="509">
        <v>0</v>
      </c>
      <c r="K34" s="509">
        <v>0</v>
      </c>
      <c r="L34" s="509">
        <v>924847764</v>
      </c>
      <c r="M34" s="509"/>
      <c r="N34" s="509">
        <v>0</v>
      </c>
      <c r="O34" s="510">
        <f t="shared" si="9"/>
        <v>11063844077</v>
      </c>
      <c r="Q34" s="511">
        <f>SUMIF('CF.2'!$H$5:$H$24,'CF.1'!E34,'CF.2'!$J$5:$J$24)-SUMIF('CF.2'!$K$5:$K$24,'CF.1'!E34,'CF.2'!$M$5:$M$24)</f>
        <v>0</v>
      </c>
      <c r="R34" s="509">
        <f>SUMIF('CF.2'!$H$30:$H$59,'CF.1'!E34,'CF.2'!$J$30:$J$59)+SUMIF('CF.2'!$K$30:$K$59,'CF.1'!E34,'CF.2'!$M$30:$M$59)</f>
        <v>0</v>
      </c>
      <c r="S34" s="509">
        <f>SUMIF('CF.2'!$H$64:$H$97,'CF.1'!E34,'CF.2'!$J$64:$J$97)+SUMIF('CF.2'!$K$64:$K$97,'CF.1'!E34,'CF.2'!$M$64:$M$97)</f>
        <v>0</v>
      </c>
      <c r="T34" s="509">
        <f>SUMIF('CF.2'!$H$101:$H$107,'CF.1'!E34,'CF.2'!$J$101:$J$107)+SUMIF('CF.2'!$K$101:$K$107,'CF.1'!E34,'CF.2'!$M$101:$M$107)</f>
        <v>0</v>
      </c>
      <c r="U34" s="509">
        <f>SUMIF('CF.2'!$H$112:$H$120,'CF.1'!E34,'CF.2'!$J$112:$J$120)+SUMIF('CF.2'!$K$112:$K$120,'CF.1'!E34,'CF.2'!$M$112:$M$120)</f>
        <v>0</v>
      </c>
      <c r="V34" s="510">
        <f t="shared" si="10"/>
        <v>0</v>
      </c>
      <c r="X34" s="512">
        <f t="shared" si="6"/>
        <v>11063844077</v>
      </c>
    </row>
    <row r="35" spans="4:24" ht="18" customHeight="1">
      <c r="D35" s="506" t="s">
        <v>746</v>
      </c>
      <c r="E35" s="507" t="s">
        <v>746</v>
      </c>
      <c r="F35" s="508"/>
      <c r="G35" s="507" t="s">
        <v>747</v>
      </c>
      <c r="H35" s="509">
        <v>0</v>
      </c>
      <c r="I35" s="509">
        <v>0</v>
      </c>
      <c r="J35" s="509">
        <v>0</v>
      </c>
      <c r="K35" s="509">
        <v>0</v>
      </c>
      <c r="L35" s="509">
        <v>0</v>
      </c>
      <c r="M35" s="509"/>
      <c r="N35" s="509">
        <v>0</v>
      </c>
      <c r="O35" s="510">
        <f t="shared" si="9"/>
        <v>0</v>
      </c>
      <c r="Q35" s="511">
        <f>SUMIF('CF.2'!$H$5:$H$24,'CF.1'!E35,'CF.2'!$J$5:$J$24)-SUMIF('CF.2'!$K$5:$K$24,'CF.1'!E35,'CF.2'!$M$5:$M$24)</f>
        <v>0</v>
      </c>
      <c r="R35" s="509">
        <f>SUMIF('CF.2'!$H$30:$H$59,'CF.1'!E35,'CF.2'!$J$30:$J$59)+SUMIF('CF.2'!$K$30:$K$59,'CF.1'!E35,'CF.2'!$M$30:$M$59)</f>
        <v>0</v>
      </c>
      <c r="S35" s="509">
        <f>SUMIF('CF.2'!$H$64:$H$97,'CF.1'!E35,'CF.2'!$J$64:$J$97)+SUMIF('CF.2'!$K$64:$K$97,'CF.1'!E35,'CF.2'!$M$64:$M$97)</f>
        <v>0</v>
      </c>
      <c r="T35" s="509">
        <f>SUMIF('CF.2'!$H$101:$H$107,'CF.1'!E35,'CF.2'!$J$101:$J$107)+SUMIF('CF.2'!$K$101:$K$107,'CF.1'!E35,'CF.2'!$M$101:$M$107)</f>
        <v>0</v>
      </c>
      <c r="U35" s="509">
        <f>SUMIF('CF.2'!$H$112:$H$120,'CF.1'!E35,'CF.2'!$J$112:$J$120)+SUMIF('CF.2'!$K$112:$K$120,'CF.1'!E35,'CF.2'!$M$112:$M$120)</f>
        <v>0</v>
      </c>
      <c r="V35" s="510">
        <f t="shared" si="10"/>
        <v>0</v>
      </c>
      <c r="X35" s="512">
        <f t="shared" si="6"/>
        <v>0</v>
      </c>
    </row>
    <row r="36" spans="4:24" ht="18" customHeight="1">
      <c r="D36" s="506" t="s">
        <v>748</v>
      </c>
      <c r="E36" s="507" t="s">
        <v>748</v>
      </c>
      <c r="F36" s="508"/>
      <c r="G36" s="507" t="s">
        <v>749</v>
      </c>
      <c r="H36" s="509">
        <v>0</v>
      </c>
      <c r="I36" s="509">
        <v>0</v>
      </c>
      <c r="J36" s="509">
        <v>0</v>
      </c>
      <c r="K36" s="509">
        <v>0</v>
      </c>
      <c r="L36" s="509">
        <v>0</v>
      </c>
      <c r="M36" s="509"/>
      <c r="N36" s="509">
        <v>0</v>
      </c>
      <c r="O36" s="510">
        <f t="shared" si="9"/>
        <v>0</v>
      </c>
      <c r="Q36" s="511">
        <f>SUMIF('CF.2'!$H$5:$H$24,'CF.1'!E36,'CF.2'!$J$5:$J$24)-SUMIF('CF.2'!$K$5:$K$24,'CF.1'!E36,'CF.2'!$M$5:$M$24)</f>
        <v>0</v>
      </c>
      <c r="R36" s="509">
        <f>SUMIF('CF.2'!$H$30:$H$59,'CF.1'!E36,'CF.2'!$J$30:$J$59)+SUMIF('CF.2'!$K$30:$K$59,'CF.1'!E36,'CF.2'!$M$30:$M$59)</f>
        <v>0</v>
      </c>
      <c r="S36" s="509">
        <f>SUMIF('CF.2'!$H$64:$H$97,'CF.1'!E36,'CF.2'!$J$64:$J$97)+SUMIF('CF.2'!$K$64:$K$97,'CF.1'!E36,'CF.2'!$M$64:$M$97)</f>
        <v>0</v>
      </c>
      <c r="T36" s="509">
        <f>SUMIF('CF.2'!$H$101:$H$107,'CF.1'!E36,'CF.2'!$J$101:$J$107)+SUMIF('CF.2'!$K$101:$K$107,'CF.1'!E36,'CF.2'!$M$101:$M$107)</f>
        <v>0</v>
      </c>
      <c r="U36" s="509">
        <f>SUMIF('CF.2'!$H$112:$H$120,'CF.1'!E36,'CF.2'!$J$112:$J$120)+SUMIF('CF.2'!$K$112:$K$120,'CF.1'!E36,'CF.2'!$M$112:$M$120)</f>
        <v>0</v>
      </c>
      <c r="V36" s="510">
        <f t="shared" si="10"/>
        <v>0</v>
      </c>
      <c r="X36" s="512">
        <f t="shared" si="6"/>
        <v>0</v>
      </c>
    </row>
    <row r="37" spans="4:24" ht="18" customHeight="1">
      <c r="D37" s="506" t="s">
        <v>750</v>
      </c>
      <c r="E37" s="507" t="s">
        <v>750</v>
      </c>
      <c r="F37" s="508"/>
      <c r="G37" s="507" t="s">
        <v>751</v>
      </c>
      <c r="H37" s="509">
        <v>0</v>
      </c>
      <c r="I37" s="509">
        <v>0</v>
      </c>
      <c r="J37" s="509">
        <v>0</v>
      </c>
      <c r="K37" s="509">
        <v>0</v>
      </c>
      <c r="L37" s="509">
        <v>0</v>
      </c>
      <c r="M37" s="509"/>
      <c r="N37" s="509">
        <v>0</v>
      </c>
      <c r="O37" s="510">
        <f t="shared" si="9"/>
        <v>0</v>
      </c>
      <c r="Q37" s="511">
        <f>SUMIF('CF.2'!$H$5:$H$24,'CF.1'!E37,'CF.2'!$J$5:$J$24)-SUMIF('CF.2'!$K$5:$K$24,'CF.1'!E37,'CF.2'!$M$5:$M$24)</f>
        <v>0</v>
      </c>
      <c r="R37" s="509">
        <f>SUMIF('CF.2'!$H$30:$H$59,'CF.1'!E37,'CF.2'!$J$30:$J$59)+SUMIF('CF.2'!$K$30:$K$59,'CF.1'!E37,'CF.2'!$M$30:$M$59)</f>
        <v>0</v>
      </c>
      <c r="S37" s="509">
        <f>SUMIF('CF.2'!$H$64:$H$97,'CF.1'!E37,'CF.2'!$J$64:$J$97)+SUMIF('CF.2'!$K$64:$K$97,'CF.1'!E37,'CF.2'!$M$64:$M$97)</f>
        <v>0</v>
      </c>
      <c r="T37" s="509">
        <f>SUMIF('CF.2'!$H$101:$H$107,'CF.1'!E37,'CF.2'!$J$101:$J$107)+SUMIF('CF.2'!$K$101:$K$107,'CF.1'!E37,'CF.2'!$M$101:$M$107)</f>
        <v>0</v>
      </c>
      <c r="U37" s="509">
        <f>SUMIF('CF.2'!$H$112:$H$120,'CF.1'!E37,'CF.2'!$J$112:$J$120)+SUMIF('CF.2'!$K$112:$K$120,'CF.1'!E37,'CF.2'!$M$112:$M$120)</f>
        <v>0</v>
      </c>
      <c r="V37" s="510">
        <f t="shared" si="10"/>
        <v>0</v>
      </c>
      <c r="X37" s="512">
        <f t="shared" si="6"/>
        <v>0</v>
      </c>
    </row>
    <row r="38" spans="4:24" ht="18" customHeight="1">
      <c r="D38" s="506" t="s">
        <v>752</v>
      </c>
      <c r="E38" s="507" t="s">
        <v>752</v>
      </c>
      <c r="F38" s="508"/>
      <c r="G38" s="507" t="s">
        <v>753</v>
      </c>
      <c r="H38" s="509">
        <v>0</v>
      </c>
      <c r="I38" s="509">
        <v>0</v>
      </c>
      <c r="J38" s="509">
        <v>0</v>
      </c>
      <c r="K38" s="509">
        <v>0</v>
      </c>
      <c r="L38" s="509">
        <v>0</v>
      </c>
      <c r="M38" s="509"/>
      <c r="N38" s="509">
        <v>0</v>
      </c>
      <c r="O38" s="510">
        <f t="shared" si="9"/>
        <v>0</v>
      </c>
      <c r="Q38" s="511">
        <f>SUMIF('CF.2'!$H$5:$H$24,'CF.1'!E38,'CF.2'!$J$5:$J$24)-SUMIF('CF.2'!$K$5:$K$24,'CF.1'!E38,'CF.2'!$M$5:$M$24)</f>
        <v>0</v>
      </c>
      <c r="R38" s="509">
        <f>SUMIF('CF.2'!$H$30:$H$59,'CF.1'!E38,'CF.2'!$J$30:$J$59)+SUMIF('CF.2'!$K$30:$K$59,'CF.1'!E38,'CF.2'!$M$30:$M$59)</f>
        <v>0</v>
      </c>
      <c r="S38" s="509">
        <f>SUMIF('CF.2'!$H$64:$H$97,'CF.1'!E38,'CF.2'!$J$64:$J$97)+SUMIF('CF.2'!$K$64:$K$97,'CF.1'!E38,'CF.2'!$M$64:$M$97)</f>
        <v>0</v>
      </c>
      <c r="T38" s="509">
        <f>SUMIF('CF.2'!$H$101:$H$107,'CF.1'!E38,'CF.2'!$J$101:$J$107)+SUMIF('CF.2'!$K$101:$K$107,'CF.1'!E38,'CF.2'!$M$101:$M$107)</f>
        <v>0</v>
      </c>
      <c r="U38" s="509">
        <f>SUMIF('CF.2'!$H$112:$H$120,'CF.1'!E38,'CF.2'!$J$112:$J$120)+SUMIF('CF.2'!$K$112:$K$120,'CF.1'!E38,'CF.2'!$M$112:$M$120)</f>
        <v>0</v>
      </c>
      <c r="V38" s="510">
        <f t="shared" si="10"/>
        <v>0</v>
      </c>
      <c r="X38" s="512">
        <f t="shared" si="6"/>
        <v>0</v>
      </c>
    </row>
    <row r="39" spans="4:24" ht="18" customHeight="1">
      <c r="D39" s="506" t="s">
        <v>754</v>
      </c>
      <c r="E39" s="507" t="s">
        <v>754</v>
      </c>
      <c r="F39" s="508"/>
      <c r="G39" s="507" t="s">
        <v>755</v>
      </c>
      <c r="H39" s="509">
        <v>0</v>
      </c>
      <c r="I39" s="509">
        <v>0</v>
      </c>
      <c r="J39" s="509">
        <v>0</v>
      </c>
      <c r="K39" s="509">
        <v>0</v>
      </c>
      <c r="L39" s="509">
        <v>0</v>
      </c>
      <c r="M39" s="509"/>
      <c r="N39" s="509">
        <v>0</v>
      </c>
      <c r="O39" s="510">
        <f t="shared" si="9"/>
        <v>0</v>
      </c>
      <c r="Q39" s="511">
        <f>SUMIF('CF.2'!$H$5:$H$24,'CF.1'!E39,'CF.2'!$J$5:$J$24)-SUMIF('CF.2'!$K$5:$K$24,'CF.1'!E39,'CF.2'!$M$5:$M$24)</f>
        <v>0</v>
      </c>
      <c r="R39" s="509">
        <f>SUMIF('CF.2'!$H$30:$H$59,'CF.1'!E39,'CF.2'!$J$30:$J$59)+SUMIF('CF.2'!$K$30:$K$59,'CF.1'!E39,'CF.2'!$M$30:$M$59)</f>
        <v>0</v>
      </c>
      <c r="S39" s="509">
        <f>SUMIF('CF.2'!$H$64:$H$97,'CF.1'!E39,'CF.2'!$J$64:$J$97)+SUMIF('CF.2'!$K$64:$K$97,'CF.1'!E39,'CF.2'!$M$64:$M$97)</f>
        <v>0</v>
      </c>
      <c r="T39" s="509">
        <f>SUMIF('CF.2'!$H$101:$H$107,'CF.1'!E39,'CF.2'!$J$101:$J$107)+SUMIF('CF.2'!$K$101:$K$107,'CF.1'!E39,'CF.2'!$M$101:$M$107)</f>
        <v>0</v>
      </c>
      <c r="U39" s="509">
        <f>SUMIF('CF.2'!$H$112:$H$120,'CF.1'!E39,'CF.2'!$J$112:$J$120)+SUMIF('CF.2'!$K$112:$K$120,'CF.1'!E39,'CF.2'!$M$112:$M$120)</f>
        <v>0</v>
      </c>
      <c r="V39" s="510">
        <f t="shared" si="10"/>
        <v>0</v>
      </c>
      <c r="X39" s="512">
        <f t="shared" si="6"/>
        <v>0</v>
      </c>
    </row>
    <row r="40" spans="4:24" ht="18" customHeight="1">
      <c r="D40" s="506" t="s">
        <v>756</v>
      </c>
      <c r="E40" s="507" t="s">
        <v>756</v>
      </c>
      <c r="F40" s="508"/>
      <c r="G40" s="507" t="s">
        <v>757</v>
      </c>
      <c r="H40" s="509">
        <v>0</v>
      </c>
      <c r="I40" s="509">
        <v>0</v>
      </c>
      <c r="J40" s="509">
        <v>0</v>
      </c>
      <c r="K40" s="509">
        <v>0</v>
      </c>
      <c r="L40" s="509">
        <v>0</v>
      </c>
      <c r="M40" s="509"/>
      <c r="N40" s="509">
        <v>0</v>
      </c>
      <c r="O40" s="510">
        <f t="shared" si="9"/>
        <v>0</v>
      </c>
      <c r="Q40" s="511">
        <f>SUMIF('CF.2'!$H$5:$H$24,'CF.1'!E40,'CF.2'!$J$5:$J$24)-SUMIF('CF.2'!$K$5:$K$24,'CF.1'!E40,'CF.2'!$M$5:$M$24)</f>
        <v>0</v>
      </c>
      <c r="R40" s="509">
        <f>SUMIF('CF.2'!$H$30:$H$59,'CF.1'!E40,'CF.2'!$J$30:$J$59)+SUMIF('CF.2'!$K$30:$K$59,'CF.1'!E40,'CF.2'!$M$30:$M$59)</f>
        <v>0</v>
      </c>
      <c r="S40" s="509">
        <f>SUMIF('CF.2'!$H$64:$H$97,'CF.1'!E40,'CF.2'!$J$64:$J$97)+SUMIF('CF.2'!$K$64:$K$97,'CF.1'!E40,'CF.2'!$M$64:$M$97)</f>
        <v>0</v>
      </c>
      <c r="T40" s="509">
        <f>SUMIF('CF.2'!$H$101:$H$107,'CF.1'!E40,'CF.2'!$J$101:$J$107)+SUMIF('CF.2'!$K$101:$K$107,'CF.1'!E40,'CF.2'!$M$101:$M$107)</f>
        <v>0</v>
      </c>
      <c r="U40" s="509">
        <f>SUMIF('CF.2'!$H$112:$H$120,'CF.1'!E40,'CF.2'!$J$112:$J$120)+SUMIF('CF.2'!$K$112:$K$120,'CF.1'!E40,'CF.2'!$M$112:$M$120)</f>
        <v>0</v>
      </c>
      <c r="V40" s="510">
        <f t="shared" si="10"/>
        <v>0</v>
      </c>
      <c r="X40" s="512">
        <f t="shared" si="6"/>
        <v>0</v>
      </c>
    </row>
    <row r="41" spans="4:24" ht="18" customHeight="1">
      <c r="D41" s="506" t="s">
        <v>758</v>
      </c>
      <c r="E41" s="507" t="s">
        <v>758</v>
      </c>
      <c r="F41" s="508"/>
      <c r="G41" s="507" t="s">
        <v>759</v>
      </c>
      <c r="H41" s="509">
        <v>0</v>
      </c>
      <c r="I41" s="509">
        <v>0</v>
      </c>
      <c r="J41" s="509">
        <v>0</v>
      </c>
      <c r="K41" s="509">
        <v>0</v>
      </c>
      <c r="L41" s="509">
        <v>0</v>
      </c>
      <c r="M41" s="509"/>
      <c r="N41" s="509">
        <v>0</v>
      </c>
      <c r="O41" s="510">
        <f t="shared" si="9"/>
        <v>0</v>
      </c>
      <c r="Q41" s="511">
        <f>SUMIF('CF.2'!$H$5:$H$24,'CF.1'!E41,'CF.2'!$J$5:$J$24)-SUMIF('CF.2'!$K$5:$K$24,'CF.1'!E41,'CF.2'!$M$5:$M$24)</f>
        <v>0</v>
      </c>
      <c r="R41" s="509">
        <f>SUMIF('CF.2'!$H$30:$H$59,'CF.1'!E41,'CF.2'!$J$30:$J$59)+SUMIF('CF.2'!$K$30:$K$59,'CF.1'!E41,'CF.2'!$M$30:$M$59)</f>
        <v>0</v>
      </c>
      <c r="S41" s="509">
        <f>SUMIF('CF.2'!$H$64:$H$97,'CF.1'!E41,'CF.2'!$J$64:$J$97)+SUMIF('CF.2'!$K$64:$K$97,'CF.1'!E41,'CF.2'!$M$64:$M$97)</f>
        <v>0</v>
      </c>
      <c r="T41" s="509">
        <f>SUMIF('CF.2'!$H$101:$H$107,'CF.1'!E41,'CF.2'!$J$101:$J$107)+SUMIF('CF.2'!$K$101:$K$107,'CF.1'!E41,'CF.2'!$M$101:$M$107)</f>
        <v>0</v>
      </c>
      <c r="U41" s="509">
        <f>SUMIF('CF.2'!$H$112:$H$120,'CF.1'!E41,'CF.2'!$J$112:$J$120)+SUMIF('CF.2'!$K$112:$K$120,'CF.1'!E41,'CF.2'!$M$112:$M$120)</f>
        <v>0</v>
      </c>
      <c r="V41" s="510">
        <f t="shared" si="10"/>
        <v>0</v>
      </c>
      <c r="X41" s="512">
        <f t="shared" si="6"/>
        <v>0</v>
      </c>
    </row>
    <row r="42" spans="4:24" ht="18" customHeight="1">
      <c r="D42" s="506" t="s">
        <v>760</v>
      </c>
      <c r="E42" s="507" t="s">
        <v>760</v>
      </c>
      <c r="F42" s="508"/>
      <c r="G42" s="507" t="s">
        <v>761</v>
      </c>
      <c r="H42" s="509">
        <v>0</v>
      </c>
      <c r="I42" s="509">
        <v>0</v>
      </c>
      <c r="J42" s="509">
        <v>0</v>
      </c>
      <c r="K42" s="509">
        <v>0</v>
      </c>
      <c r="L42" s="509">
        <v>0</v>
      </c>
      <c r="M42" s="509"/>
      <c r="N42" s="509">
        <v>0</v>
      </c>
      <c r="O42" s="510">
        <f t="shared" si="9"/>
        <v>0</v>
      </c>
      <c r="Q42" s="511">
        <f>SUMIF('CF.2'!$H$5:$H$24,'CF.1'!E42,'CF.2'!$J$5:$J$24)-SUMIF('CF.2'!$K$5:$K$24,'CF.1'!E42,'CF.2'!$M$5:$M$24)</f>
        <v>0</v>
      </c>
      <c r="R42" s="509">
        <f>SUMIF('CF.2'!$H$30:$H$59,'CF.1'!E42,'CF.2'!$J$30:$J$59)+SUMIF('CF.2'!$K$30:$K$59,'CF.1'!E42,'CF.2'!$M$30:$M$59)</f>
        <v>0</v>
      </c>
      <c r="S42" s="509">
        <f>SUMIF('CF.2'!$H$64:$H$97,'CF.1'!E42,'CF.2'!$J$64:$J$97)+SUMIF('CF.2'!$K$64:$K$97,'CF.1'!E42,'CF.2'!$M$64:$M$97)</f>
        <v>0</v>
      </c>
      <c r="T42" s="509">
        <f>SUMIF('CF.2'!$H$101:$H$107,'CF.1'!E42,'CF.2'!$J$101:$J$107)+SUMIF('CF.2'!$K$101:$K$107,'CF.1'!E42,'CF.2'!$M$101:$M$107)</f>
        <v>0</v>
      </c>
      <c r="U42" s="509">
        <f>SUMIF('CF.2'!$H$112:$H$120,'CF.1'!E42,'CF.2'!$J$112:$J$120)+SUMIF('CF.2'!$K$112:$K$120,'CF.1'!E42,'CF.2'!$M$112:$M$120)</f>
        <v>0</v>
      </c>
      <c r="V42" s="510">
        <f t="shared" si="10"/>
        <v>0</v>
      </c>
      <c r="X42" s="512">
        <f t="shared" si="6"/>
        <v>0</v>
      </c>
    </row>
    <row r="43" spans="4:24" ht="18" customHeight="1">
      <c r="D43" s="506" t="s">
        <v>762</v>
      </c>
      <c r="E43" s="507" t="s">
        <v>762</v>
      </c>
      <c r="F43" s="508"/>
      <c r="G43" s="507" t="s">
        <v>763</v>
      </c>
      <c r="H43" s="509">
        <v>0</v>
      </c>
      <c r="I43" s="509">
        <v>0</v>
      </c>
      <c r="J43" s="509">
        <v>0</v>
      </c>
      <c r="K43" s="509">
        <v>0</v>
      </c>
      <c r="L43" s="509">
        <v>0</v>
      </c>
      <c r="M43" s="509"/>
      <c r="N43" s="509">
        <v>0</v>
      </c>
      <c r="O43" s="510">
        <f t="shared" si="9"/>
        <v>0</v>
      </c>
      <c r="Q43" s="511">
        <f>SUMIF('CF.2'!$H$5:$H$24,'CF.1'!E43,'CF.2'!$J$5:$J$24)-SUMIF('CF.2'!$K$5:$K$24,'CF.1'!E43,'CF.2'!$M$5:$M$24)</f>
        <v>0</v>
      </c>
      <c r="R43" s="509">
        <f>SUMIF('CF.2'!$H$30:$H$59,'CF.1'!E43,'CF.2'!$J$30:$J$59)+SUMIF('CF.2'!$K$30:$K$59,'CF.1'!E43,'CF.2'!$M$30:$M$59)</f>
        <v>0</v>
      </c>
      <c r="S43" s="509">
        <f>SUMIF('CF.2'!$H$64:$H$97,'CF.1'!E43,'CF.2'!$J$64:$J$97)+SUMIF('CF.2'!$K$64:$K$97,'CF.1'!E43,'CF.2'!$M$64:$M$97)</f>
        <v>0</v>
      </c>
      <c r="T43" s="509">
        <f>SUMIF('CF.2'!$H$101:$H$107,'CF.1'!E43,'CF.2'!$J$101:$J$107)+SUMIF('CF.2'!$K$101:$K$107,'CF.1'!E43,'CF.2'!$M$101:$M$107)</f>
        <v>0</v>
      </c>
      <c r="U43" s="509">
        <f>SUMIF('CF.2'!$H$112:$H$120,'CF.1'!E43,'CF.2'!$J$112:$J$120)+SUMIF('CF.2'!$K$112:$K$120,'CF.1'!E43,'CF.2'!$M$112:$M$120)</f>
        <v>0</v>
      </c>
      <c r="V43" s="510">
        <f t="shared" si="10"/>
        <v>0</v>
      </c>
      <c r="X43" s="512">
        <f t="shared" si="6"/>
        <v>0</v>
      </c>
    </row>
    <row r="44" spans="4:24" ht="18" customHeight="1">
      <c r="D44" s="506" t="s">
        <v>764</v>
      </c>
      <c r="E44" s="507" t="s">
        <v>764</v>
      </c>
      <c r="F44" s="508" t="s">
        <v>765</v>
      </c>
      <c r="G44" s="507" t="s">
        <v>765</v>
      </c>
      <c r="H44" s="509">
        <v>674683389</v>
      </c>
      <c r="I44" s="509">
        <v>0</v>
      </c>
      <c r="J44" s="509">
        <v>0</v>
      </c>
      <c r="K44" s="509">
        <v>0</v>
      </c>
      <c r="L44" s="509">
        <v>0</v>
      </c>
      <c r="M44" s="509"/>
      <c r="N44" s="509">
        <v>0</v>
      </c>
      <c r="O44" s="510">
        <f t="shared" si="9"/>
        <v>674683389</v>
      </c>
      <c r="Q44" s="511">
        <f>SUMIF('CF.2'!$H$5:$H$24,'CF.1'!E44,'CF.2'!$J$5:$J$24)-SUMIF('CF.2'!$K$5:$K$24,'CF.1'!E44,'CF.2'!$M$5:$M$24)</f>
        <v>0</v>
      </c>
      <c r="R44" s="509">
        <f>SUMIF('CF.2'!$H$30:$H$59,'CF.1'!E44,'CF.2'!$J$30:$J$59)+SUMIF('CF.2'!$K$30:$K$59,'CF.1'!E44,'CF.2'!$M$30:$M$59)</f>
        <v>0</v>
      </c>
      <c r="S44" s="509">
        <f>SUMIF('CF.2'!$H$64:$H$97,'CF.1'!E44,'CF.2'!$J$64:$J$97)+SUMIF('CF.2'!$K$64:$K$97,'CF.1'!E44,'CF.2'!$M$64:$M$97)</f>
        <v>0</v>
      </c>
      <c r="T44" s="509">
        <f>SUMIF('CF.2'!$H$101:$H$107,'CF.1'!E44,'CF.2'!$J$101:$J$107)+SUMIF('CF.2'!$K$101:$K$107,'CF.1'!E44,'CF.2'!$M$101:$M$107)</f>
        <v>0</v>
      </c>
      <c r="U44" s="509">
        <f>SUMIF('CF.2'!$H$112:$H$120,'CF.1'!E44,'CF.2'!$J$112:$J$120)+SUMIF('CF.2'!$K$112:$K$120,'CF.1'!E44,'CF.2'!$M$112:$M$120)</f>
        <v>0</v>
      </c>
      <c r="V44" s="510">
        <f t="shared" si="10"/>
        <v>0</v>
      </c>
      <c r="X44" s="512">
        <f t="shared" si="6"/>
        <v>674683389</v>
      </c>
    </row>
    <row r="45" spans="4:24" ht="18" customHeight="1">
      <c r="D45" s="506" t="s">
        <v>766</v>
      </c>
      <c r="E45" s="507" t="s">
        <v>766</v>
      </c>
      <c r="F45" s="508"/>
      <c r="G45" s="507" t="s">
        <v>767</v>
      </c>
      <c r="H45" s="509">
        <v>0</v>
      </c>
      <c r="I45" s="509">
        <v>0</v>
      </c>
      <c r="J45" s="509">
        <v>0</v>
      </c>
      <c r="K45" s="509">
        <v>0</v>
      </c>
      <c r="L45" s="509">
        <v>0</v>
      </c>
      <c r="M45" s="509"/>
      <c r="N45" s="509">
        <v>0</v>
      </c>
      <c r="O45" s="510">
        <f t="shared" si="9"/>
        <v>0</v>
      </c>
      <c r="Q45" s="511">
        <f>SUMIF('CF.2'!$H$5:$H$24,'CF.1'!E45,'CF.2'!$J$5:$J$24)-SUMIF('CF.2'!$K$5:$K$24,'CF.1'!E45,'CF.2'!$M$5:$M$24)</f>
        <v>0</v>
      </c>
      <c r="R45" s="509">
        <f>SUMIF('CF.2'!$H$30:$H$59,'CF.1'!E45,'CF.2'!$J$30:$J$59)+SUMIF('CF.2'!$K$30:$K$59,'CF.1'!E45,'CF.2'!$M$30:$M$59)</f>
        <v>0</v>
      </c>
      <c r="S45" s="509">
        <f>SUMIF('CF.2'!$H$64:$H$97,'CF.1'!E45,'CF.2'!$J$64:$J$97)+SUMIF('CF.2'!$K$64:$K$97,'CF.1'!E45,'CF.2'!$M$64:$M$97)</f>
        <v>0</v>
      </c>
      <c r="T45" s="509">
        <f>SUMIF('CF.2'!$H$101:$H$107,'CF.1'!E45,'CF.2'!$J$101:$J$107)+SUMIF('CF.2'!$K$101:$K$107,'CF.1'!E45,'CF.2'!$M$101:$M$107)</f>
        <v>0</v>
      </c>
      <c r="U45" s="509">
        <f>SUMIF('CF.2'!$H$112:$H$120,'CF.1'!E45,'CF.2'!$J$112:$J$120)+SUMIF('CF.2'!$K$112:$K$120,'CF.1'!E45,'CF.2'!$M$112:$M$120)</f>
        <v>0</v>
      </c>
      <c r="V45" s="510">
        <f t="shared" si="10"/>
        <v>0</v>
      </c>
      <c r="X45" s="512">
        <f t="shared" si="6"/>
        <v>0</v>
      </c>
    </row>
    <row r="46" spans="4:24" ht="18" customHeight="1">
      <c r="D46" s="506" t="s">
        <v>768</v>
      </c>
      <c r="E46" s="507" t="s">
        <v>768</v>
      </c>
      <c r="F46" s="508" t="s">
        <v>1938</v>
      </c>
      <c r="G46" s="507" t="s">
        <v>769</v>
      </c>
      <c r="H46" s="509">
        <v>0</v>
      </c>
      <c r="I46" s="509">
        <v>0</v>
      </c>
      <c r="J46" s="509">
        <v>0</v>
      </c>
      <c r="K46" s="509">
        <v>0</v>
      </c>
      <c r="L46" s="509">
        <v>0</v>
      </c>
      <c r="M46" s="509"/>
      <c r="N46" s="509">
        <v>0</v>
      </c>
      <c r="O46" s="510">
        <f t="shared" si="9"/>
        <v>0</v>
      </c>
      <c r="Q46" s="511">
        <f>SUMIF('CF.2'!$H$5:$H$24,'CF.1'!E46,'CF.2'!$J$5:$J$24)-SUMIF('CF.2'!$K$5:$K$24,'CF.1'!E46,'CF.2'!$M$5:$M$24)</f>
        <v>0</v>
      </c>
      <c r="R46" s="509">
        <f>SUMIF('CF.2'!$H$30:$H$59,'CF.1'!E46,'CF.2'!$J$30:$J$59)+SUMIF('CF.2'!$K$30:$K$59,'CF.1'!E46,'CF.2'!$M$30:$M$59)</f>
        <v>0</v>
      </c>
      <c r="S46" s="509">
        <f>SUMIF('CF.2'!$H$64:$H$97,'CF.1'!E46,'CF.2'!$J$64:$J$97)+SUMIF('CF.2'!$K$64:$K$97,'CF.1'!E46,'CF.2'!$M$64:$M$97)</f>
        <v>0</v>
      </c>
      <c r="T46" s="509">
        <f>SUMIF('CF.2'!$H$101:$H$107,'CF.1'!E46,'CF.2'!$J$101:$J$107)+SUMIF('CF.2'!$K$101:$K$107,'CF.1'!E46,'CF.2'!$M$101:$M$107)</f>
        <v>0</v>
      </c>
      <c r="U46" s="509">
        <f>SUMIF('CF.2'!$H$112:$H$120,'CF.1'!E46,'CF.2'!$J$112:$J$120)+SUMIF('CF.2'!$K$112:$K$120,'CF.1'!E46,'CF.2'!$M$112:$M$120)</f>
        <v>0</v>
      </c>
      <c r="V46" s="510">
        <f t="shared" si="10"/>
        <v>0</v>
      </c>
      <c r="X46" s="512">
        <f t="shared" si="6"/>
        <v>0</v>
      </c>
    </row>
    <row r="47" spans="4:24" ht="18" customHeight="1">
      <c r="D47" s="506" t="s">
        <v>770</v>
      </c>
      <c r="E47" s="507" t="s">
        <v>770</v>
      </c>
      <c r="F47" s="508"/>
      <c r="G47" s="507" t="s">
        <v>771</v>
      </c>
      <c r="H47" s="509">
        <v>0</v>
      </c>
      <c r="I47" s="509">
        <v>0</v>
      </c>
      <c r="J47" s="509">
        <v>0</v>
      </c>
      <c r="K47" s="509">
        <v>0</v>
      </c>
      <c r="L47" s="509">
        <v>0</v>
      </c>
      <c r="M47" s="509"/>
      <c r="N47" s="509">
        <v>0</v>
      </c>
      <c r="O47" s="510">
        <f t="shared" si="9"/>
        <v>0</v>
      </c>
      <c r="Q47" s="511">
        <f>SUMIF('CF.2'!$H$5:$H$24,'CF.1'!E47,'CF.2'!$J$5:$J$24)-SUMIF('CF.2'!$K$5:$K$24,'CF.1'!E47,'CF.2'!$M$5:$M$24)</f>
        <v>0</v>
      </c>
      <c r="R47" s="509">
        <f>SUMIF('CF.2'!$H$30:$H$59,'CF.1'!E47,'CF.2'!$J$30:$J$59)+SUMIF('CF.2'!$K$30:$K$59,'CF.1'!E47,'CF.2'!$M$30:$M$59)</f>
        <v>0</v>
      </c>
      <c r="S47" s="509">
        <f>SUMIF('CF.2'!$H$64:$H$97,'CF.1'!E47,'CF.2'!$J$64:$J$97)+SUMIF('CF.2'!$K$64:$K$97,'CF.1'!E47,'CF.2'!$M$64:$M$97)</f>
        <v>0</v>
      </c>
      <c r="T47" s="509">
        <f>SUMIF('CF.2'!$H$101:$H$107,'CF.1'!E47,'CF.2'!$J$101:$J$107)+SUMIF('CF.2'!$K$101:$K$107,'CF.1'!E47,'CF.2'!$M$101:$M$107)</f>
        <v>0</v>
      </c>
      <c r="U47" s="509">
        <f>SUMIF('CF.2'!$H$112:$H$120,'CF.1'!E47,'CF.2'!$J$112:$J$120)+SUMIF('CF.2'!$K$112:$K$120,'CF.1'!E47,'CF.2'!$M$112:$M$120)</f>
        <v>0</v>
      </c>
      <c r="V47" s="510">
        <f t="shared" si="10"/>
        <v>0</v>
      </c>
      <c r="X47" s="512">
        <f t="shared" si="6"/>
        <v>0</v>
      </c>
    </row>
    <row r="48" spans="4:24" ht="18" customHeight="1">
      <c r="D48" s="506" t="s">
        <v>772</v>
      </c>
      <c r="E48" s="507" t="s">
        <v>1373</v>
      </c>
      <c r="F48" s="508" t="s">
        <v>1470</v>
      </c>
      <c r="G48" s="507" t="s">
        <v>1470</v>
      </c>
      <c r="H48" s="509">
        <v>-126485643</v>
      </c>
      <c r="I48" s="509">
        <v>0</v>
      </c>
      <c r="J48" s="509">
        <v>0</v>
      </c>
      <c r="K48" s="509">
        <v>0</v>
      </c>
      <c r="L48" s="509">
        <v>0</v>
      </c>
      <c r="M48" s="509"/>
      <c r="N48" s="509">
        <v>0</v>
      </c>
      <c r="O48" s="510">
        <f t="shared" si="9"/>
        <v>-126485643</v>
      </c>
      <c r="Q48" s="511">
        <f>SUMIF('CF.2'!$H$5:$H$24,'CF.1'!E48,'CF.2'!$J$5:$J$24)-SUMIF('CF.2'!$K$5:$K$24,'CF.1'!E48,'CF.2'!$M$5:$M$24)</f>
        <v>0</v>
      </c>
      <c r="R48" s="509">
        <f>SUMIF('CF.2'!$H$30:$H$59,'CF.1'!E48,'CF.2'!$J$30:$J$59)+SUMIF('CF.2'!$K$30:$K$59,'CF.1'!E48,'CF.2'!$M$30:$M$59)</f>
        <v>0</v>
      </c>
      <c r="S48" s="509">
        <f>SUMIF('CF.2'!$H$64:$H$97,'CF.1'!E48,'CF.2'!$J$64:$J$97)+SUMIF('CF.2'!$K$64:$K$97,'CF.1'!E48,'CF.2'!$M$64:$M$97)</f>
        <v>0</v>
      </c>
      <c r="T48" s="509">
        <f>SUMIF('CF.2'!$H$101:$H$107,'CF.1'!E48,'CF.2'!$J$101:$J$107)+SUMIF('CF.2'!$K$101:$K$107,'CF.1'!E48,'CF.2'!$M$101:$M$107)</f>
        <v>0</v>
      </c>
      <c r="U48" s="509">
        <f>SUMIF('CF.2'!$H$112:$H$120,'CF.1'!E48,'CF.2'!$J$112:$J$120)+SUMIF('CF.2'!$K$112:$K$120,'CF.1'!E48,'CF.2'!$M$112:$M$120)</f>
        <v>0</v>
      </c>
      <c r="V48" s="510">
        <f t="shared" si="10"/>
        <v>0</v>
      </c>
      <c r="X48" s="512">
        <f t="shared" si="6"/>
        <v>-126485643</v>
      </c>
    </row>
    <row r="49" spans="4:26" ht="18" customHeight="1">
      <c r="D49" s="506" t="s">
        <v>772</v>
      </c>
      <c r="E49" s="507" t="s">
        <v>1374</v>
      </c>
      <c r="F49" s="508" t="s">
        <v>1469</v>
      </c>
      <c r="G49" s="507" t="s">
        <v>1469</v>
      </c>
      <c r="H49" s="509">
        <v>0</v>
      </c>
      <c r="I49" s="509">
        <v>0</v>
      </c>
      <c r="J49" s="509">
        <v>0</v>
      </c>
      <c r="K49" s="509">
        <v>0</v>
      </c>
      <c r="L49" s="509">
        <v>0</v>
      </c>
      <c r="M49" s="509"/>
      <c r="N49" s="509">
        <v>0</v>
      </c>
      <c r="O49" s="510">
        <f t="shared" si="9"/>
        <v>0</v>
      </c>
      <c r="Q49" s="511">
        <f>SUMIF('CF.2'!$H$5:$H$24,'CF.1'!E49,'CF.2'!$J$5:$J$24)-SUMIF('CF.2'!$K$5:$K$24,'CF.1'!E49,'CF.2'!$M$5:$M$24)</f>
        <v>0</v>
      </c>
      <c r="R49" s="509">
        <f>SUMIF('CF.2'!$H$30:$H$59,'CF.1'!E49,'CF.2'!$J$30:$J$59)+SUMIF('CF.2'!$K$30:$K$59,'CF.1'!E49,'CF.2'!$M$30:$M$59)</f>
        <v>0</v>
      </c>
      <c r="S49" s="509">
        <f>SUMIF('CF.2'!$H$64:$H$97,'CF.1'!E49,'CF.2'!$J$64:$J$97)+SUMIF('CF.2'!$K$64:$K$97,'CF.1'!E49,'CF.2'!$M$64:$M$97)</f>
        <v>0</v>
      </c>
      <c r="T49" s="509">
        <f>SUMIF('CF.2'!$H$101:$H$107,'CF.1'!E49,'CF.2'!$J$101:$J$107)+SUMIF('CF.2'!$K$101:$K$107,'CF.1'!E49,'CF.2'!$M$101:$M$107)</f>
        <v>0</v>
      </c>
      <c r="U49" s="509">
        <f>SUMIF('CF.2'!$H$112:$H$120,'CF.1'!E49,'CF.2'!$J$112:$J$120)+SUMIF('CF.2'!$K$112:$K$120,'CF.1'!E49,'CF.2'!$M$112:$M$120)</f>
        <v>0</v>
      </c>
      <c r="V49" s="510">
        <f t="shared" si="10"/>
        <v>0</v>
      </c>
      <c r="X49" s="512">
        <f t="shared" si="6"/>
        <v>0</v>
      </c>
    </row>
    <row r="50" spans="4:26" ht="18" customHeight="1">
      <c r="D50" s="506" t="s">
        <v>772</v>
      </c>
      <c r="E50" s="507" t="s">
        <v>1501</v>
      </c>
      <c r="F50" s="508" t="s">
        <v>1472</v>
      </c>
      <c r="G50" s="507" t="s">
        <v>311</v>
      </c>
      <c r="H50" s="509">
        <v>3259565</v>
      </c>
      <c r="I50" s="509">
        <v>0</v>
      </c>
      <c r="J50" s="509">
        <v>0</v>
      </c>
      <c r="K50" s="509">
        <v>0</v>
      </c>
      <c r="L50" s="509">
        <v>0</v>
      </c>
      <c r="M50" s="509"/>
      <c r="N50" s="509">
        <v>0</v>
      </c>
      <c r="O50" s="510">
        <f t="shared" si="9"/>
        <v>3259565</v>
      </c>
      <c r="Q50" s="511">
        <f>SUMIF('CF.2'!$H$5:$H$24,'CF.1'!E50,'CF.2'!$J$5:$J$24)-SUMIF('CF.2'!$K$5:$K$24,'CF.1'!E50,'CF.2'!$M$5:$M$24)</f>
        <v>0</v>
      </c>
      <c r="R50" s="509">
        <f>SUMIF('CF.2'!$H$30:$H$59,'CF.1'!E50,'CF.2'!$J$30:$J$59)+SUMIF('CF.2'!$K$30:$K$59,'CF.1'!E50,'CF.2'!$M$30:$M$59)</f>
        <v>0</v>
      </c>
      <c r="S50" s="509">
        <f>SUMIF('CF.2'!$H$64:$H$97,'CF.1'!E50,'CF.2'!$J$64:$J$97)+SUMIF('CF.2'!$K$64:$K$97,'CF.1'!E50,'CF.2'!$M$64:$M$97)</f>
        <v>0</v>
      </c>
      <c r="T50" s="509">
        <f>SUMIF('CF.2'!$H$101:$H$107,'CF.1'!E50,'CF.2'!$J$101:$J$107)+SUMIF('CF.2'!$K$101:$K$107,'CF.1'!E50,'CF.2'!$M$101:$M$107)</f>
        <v>0</v>
      </c>
      <c r="U50" s="509">
        <f>SUMIF('CF.2'!$H$112:$H$120,'CF.1'!E50,'CF.2'!$J$112:$J$120)+SUMIF('CF.2'!$K$112:$K$120,'CF.1'!E50,'CF.2'!$M$112:$M$120)</f>
        <v>0</v>
      </c>
      <c r="V50" s="510">
        <f t="shared" si="10"/>
        <v>0</v>
      </c>
      <c r="X50" s="512">
        <f t="shared" si="6"/>
        <v>3259565</v>
      </c>
    </row>
    <row r="51" spans="4:26" ht="18" customHeight="1">
      <c r="D51" s="506" t="s">
        <v>772</v>
      </c>
      <c r="E51" s="507" t="s">
        <v>1502</v>
      </c>
      <c r="F51" s="508"/>
      <c r="G51" s="507" t="s">
        <v>1366</v>
      </c>
      <c r="H51" s="509">
        <v>0</v>
      </c>
      <c r="I51" s="509">
        <v>0</v>
      </c>
      <c r="J51" s="509">
        <v>0</v>
      </c>
      <c r="K51" s="509">
        <v>0</v>
      </c>
      <c r="L51" s="509">
        <v>0</v>
      </c>
      <c r="M51" s="509"/>
      <c r="N51" s="509">
        <v>0</v>
      </c>
      <c r="O51" s="510">
        <f t="shared" si="9"/>
        <v>0</v>
      </c>
      <c r="Q51" s="511">
        <f>SUMIF('CF.2'!$H$5:$H$24,'CF.1'!E51,'CF.2'!$J$5:$J$24)-SUMIF('CF.2'!$K$5:$K$24,'CF.1'!E51,'CF.2'!$M$5:$M$24)</f>
        <v>0</v>
      </c>
      <c r="R51" s="509">
        <f>SUMIF('CF.2'!$H$30:$H$59,'CF.1'!E51,'CF.2'!$J$30:$J$59)+SUMIF('CF.2'!$K$30:$K$59,'CF.1'!E51,'CF.2'!$M$30:$M$59)</f>
        <v>0</v>
      </c>
      <c r="S51" s="509">
        <f>SUMIF('CF.2'!$H$64:$H$97,'CF.1'!E51,'CF.2'!$J$64:$J$97)+SUMIF('CF.2'!$K$64:$K$97,'CF.1'!E51,'CF.2'!$M$64:$M$97)</f>
        <v>0</v>
      </c>
      <c r="T51" s="509">
        <f>SUMIF('CF.2'!$H$101:$H$107,'CF.1'!E51,'CF.2'!$J$101:$J$107)+SUMIF('CF.2'!$K$101:$K$107,'CF.1'!E51,'CF.2'!$M$101:$M$107)</f>
        <v>0</v>
      </c>
      <c r="U51" s="509">
        <f>SUMIF('CF.2'!$H$112:$H$120,'CF.1'!E51,'CF.2'!$J$112:$J$120)+SUMIF('CF.2'!$K$112:$K$120,'CF.1'!E51,'CF.2'!$M$112:$M$120)</f>
        <v>0</v>
      </c>
      <c r="V51" s="510">
        <f t="shared" si="10"/>
        <v>0</v>
      </c>
      <c r="X51" s="512">
        <f t="shared" si="6"/>
        <v>0</v>
      </c>
    </row>
    <row r="52" spans="4:26" ht="18" customHeight="1">
      <c r="D52" s="506" t="s">
        <v>773</v>
      </c>
      <c r="E52" s="507" t="s">
        <v>773</v>
      </c>
      <c r="F52" s="508"/>
      <c r="G52" s="507" t="s">
        <v>774</v>
      </c>
      <c r="H52" s="509">
        <v>0</v>
      </c>
      <c r="I52" s="509">
        <v>0</v>
      </c>
      <c r="J52" s="509">
        <v>0</v>
      </c>
      <c r="K52" s="509">
        <v>0</v>
      </c>
      <c r="L52" s="509">
        <v>0</v>
      </c>
      <c r="M52" s="509"/>
      <c r="N52" s="509">
        <v>0</v>
      </c>
      <c r="O52" s="510">
        <f t="shared" si="9"/>
        <v>0</v>
      </c>
      <c r="Q52" s="511">
        <f>SUMIF('CF.2'!$H$5:$H$24,'CF.1'!E52,'CF.2'!$J$5:$J$24)-SUMIF('CF.2'!$K$5:$K$24,'CF.1'!E52,'CF.2'!$M$5:$M$24)</f>
        <v>0</v>
      </c>
      <c r="R52" s="509">
        <f>SUMIF('CF.2'!$H$30:$H$59,'CF.1'!E52,'CF.2'!$J$30:$J$59)+SUMIF('CF.2'!$K$30:$K$59,'CF.1'!E52,'CF.2'!$M$30:$M$59)</f>
        <v>0</v>
      </c>
      <c r="S52" s="509">
        <f>SUMIF('CF.2'!$H$64:$H$97,'CF.1'!E52,'CF.2'!$J$64:$J$97)+SUMIF('CF.2'!$K$64:$K$97,'CF.1'!E52,'CF.2'!$M$64:$M$97)</f>
        <v>0</v>
      </c>
      <c r="T52" s="509">
        <f>SUMIF('CF.2'!$H$101:$H$107,'CF.1'!E52,'CF.2'!$J$101:$J$107)+SUMIF('CF.2'!$K$101:$K$107,'CF.1'!E52,'CF.2'!$M$101:$M$107)</f>
        <v>0</v>
      </c>
      <c r="U52" s="509">
        <f>SUMIF('CF.2'!$H$112:$H$120,'CF.1'!E52,'CF.2'!$J$112:$J$120)+SUMIF('CF.2'!$K$112:$K$120,'CF.1'!E52,'CF.2'!$M$112:$M$120)</f>
        <v>0</v>
      </c>
      <c r="V52" s="510">
        <f t="shared" si="10"/>
        <v>0</v>
      </c>
      <c r="X52" s="512">
        <f t="shared" si="6"/>
        <v>0</v>
      </c>
    </row>
    <row r="53" spans="4:26" ht="18" customHeight="1">
      <c r="D53" s="506" t="s">
        <v>775</v>
      </c>
      <c r="E53" s="507" t="s">
        <v>775</v>
      </c>
      <c r="F53" s="508"/>
      <c r="G53" s="507" t="s">
        <v>776</v>
      </c>
      <c r="H53" s="509">
        <v>0</v>
      </c>
      <c r="I53" s="509">
        <v>0</v>
      </c>
      <c r="J53" s="509">
        <v>0</v>
      </c>
      <c r="K53" s="509">
        <v>0</v>
      </c>
      <c r="L53" s="509">
        <v>0</v>
      </c>
      <c r="M53" s="509"/>
      <c r="N53" s="509">
        <v>0</v>
      </c>
      <c r="O53" s="510">
        <f t="shared" si="9"/>
        <v>0</v>
      </c>
      <c r="Q53" s="511">
        <f>SUMIF('CF.2'!$H$5:$H$24,'CF.1'!E53,'CF.2'!$J$5:$J$24)-SUMIF('CF.2'!$K$5:$K$24,'CF.1'!E53,'CF.2'!$M$5:$M$24)</f>
        <v>0</v>
      </c>
      <c r="R53" s="509">
        <f>SUMIF('CF.2'!$H$30:$H$59,'CF.1'!E53,'CF.2'!$J$30:$J$59)+SUMIF('CF.2'!$K$30:$K$59,'CF.1'!E53,'CF.2'!$M$30:$M$59)</f>
        <v>0</v>
      </c>
      <c r="S53" s="509">
        <f>SUMIF('CF.2'!$H$64:$H$97,'CF.1'!E53,'CF.2'!$J$64:$J$97)+SUMIF('CF.2'!$K$64:$K$97,'CF.1'!E53,'CF.2'!$M$64:$M$97)</f>
        <v>0</v>
      </c>
      <c r="T53" s="509">
        <f>SUMIF('CF.2'!$H$101:$H$107,'CF.1'!E53,'CF.2'!$J$101:$J$107)+SUMIF('CF.2'!$K$101:$K$107,'CF.1'!E53,'CF.2'!$M$101:$M$107)</f>
        <v>0</v>
      </c>
      <c r="U53" s="509">
        <f>SUMIF('CF.2'!$H$112:$H$120,'CF.1'!E53,'CF.2'!$J$112:$J$120)+SUMIF('CF.2'!$K$112:$K$120,'CF.1'!E53,'CF.2'!$M$112:$M$120)</f>
        <v>0</v>
      </c>
      <c r="V53" s="510">
        <f t="shared" si="10"/>
        <v>0</v>
      </c>
      <c r="X53" s="512">
        <f t="shared" si="6"/>
        <v>0</v>
      </c>
    </row>
    <row r="54" spans="4:26" ht="18" customHeight="1">
      <c r="D54" s="506" t="s">
        <v>777</v>
      </c>
      <c r="E54" s="507" t="s">
        <v>777</v>
      </c>
      <c r="F54" s="508"/>
      <c r="G54" s="507" t="s">
        <v>778</v>
      </c>
      <c r="H54" s="509">
        <v>0</v>
      </c>
      <c r="I54" s="509">
        <v>0</v>
      </c>
      <c r="J54" s="509">
        <v>0</v>
      </c>
      <c r="K54" s="509">
        <v>0</v>
      </c>
      <c r="L54" s="509">
        <v>0</v>
      </c>
      <c r="M54" s="509"/>
      <c r="N54" s="509">
        <v>0</v>
      </c>
      <c r="O54" s="510">
        <f t="shared" si="9"/>
        <v>0</v>
      </c>
      <c r="Q54" s="511">
        <f>SUMIF('CF.2'!$H$5:$H$24,'CF.1'!E54,'CF.2'!$J$5:$J$24)-SUMIF('CF.2'!$K$5:$K$24,'CF.1'!E54,'CF.2'!$M$5:$M$24)</f>
        <v>0</v>
      </c>
      <c r="R54" s="509">
        <f>SUMIF('CF.2'!$H$30:$H$59,'CF.1'!E54,'CF.2'!$J$30:$J$59)+SUMIF('CF.2'!$K$30:$K$59,'CF.1'!E54,'CF.2'!$M$30:$M$59)</f>
        <v>0</v>
      </c>
      <c r="S54" s="509">
        <f>SUMIF('CF.2'!$H$64:$H$97,'CF.1'!E54,'CF.2'!$J$64:$J$97)+SUMIF('CF.2'!$K$64:$K$97,'CF.1'!E54,'CF.2'!$M$64:$M$97)</f>
        <v>0</v>
      </c>
      <c r="T54" s="509">
        <f>SUMIF('CF.2'!$H$101:$H$107,'CF.1'!E54,'CF.2'!$J$101:$J$107)+SUMIF('CF.2'!$K$101:$K$107,'CF.1'!E54,'CF.2'!$M$101:$M$107)</f>
        <v>0</v>
      </c>
      <c r="U54" s="509">
        <f>SUMIF('CF.2'!$H$112:$H$120,'CF.1'!E54,'CF.2'!$J$112:$J$120)+SUMIF('CF.2'!$K$112:$K$120,'CF.1'!E54,'CF.2'!$M$112:$M$120)</f>
        <v>0</v>
      </c>
      <c r="V54" s="510">
        <f t="shared" si="10"/>
        <v>0</v>
      </c>
      <c r="X54" s="512">
        <f t="shared" si="6"/>
        <v>0</v>
      </c>
    </row>
    <row r="55" spans="4:26" ht="18" customHeight="1">
      <c r="D55" s="506" t="s">
        <v>779</v>
      </c>
      <c r="E55" s="507" t="s">
        <v>779</v>
      </c>
      <c r="F55" s="508"/>
      <c r="G55" s="507" t="s">
        <v>261</v>
      </c>
      <c r="H55" s="509">
        <v>0</v>
      </c>
      <c r="I55" s="509">
        <v>0</v>
      </c>
      <c r="J55" s="509">
        <v>0</v>
      </c>
      <c r="K55" s="509">
        <v>0</v>
      </c>
      <c r="L55" s="509">
        <v>0</v>
      </c>
      <c r="M55" s="509"/>
      <c r="N55" s="509">
        <v>0</v>
      </c>
      <c r="O55" s="510">
        <f t="shared" si="9"/>
        <v>0</v>
      </c>
      <c r="Q55" s="511">
        <f>SUMIF('CF.2'!$H$5:$H$24,'CF.1'!E55,'CF.2'!$J$5:$J$24)-SUMIF('CF.2'!$K$5:$K$24,'CF.1'!E55,'CF.2'!$M$5:$M$24)</f>
        <v>0</v>
      </c>
      <c r="R55" s="509">
        <f>SUMIF('CF.2'!$H$30:$H$59,'CF.1'!E55,'CF.2'!$J$30:$J$59)+SUMIF('CF.2'!$K$30:$K$59,'CF.1'!E55,'CF.2'!$M$30:$M$59)</f>
        <v>0</v>
      </c>
      <c r="S55" s="509">
        <f>SUMIF('CF.2'!$H$64:$H$97,'CF.1'!E55,'CF.2'!$J$64:$J$97)+SUMIF('CF.2'!$K$64:$K$97,'CF.1'!E55,'CF.2'!$M$64:$M$97)</f>
        <v>0</v>
      </c>
      <c r="T55" s="509">
        <f>SUMIF('CF.2'!$H$101:$H$107,'CF.1'!E55,'CF.2'!$J$101:$J$107)+SUMIF('CF.2'!$K$101:$K$107,'CF.1'!E55,'CF.2'!$M$101:$M$107)</f>
        <v>0</v>
      </c>
      <c r="U55" s="509">
        <f>SUMIF('CF.2'!$H$112:$H$120,'CF.1'!E55,'CF.2'!$J$112:$J$120)+SUMIF('CF.2'!$K$112:$K$120,'CF.1'!E55,'CF.2'!$M$112:$M$120)</f>
        <v>0</v>
      </c>
      <c r="V55" s="510">
        <f t="shared" si="10"/>
        <v>0</v>
      </c>
      <c r="X55" s="512">
        <f t="shared" si="6"/>
        <v>0</v>
      </c>
    </row>
    <row r="56" spans="4:26" ht="18" customHeight="1">
      <c r="D56" s="506" t="s">
        <v>780</v>
      </c>
      <c r="E56" s="507" t="s">
        <v>780</v>
      </c>
      <c r="F56" s="508"/>
      <c r="G56" s="507" t="s">
        <v>781</v>
      </c>
      <c r="H56" s="509">
        <v>0</v>
      </c>
      <c r="I56" s="509">
        <v>0</v>
      </c>
      <c r="J56" s="509">
        <v>0</v>
      </c>
      <c r="K56" s="509">
        <v>0</v>
      </c>
      <c r="L56" s="509">
        <v>0</v>
      </c>
      <c r="M56" s="509"/>
      <c r="N56" s="509">
        <v>0</v>
      </c>
      <c r="O56" s="510">
        <f t="shared" si="9"/>
        <v>0</v>
      </c>
      <c r="Q56" s="511">
        <f>SUMIF('CF.2'!$H$5:$H$24,'CF.1'!E56,'CF.2'!$J$5:$J$24)-SUMIF('CF.2'!$K$5:$K$24,'CF.1'!E56,'CF.2'!$M$5:$M$24)</f>
        <v>0</v>
      </c>
      <c r="R56" s="509">
        <f>SUMIF('CF.2'!$H$30:$H$59,'CF.1'!E56,'CF.2'!$J$30:$J$59)+SUMIF('CF.2'!$K$30:$K$59,'CF.1'!E56,'CF.2'!$M$30:$M$59)</f>
        <v>0</v>
      </c>
      <c r="S56" s="509">
        <f>SUMIF('CF.2'!$H$64:$H$97,'CF.1'!E56,'CF.2'!$J$64:$J$97)+SUMIF('CF.2'!$K$64:$K$97,'CF.1'!E56,'CF.2'!$M$64:$M$97)</f>
        <v>0</v>
      </c>
      <c r="T56" s="509">
        <f>SUMIF('CF.2'!$H$101:$H$107,'CF.1'!E56,'CF.2'!$J$101:$J$107)+SUMIF('CF.2'!$K$101:$K$107,'CF.1'!E56,'CF.2'!$M$101:$M$107)</f>
        <v>0</v>
      </c>
      <c r="U56" s="509">
        <f>SUMIF('CF.2'!$H$112:$H$120,'CF.1'!E56,'CF.2'!$J$112:$J$120)+SUMIF('CF.2'!$K$112:$K$120,'CF.1'!E56,'CF.2'!$M$112:$M$120)</f>
        <v>0</v>
      </c>
      <c r="V56" s="510">
        <f t="shared" si="10"/>
        <v>0</v>
      </c>
      <c r="X56" s="512">
        <f t="shared" si="6"/>
        <v>0</v>
      </c>
    </row>
    <row r="57" spans="4:26" ht="18" customHeight="1">
      <c r="D57" s="506" t="s">
        <v>782</v>
      </c>
      <c r="E57" s="507" t="s">
        <v>782</v>
      </c>
      <c r="F57" s="508"/>
      <c r="G57" s="507" t="s">
        <v>783</v>
      </c>
      <c r="H57" s="509">
        <v>0</v>
      </c>
      <c r="I57" s="509">
        <v>0</v>
      </c>
      <c r="J57" s="509">
        <v>0</v>
      </c>
      <c r="K57" s="509">
        <v>0</v>
      </c>
      <c r="L57" s="509">
        <v>0</v>
      </c>
      <c r="M57" s="509"/>
      <c r="N57" s="509">
        <v>0</v>
      </c>
      <c r="O57" s="510">
        <f t="shared" si="9"/>
        <v>0</v>
      </c>
      <c r="Q57" s="511">
        <f>SUMIF('CF.2'!$H$5:$H$24,'CF.1'!E57,'CF.2'!$J$5:$J$24)-SUMIF('CF.2'!$K$5:$K$24,'CF.1'!E57,'CF.2'!$M$5:$M$24)</f>
        <v>0</v>
      </c>
      <c r="R57" s="509">
        <f>SUMIF('CF.2'!$H$30:$H$59,'CF.1'!E57,'CF.2'!$J$30:$J$59)+SUMIF('CF.2'!$K$30:$K$59,'CF.1'!E57,'CF.2'!$M$30:$M$59)</f>
        <v>0</v>
      </c>
      <c r="S57" s="509">
        <f>SUMIF('CF.2'!$H$64:$H$97,'CF.1'!E57,'CF.2'!$J$64:$J$97)+SUMIF('CF.2'!$K$64:$K$97,'CF.1'!E57,'CF.2'!$M$64:$M$97)</f>
        <v>0</v>
      </c>
      <c r="T57" s="509">
        <f>SUMIF('CF.2'!$H$101:$H$107,'CF.1'!E57,'CF.2'!$J$101:$J$107)+SUMIF('CF.2'!$K$101:$K$107,'CF.1'!E57,'CF.2'!$M$101:$M$107)</f>
        <v>0</v>
      </c>
      <c r="U57" s="509">
        <f>SUMIF('CF.2'!$H$112:$H$120,'CF.1'!E57,'CF.2'!$J$112:$J$120)+SUMIF('CF.2'!$K$112:$K$120,'CF.1'!E57,'CF.2'!$M$112:$M$120)</f>
        <v>0</v>
      </c>
      <c r="V57" s="510">
        <f t="shared" si="10"/>
        <v>0</v>
      </c>
      <c r="X57" s="512">
        <f t="shared" si="6"/>
        <v>0</v>
      </c>
    </row>
    <row r="58" spans="4:26" ht="18" customHeight="1">
      <c r="D58" s="506" t="s">
        <v>784</v>
      </c>
      <c r="E58" s="507" t="s">
        <v>784</v>
      </c>
      <c r="F58" s="508"/>
      <c r="G58" s="507" t="s">
        <v>785</v>
      </c>
      <c r="H58" s="509">
        <v>0</v>
      </c>
      <c r="I58" s="509">
        <v>0</v>
      </c>
      <c r="J58" s="509">
        <v>0</v>
      </c>
      <c r="K58" s="509">
        <v>0</v>
      </c>
      <c r="L58" s="509">
        <v>0</v>
      </c>
      <c r="M58" s="509"/>
      <c r="N58" s="509">
        <v>0</v>
      </c>
      <c r="O58" s="510">
        <f t="shared" si="9"/>
        <v>0</v>
      </c>
      <c r="Q58" s="511">
        <f>SUMIF('CF.2'!$H$5:$H$24,'CF.1'!E58,'CF.2'!$J$5:$J$24)-SUMIF('CF.2'!$K$5:$K$24,'CF.1'!E58,'CF.2'!$M$5:$M$24)</f>
        <v>0</v>
      </c>
      <c r="R58" s="509">
        <f>SUMIF('CF.2'!$H$30:$H$59,'CF.1'!E58,'CF.2'!$J$30:$J$59)+SUMIF('CF.2'!$K$30:$K$59,'CF.1'!E58,'CF.2'!$M$30:$M$59)</f>
        <v>0</v>
      </c>
      <c r="S58" s="509">
        <f>SUMIF('CF.2'!$H$64:$H$97,'CF.1'!E58,'CF.2'!$J$64:$J$97)+SUMIF('CF.2'!$K$64:$K$97,'CF.1'!E58,'CF.2'!$M$64:$M$97)</f>
        <v>0</v>
      </c>
      <c r="T58" s="509">
        <f>SUMIF('CF.2'!$H$101:$H$107,'CF.1'!E58,'CF.2'!$J$101:$J$107)+SUMIF('CF.2'!$K$101:$K$107,'CF.1'!E58,'CF.2'!$M$101:$M$107)</f>
        <v>0</v>
      </c>
      <c r="U58" s="509">
        <f>SUMIF('CF.2'!$H$112:$H$120,'CF.1'!E58,'CF.2'!$J$112:$J$120)+SUMIF('CF.2'!$K$112:$K$120,'CF.1'!E58,'CF.2'!$M$112:$M$120)</f>
        <v>0</v>
      </c>
      <c r="V58" s="510">
        <f t="shared" si="10"/>
        <v>0</v>
      </c>
      <c r="X58" s="512">
        <f t="shared" si="6"/>
        <v>0</v>
      </c>
    </row>
    <row r="59" spans="4:26" ht="18" customHeight="1">
      <c r="D59" s="506" t="s">
        <v>786</v>
      </c>
      <c r="E59" s="507" t="s">
        <v>786</v>
      </c>
      <c r="F59" s="508"/>
      <c r="G59" s="507" t="s">
        <v>787</v>
      </c>
      <c r="H59" s="509">
        <v>0</v>
      </c>
      <c r="I59" s="509">
        <v>0</v>
      </c>
      <c r="J59" s="509">
        <v>0</v>
      </c>
      <c r="K59" s="509">
        <v>0</v>
      </c>
      <c r="L59" s="509">
        <v>0</v>
      </c>
      <c r="M59" s="509"/>
      <c r="N59" s="509">
        <v>0</v>
      </c>
      <c r="O59" s="510">
        <f t="shared" si="9"/>
        <v>0</v>
      </c>
      <c r="Q59" s="511">
        <f>SUMIF('CF.2'!$H$5:$H$24,'CF.1'!E59,'CF.2'!$J$5:$J$24)-SUMIF('CF.2'!$K$5:$K$24,'CF.1'!E59,'CF.2'!$M$5:$M$24)</f>
        <v>0</v>
      </c>
      <c r="R59" s="509">
        <f>SUMIF('CF.2'!$H$30:$H$59,'CF.1'!E59,'CF.2'!$J$30:$J$59)+SUMIF('CF.2'!$K$30:$K$59,'CF.1'!E59,'CF.2'!$M$30:$M$59)</f>
        <v>0</v>
      </c>
      <c r="S59" s="509">
        <f>SUMIF('CF.2'!$H$64:$H$97,'CF.1'!E59,'CF.2'!$J$64:$J$97)+SUMIF('CF.2'!$K$64:$K$97,'CF.1'!E59,'CF.2'!$M$64:$M$97)</f>
        <v>0</v>
      </c>
      <c r="T59" s="509">
        <f>SUMIF('CF.2'!$H$101:$H$107,'CF.1'!E59,'CF.2'!$J$101:$J$107)+SUMIF('CF.2'!$K$101:$K$107,'CF.1'!E59,'CF.2'!$M$101:$M$107)</f>
        <v>0</v>
      </c>
      <c r="U59" s="509">
        <f>SUMIF('CF.2'!$H$112:$H$120,'CF.1'!E59,'CF.2'!$J$112:$J$120)+SUMIF('CF.2'!$K$112:$K$120,'CF.1'!E59,'CF.2'!$M$112:$M$120)</f>
        <v>0</v>
      </c>
      <c r="V59" s="510">
        <f t="shared" si="10"/>
        <v>0</v>
      </c>
      <c r="X59" s="512">
        <f t="shared" si="6"/>
        <v>0</v>
      </c>
    </row>
    <row r="60" spans="4:26" ht="18" customHeight="1">
      <c r="D60" s="506" t="s">
        <v>788</v>
      </c>
      <c r="E60" s="507" t="s">
        <v>788</v>
      </c>
      <c r="F60" s="508"/>
      <c r="G60" s="507" t="s">
        <v>693</v>
      </c>
      <c r="H60" s="509">
        <v>0</v>
      </c>
      <c r="I60" s="509">
        <v>0</v>
      </c>
      <c r="J60" s="509">
        <v>0</v>
      </c>
      <c r="K60" s="509">
        <v>0</v>
      </c>
      <c r="L60" s="509">
        <v>0</v>
      </c>
      <c r="M60" s="509"/>
      <c r="N60" s="509">
        <v>0</v>
      </c>
      <c r="O60" s="510">
        <f t="shared" si="9"/>
        <v>0</v>
      </c>
      <c r="Q60" s="511">
        <f>SUMIF('CF.2'!$H$5:$H$24,'CF.1'!E60,'CF.2'!$J$5:$J$24)-SUMIF('CF.2'!$K$5:$K$24,'CF.1'!E60,'CF.2'!$M$5:$M$24)</f>
        <v>0</v>
      </c>
      <c r="R60" s="509">
        <f>SUMIF('CF.2'!$H$30:$H$59,'CF.1'!E60,'CF.2'!$J$30:$J$59)+SUMIF('CF.2'!$K$30:$K$59,'CF.1'!E60,'CF.2'!$M$30:$M$59)</f>
        <v>0</v>
      </c>
      <c r="S60" s="509">
        <f>SUMIF('CF.2'!$H$64:$H$97,'CF.1'!E60,'CF.2'!$J$64:$J$97)+SUMIF('CF.2'!$K$64:$K$97,'CF.1'!E60,'CF.2'!$M$64:$M$97)</f>
        <v>0</v>
      </c>
      <c r="T60" s="509">
        <f>SUMIF('CF.2'!$H$101:$H$107,'CF.1'!E60,'CF.2'!$J$101:$J$107)+SUMIF('CF.2'!$K$101:$K$107,'CF.1'!E60,'CF.2'!$M$101:$M$107)</f>
        <v>0</v>
      </c>
      <c r="U60" s="509">
        <f>SUMIF('CF.2'!$H$112:$H$120,'CF.1'!E60,'CF.2'!$J$112:$J$120)+SUMIF('CF.2'!$K$112:$K$120,'CF.1'!E60,'CF.2'!$M$112:$M$120)</f>
        <v>0</v>
      </c>
      <c r="V60" s="510">
        <f t="shared" si="10"/>
        <v>0</v>
      </c>
      <c r="X60" s="512">
        <f t="shared" si="6"/>
        <v>0</v>
      </c>
    </row>
    <row r="61" spans="4:26" ht="18" customHeight="1">
      <c r="D61" s="506" t="s">
        <v>789</v>
      </c>
      <c r="E61" s="507" t="s">
        <v>789</v>
      </c>
      <c r="F61" s="508" t="s">
        <v>686</v>
      </c>
      <c r="G61" s="507" t="s">
        <v>686</v>
      </c>
      <c r="H61" s="509">
        <v>489172021</v>
      </c>
      <c r="I61" s="509">
        <v>418369</v>
      </c>
      <c r="J61" s="509">
        <v>5327260</v>
      </c>
      <c r="K61" s="509">
        <v>29120076</v>
      </c>
      <c r="L61" s="509">
        <v>14388689</v>
      </c>
      <c r="M61" s="509"/>
      <c r="N61" s="509">
        <v>12831289</v>
      </c>
      <c r="O61" s="510">
        <f t="shared" si="9"/>
        <v>551257704</v>
      </c>
      <c r="Q61" s="511">
        <f>SUMIF('CF.2'!$H$5:$H$24,'CF.1'!E61,'CF.2'!$J$5:$J$24)-SUMIF('CF.2'!$K$5:$K$24,'CF.1'!E61,'CF.2'!$M$5:$M$24)</f>
        <v>0</v>
      </c>
      <c r="R61" s="509">
        <f>SUMIF('CF.2'!$H$30:$H$59,'CF.1'!E61,'CF.2'!$J$30:$J$59)+SUMIF('CF.2'!$K$30:$K$59,'CF.1'!E61,'CF.2'!$M$30:$M$59)</f>
        <v>0</v>
      </c>
      <c r="S61" s="509">
        <f>SUMIF('CF.2'!$H$64:$H$97,'CF.1'!E61,'CF.2'!$J$64:$J$97)+SUMIF('CF.2'!$K$64:$K$97,'CF.1'!E61,'CF.2'!$M$64:$M$97)</f>
        <v>-18156386</v>
      </c>
      <c r="T61" s="509">
        <f>SUMIF('CF.2'!$H$101:$H$107,'CF.1'!E61,'CF.2'!$J$101:$J$107)+SUMIF('CF.2'!$K$101:$K$107,'CF.1'!E61,'CF.2'!$M$101:$M$107)</f>
        <v>0</v>
      </c>
      <c r="U61" s="509">
        <f>SUMIF('CF.2'!$H$112:$H$120,'CF.1'!E61,'CF.2'!$J$112:$J$120)+SUMIF('CF.2'!$K$112:$K$120,'CF.1'!E61,'CF.2'!$M$112:$M$120)</f>
        <v>0</v>
      </c>
      <c r="V61" s="510">
        <f t="shared" si="10"/>
        <v>-18156386</v>
      </c>
      <c r="X61" s="512">
        <f t="shared" si="6"/>
        <v>533101318</v>
      </c>
      <c r="Z61" s="36" t="b">
        <f>ROUND(SUM(T_IS!AA83:AA86),0)=ROUND(X61,0)</f>
        <v>1</v>
      </c>
    </row>
    <row r="62" spans="4:26" ht="18" customHeight="1">
      <c r="D62" s="506" t="s">
        <v>790</v>
      </c>
      <c r="E62" s="507" t="s">
        <v>790</v>
      </c>
      <c r="F62" s="508" t="s">
        <v>381</v>
      </c>
      <c r="G62" s="507" t="s">
        <v>381</v>
      </c>
      <c r="H62" s="509">
        <v>0</v>
      </c>
      <c r="I62" s="509">
        <v>0</v>
      </c>
      <c r="J62" s="509">
        <v>926480</v>
      </c>
      <c r="K62" s="509">
        <v>3293491</v>
      </c>
      <c r="L62" s="509">
        <v>304544626</v>
      </c>
      <c r="M62" s="509"/>
      <c r="N62" s="509">
        <v>0</v>
      </c>
      <c r="O62" s="510">
        <f t="shared" si="9"/>
        <v>308764597</v>
      </c>
      <c r="Q62" s="511">
        <f>SUMIF('CF.2'!$H$5:$H$24,'CF.1'!E62,'CF.2'!$J$5:$J$24)-SUMIF('CF.2'!$K$5:$K$24,'CF.1'!E62,'CF.2'!$M$5:$M$24)</f>
        <v>0</v>
      </c>
      <c r="R62" s="509">
        <f>SUMIF('CF.2'!$H$30:$H$59,'CF.1'!E62,'CF.2'!$J$30:$J$59)+SUMIF('CF.2'!$K$30:$K$59,'CF.1'!E62,'CF.2'!$M$30:$M$59)</f>
        <v>-238526523</v>
      </c>
      <c r="S62" s="509">
        <f>SUMIF('CF.2'!$H$64:$H$97,'CF.1'!E62,'CF.2'!$J$64:$J$97)+SUMIF('CF.2'!$K$64:$K$97,'CF.1'!E62,'CF.2'!$M$64:$M$97)</f>
        <v>0</v>
      </c>
      <c r="T62" s="509">
        <f>SUMIF('CF.2'!$H$101:$H$107,'CF.1'!E62,'CF.2'!$J$101:$J$107)+SUMIF('CF.2'!$K$101:$K$107,'CF.1'!E62,'CF.2'!$M$101:$M$107)</f>
        <v>0</v>
      </c>
      <c r="U62" s="509">
        <f>SUMIF('CF.2'!$H$112:$H$120,'CF.1'!E62,'CF.2'!$J$112:$J$120)+SUMIF('CF.2'!$K$112:$K$120,'CF.1'!E62,'CF.2'!$M$112:$M$120)</f>
        <v>0</v>
      </c>
      <c r="V62" s="510">
        <f t="shared" si="10"/>
        <v>-238526523</v>
      </c>
      <c r="X62" s="512">
        <f t="shared" si="6"/>
        <v>70238074</v>
      </c>
      <c r="Z62" s="164" t="b">
        <f>X62=T_IS!AA118</f>
        <v>1</v>
      </c>
    </row>
    <row r="63" spans="4:26" ht="18" customHeight="1">
      <c r="D63" s="506" t="s">
        <v>791</v>
      </c>
      <c r="E63" s="507" t="s">
        <v>791</v>
      </c>
      <c r="F63" s="508"/>
      <c r="G63" s="507" t="s">
        <v>792</v>
      </c>
      <c r="H63" s="509">
        <v>0</v>
      </c>
      <c r="I63" s="509">
        <v>0</v>
      </c>
      <c r="J63" s="509">
        <v>0</v>
      </c>
      <c r="K63" s="509">
        <v>0</v>
      </c>
      <c r="L63" s="509">
        <v>0</v>
      </c>
      <c r="M63" s="509"/>
      <c r="N63" s="509">
        <v>0</v>
      </c>
      <c r="O63" s="510">
        <f t="shared" si="9"/>
        <v>0</v>
      </c>
      <c r="Q63" s="511">
        <f>SUMIF('CF.2'!$H$5:$H$24,'CF.1'!E63,'CF.2'!$J$5:$J$24)-SUMIF('CF.2'!$K$5:$K$24,'CF.1'!E63,'CF.2'!$M$5:$M$24)</f>
        <v>0</v>
      </c>
      <c r="R63" s="509">
        <f>SUMIF('CF.2'!$H$30:$H$59,'CF.1'!E63,'CF.2'!$J$30:$J$59)+SUMIF('CF.2'!$K$30:$K$59,'CF.1'!E63,'CF.2'!$M$30:$M$59)</f>
        <v>0</v>
      </c>
      <c r="S63" s="509">
        <f>SUMIF('CF.2'!$H$64:$H$97,'CF.1'!E63,'CF.2'!$J$64:$J$97)+SUMIF('CF.2'!$K$64:$K$97,'CF.1'!E63,'CF.2'!$M$64:$M$97)</f>
        <v>0</v>
      </c>
      <c r="T63" s="509">
        <f>SUMIF('CF.2'!$H$101:$H$107,'CF.1'!E63,'CF.2'!$J$101:$J$107)+SUMIF('CF.2'!$K$101:$K$107,'CF.1'!E63,'CF.2'!$M$101:$M$107)</f>
        <v>0</v>
      </c>
      <c r="U63" s="509">
        <f>SUMIF('CF.2'!$H$112:$H$120,'CF.1'!E63,'CF.2'!$J$112:$J$120)+SUMIF('CF.2'!$K$112:$K$120,'CF.1'!E63,'CF.2'!$M$112:$M$120)</f>
        <v>0</v>
      </c>
      <c r="V63" s="510">
        <f t="shared" si="10"/>
        <v>0</v>
      </c>
      <c r="X63" s="512">
        <f t="shared" si="6"/>
        <v>0</v>
      </c>
    </row>
    <row r="64" spans="4:26" ht="18" customHeight="1">
      <c r="D64" s="506" t="s">
        <v>793</v>
      </c>
      <c r="E64" s="507" t="s">
        <v>793</v>
      </c>
      <c r="F64" s="508"/>
      <c r="G64" s="507" t="s">
        <v>794</v>
      </c>
      <c r="H64" s="509">
        <v>0</v>
      </c>
      <c r="I64" s="509">
        <v>0</v>
      </c>
      <c r="J64" s="509">
        <v>0</v>
      </c>
      <c r="K64" s="509">
        <v>0</v>
      </c>
      <c r="L64" s="509">
        <v>0</v>
      </c>
      <c r="M64" s="509"/>
      <c r="N64" s="509">
        <v>0</v>
      </c>
      <c r="O64" s="510">
        <f t="shared" si="9"/>
        <v>0</v>
      </c>
      <c r="Q64" s="511">
        <f>SUMIF('CF.2'!$H$5:$H$24,'CF.1'!E64,'CF.2'!$J$5:$J$24)-SUMIF('CF.2'!$K$5:$K$24,'CF.1'!E64,'CF.2'!$M$5:$M$24)</f>
        <v>0</v>
      </c>
      <c r="R64" s="509">
        <f>SUMIF('CF.2'!$H$30:$H$59,'CF.1'!E64,'CF.2'!$J$30:$J$59)+SUMIF('CF.2'!$K$30:$K$59,'CF.1'!E64,'CF.2'!$M$30:$M$59)</f>
        <v>0</v>
      </c>
      <c r="S64" s="509">
        <f>SUMIF('CF.2'!$H$64:$H$97,'CF.1'!E64,'CF.2'!$J$64:$J$97)+SUMIF('CF.2'!$K$64:$K$97,'CF.1'!E64,'CF.2'!$M$64:$M$97)</f>
        <v>0</v>
      </c>
      <c r="T64" s="509">
        <f>SUMIF('CF.2'!$H$101:$H$107,'CF.1'!E64,'CF.2'!$J$101:$J$107)+SUMIF('CF.2'!$K$101:$K$107,'CF.1'!E64,'CF.2'!$M$101:$M$107)</f>
        <v>0</v>
      </c>
      <c r="U64" s="509">
        <f>SUMIF('CF.2'!$H$112:$H$120,'CF.1'!E64,'CF.2'!$J$112:$J$120)+SUMIF('CF.2'!$K$112:$K$120,'CF.1'!E64,'CF.2'!$M$112:$M$120)</f>
        <v>0</v>
      </c>
      <c r="V64" s="510">
        <f t="shared" si="10"/>
        <v>0</v>
      </c>
      <c r="X64" s="512">
        <f t="shared" si="6"/>
        <v>0</v>
      </c>
    </row>
    <row r="65" spans="4:24" ht="18" customHeight="1">
      <c r="D65" s="506" t="s">
        <v>795</v>
      </c>
      <c r="E65" s="507" t="s">
        <v>795</v>
      </c>
      <c r="F65" s="508"/>
      <c r="G65" s="507" t="s">
        <v>796</v>
      </c>
      <c r="H65" s="509">
        <v>0</v>
      </c>
      <c r="I65" s="509">
        <v>0</v>
      </c>
      <c r="J65" s="509">
        <v>0</v>
      </c>
      <c r="K65" s="509">
        <v>0</v>
      </c>
      <c r="L65" s="509">
        <v>0</v>
      </c>
      <c r="M65" s="509"/>
      <c r="N65" s="509">
        <v>0</v>
      </c>
      <c r="O65" s="510">
        <f t="shared" si="9"/>
        <v>0</v>
      </c>
      <c r="Q65" s="511">
        <f>SUMIF('CF.2'!$H$5:$H$24,'CF.1'!E65,'CF.2'!$J$5:$J$24)-SUMIF('CF.2'!$K$5:$K$24,'CF.1'!E65,'CF.2'!$M$5:$M$24)</f>
        <v>0</v>
      </c>
      <c r="R65" s="509">
        <f>SUMIF('CF.2'!$H$30:$H$59,'CF.1'!E65,'CF.2'!$J$30:$J$59)+SUMIF('CF.2'!$K$30:$K$59,'CF.1'!E65,'CF.2'!$M$30:$M$59)</f>
        <v>0</v>
      </c>
      <c r="S65" s="509">
        <f>SUMIF('CF.2'!$H$64:$H$97,'CF.1'!E65,'CF.2'!$J$64:$J$97)+SUMIF('CF.2'!$K$64:$K$97,'CF.1'!E65,'CF.2'!$M$64:$M$97)</f>
        <v>0</v>
      </c>
      <c r="T65" s="509">
        <f>SUMIF('CF.2'!$H$101:$H$107,'CF.1'!E65,'CF.2'!$J$101:$J$107)+SUMIF('CF.2'!$K$101:$K$107,'CF.1'!E65,'CF.2'!$M$101:$M$107)</f>
        <v>0</v>
      </c>
      <c r="U65" s="509">
        <f>SUMIF('CF.2'!$H$112:$H$120,'CF.1'!E65,'CF.2'!$J$112:$J$120)+SUMIF('CF.2'!$K$112:$K$120,'CF.1'!E65,'CF.2'!$M$112:$M$120)</f>
        <v>0</v>
      </c>
      <c r="V65" s="510">
        <f t="shared" si="10"/>
        <v>0</v>
      </c>
      <c r="X65" s="512">
        <f t="shared" si="6"/>
        <v>0</v>
      </c>
    </row>
    <row r="66" spans="4:24" ht="18" customHeight="1">
      <c r="D66" s="506" t="s">
        <v>797</v>
      </c>
      <c r="E66" s="507" t="s">
        <v>797</v>
      </c>
      <c r="F66" s="508"/>
      <c r="G66" s="507" t="s">
        <v>798</v>
      </c>
      <c r="H66" s="509">
        <v>0</v>
      </c>
      <c r="I66" s="509">
        <v>0</v>
      </c>
      <c r="J66" s="509">
        <v>0</v>
      </c>
      <c r="K66" s="509">
        <v>0</v>
      </c>
      <c r="L66" s="509">
        <v>0</v>
      </c>
      <c r="M66" s="509"/>
      <c r="N66" s="509">
        <v>0</v>
      </c>
      <c r="O66" s="510">
        <f t="shared" si="9"/>
        <v>0</v>
      </c>
      <c r="Q66" s="511">
        <f>SUMIF('CF.2'!$H$5:$H$24,'CF.1'!E66,'CF.2'!$J$5:$J$24)-SUMIF('CF.2'!$K$5:$K$24,'CF.1'!E66,'CF.2'!$M$5:$M$24)</f>
        <v>0</v>
      </c>
      <c r="R66" s="509">
        <f>SUMIF('CF.2'!$H$30:$H$59,'CF.1'!E66,'CF.2'!$J$30:$J$59)+SUMIF('CF.2'!$K$30:$K$59,'CF.1'!E66,'CF.2'!$M$30:$M$59)</f>
        <v>0</v>
      </c>
      <c r="S66" s="509">
        <f>SUMIF('CF.2'!$H$64:$H$97,'CF.1'!E66,'CF.2'!$J$64:$J$97)+SUMIF('CF.2'!$K$64:$K$97,'CF.1'!E66,'CF.2'!$M$64:$M$97)</f>
        <v>0</v>
      </c>
      <c r="T66" s="509">
        <f>SUMIF('CF.2'!$H$101:$H$107,'CF.1'!E66,'CF.2'!$J$101:$J$107)+SUMIF('CF.2'!$K$101:$K$107,'CF.1'!E66,'CF.2'!$M$101:$M$107)</f>
        <v>0</v>
      </c>
      <c r="U66" s="509">
        <f>SUMIF('CF.2'!$H$112:$H$120,'CF.1'!E66,'CF.2'!$J$112:$J$120)+SUMIF('CF.2'!$K$112:$K$120,'CF.1'!E66,'CF.2'!$M$112:$M$120)</f>
        <v>0</v>
      </c>
      <c r="V66" s="510">
        <f t="shared" si="10"/>
        <v>0</v>
      </c>
      <c r="X66" s="512">
        <f t="shared" si="6"/>
        <v>0</v>
      </c>
    </row>
    <row r="67" spans="4:24" ht="18" customHeight="1">
      <c r="D67" s="506" t="s">
        <v>799</v>
      </c>
      <c r="E67" s="507" t="s">
        <v>799</v>
      </c>
      <c r="F67" s="508"/>
      <c r="G67" s="507" t="s">
        <v>800</v>
      </c>
      <c r="H67" s="509">
        <v>0</v>
      </c>
      <c r="I67" s="509">
        <v>0</v>
      </c>
      <c r="J67" s="509">
        <v>0</v>
      </c>
      <c r="K67" s="509">
        <v>0</v>
      </c>
      <c r="L67" s="509">
        <v>0</v>
      </c>
      <c r="M67" s="509"/>
      <c r="N67" s="509">
        <v>0</v>
      </c>
      <c r="O67" s="510">
        <f t="shared" si="9"/>
        <v>0</v>
      </c>
      <c r="Q67" s="511">
        <f>SUMIF('CF.2'!$H$5:$H$24,'CF.1'!E67,'CF.2'!$J$5:$J$24)-SUMIF('CF.2'!$K$5:$K$24,'CF.1'!E67,'CF.2'!$M$5:$M$24)</f>
        <v>0</v>
      </c>
      <c r="R67" s="509">
        <f>SUMIF('CF.2'!$H$30:$H$59,'CF.1'!E67,'CF.2'!$J$30:$J$59)+SUMIF('CF.2'!$K$30:$K$59,'CF.1'!E67,'CF.2'!$M$30:$M$59)</f>
        <v>0</v>
      </c>
      <c r="S67" s="509">
        <f>SUMIF('CF.2'!$H$64:$H$97,'CF.1'!E67,'CF.2'!$J$64:$J$97)+SUMIF('CF.2'!$K$64:$K$97,'CF.1'!E67,'CF.2'!$M$64:$M$97)</f>
        <v>0</v>
      </c>
      <c r="T67" s="509">
        <f>SUMIF('CF.2'!$H$101:$H$107,'CF.1'!E67,'CF.2'!$J$101:$J$107)+SUMIF('CF.2'!$K$101:$K$107,'CF.1'!E67,'CF.2'!$M$101:$M$107)</f>
        <v>0</v>
      </c>
      <c r="U67" s="509">
        <f>SUMIF('CF.2'!$H$112:$H$120,'CF.1'!E67,'CF.2'!$J$112:$J$120)+SUMIF('CF.2'!$K$112:$K$120,'CF.1'!E67,'CF.2'!$M$112:$M$120)</f>
        <v>0</v>
      </c>
      <c r="V67" s="510">
        <f t="shared" si="10"/>
        <v>0</v>
      </c>
      <c r="X67" s="512">
        <f t="shared" si="6"/>
        <v>0</v>
      </c>
    </row>
    <row r="68" spans="4:24" ht="18" customHeight="1">
      <c r="D68" s="506" t="s">
        <v>801</v>
      </c>
      <c r="E68" s="507" t="s">
        <v>801</v>
      </c>
      <c r="F68" s="508"/>
      <c r="G68" s="507" t="s">
        <v>802</v>
      </c>
      <c r="H68" s="509">
        <v>0</v>
      </c>
      <c r="I68" s="509">
        <v>0</v>
      </c>
      <c r="J68" s="509">
        <v>0</v>
      </c>
      <c r="K68" s="509">
        <v>0</v>
      </c>
      <c r="L68" s="509">
        <v>0</v>
      </c>
      <c r="M68" s="509"/>
      <c r="N68" s="509">
        <v>0</v>
      </c>
      <c r="O68" s="510">
        <f t="shared" si="9"/>
        <v>0</v>
      </c>
      <c r="Q68" s="511">
        <f>SUMIF('CF.2'!$H$5:$H$24,'CF.1'!E68,'CF.2'!$J$5:$J$24)-SUMIF('CF.2'!$K$5:$K$24,'CF.1'!E68,'CF.2'!$M$5:$M$24)</f>
        <v>0</v>
      </c>
      <c r="R68" s="509">
        <f>SUMIF('CF.2'!$H$30:$H$59,'CF.1'!E68,'CF.2'!$J$30:$J$59)+SUMIF('CF.2'!$K$30:$K$59,'CF.1'!E68,'CF.2'!$M$30:$M$59)</f>
        <v>0</v>
      </c>
      <c r="S68" s="509">
        <f>SUMIF('CF.2'!$H$64:$H$97,'CF.1'!E68,'CF.2'!$J$64:$J$97)+SUMIF('CF.2'!$K$64:$K$97,'CF.1'!E68,'CF.2'!$M$64:$M$97)</f>
        <v>0</v>
      </c>
      <c r="T68" s="509">
        <f>SUMIF('CF.2'!$H$101:$H$107,'CF.1'!E68,'CF.2'!$J$101:$J$107)+SUMIF('CF.2'!$K$101:$K$107,'CF.1'!E68,'CF.2'!$M$101:$M$107)</f>
        <v>0</v>
      </c>
      <c r="U68" s="509">
        <f>SUMIF('CF.2'!$H$112:$H$120,'CF.1'!E68,'CF.2'!$J$112:$J$120)+SUMIF('CF.2'!$K$112:$K$120,'CF.1'!E68,'CF.2'!$M$112:$M$120)</f>
        <v>0</v>
      </c>
      <c r="V68" s="510">
        <f t="shared" si="10"/>
        <v>0</v>
      </c>
      <c r="X68" s="512">
        <f t="shared" si="6"/>
        <v>0</v>
      </c>
    </row>
    <row r="69" spans="4:24" ht="18" customHeight="1">
      <c r="D69" s="506" t="s">
        <v>803</v>
      </c>
      <c r="E69" s="507" t="s">
        <v>803</v>
      </c>
      <c r="F69" s="508"/>
      <c r="G69" s="507" t="s">
        <v>804</v>
      </c>
      <c r="H69" s="509">
        <v>0</v>
      </c>
      <c r="I69" s="509">
        <v>0</v>
      </c>
      <c r="J69" s="509">
        <v>0</v>
      </c>
      <c r="K69" s="509">
        <v>0</v>
      </c>
      <c r="L69" s="509">
        <v>0</v>
      </c>
      <c r="M69" s="509"/>
      <c r="N69" s="509">
        <v>0</v>
      </c>
      <c r="O69" s="510">
        <f t="shared" si="9"/>
        <v>0</v>
      </c>
      <c r="Q69" s="511">
        <f>SUMIF('CF.2'!$H$5:$H$24,'CF.1'!E69,'CF.2'!$J$5:$J$24)-SUMIF('CF.2'!$K$5:$K$24,'CF.1'!E69,'CF.2'!$M$5:$M$24)</f>
        <v>0</v>
      </c>
      <c r="R69" s="509">
        <f>SUMIF('CF.2'!$H$30:$H$59,'CF.1'!E69,'CF.2'!$J$30:$J$59)+SUMIF('CF.2'!$K$30:$K$59,'CF.1'!E69,'CF.2'!$M$30:$M$59)</f>
        <v>0</v>
      </c>
      <c r="S69" s="509">
        <f>SUMIF('CF.2'!$H$64:$H$97,'CF.1'!E69,'CF.2'!$J$64:$J$97)+SUMIF('CF.2'!$K$64:$K$97,'CF.1'!E69,'CF.2'!$M$64:$M$97)</f>
        <v>0</v>
      </c>
      <c r="T69" s="509">
        <f>SUMIF('CF.2'!$H$101:$H$107,'CF.1'!E69,'CF.2'!$J$101:$J$107)+SUMIF('CF.2'!$K$101:$K$107,'CF.1'!E69,'CF.2'!$M$101:$M$107)</f>
        <v>0</v>
      </c>
      <c r="U69" s="509">
        <f>SUMIF('CF.2'!$H$112:$H$120,'CF.1'!E69,'CF.2'!$J$112:$J$120)+SUMIF('CF.2'!$K$112:$K$120,'CF.1'!E69,'CF.2'!$M$112:$M$120)</f>
        <v>0</v>
      </c>
      <c r="V69" s="510">
        <f t="shared" si="10"/>
        <v>0</v>
      </c>
      <c r="X69" s="512">
        <f t="shared" si="6"/>
        <v>0</v>
      </c>
    </row>
    <row r="70" spans="4:24" ht="18" customHeight="1">
      <c r="D70" s="506" t="s">
        <v>805</v>
      </c>
      <c r="E70" s="507" t="s">
        <v>805</v>
      </c>
      <c r="F70" s="508"/>
      <c r="G70" s="507" t="s">
        <v>806</v>
      </c>
      <c r="H70" s="509">
        <v>0</v>
      </c>
      <c r="I70" s="509">
        <v>0</v>
      </c>
      <c r="J70" s="509">
        <v>0</v>
      </c>
      <c r="K70" s="509">
        <v>0</v>
      </c>
      <c r="L70" s="509">
        <v>0</v>
      </c>
      <c r="M70" s="509"/>
      <c r="N70" s="509">
        <v>0</v>
      </c>
      <c r="O70" s="510">
        <f t="shared" si="9"/>
        <v>0</v>
      </c>
      <c r="Q70" s="511">
        <f>SUMIF('CF.2'!$H$5:$H$24,'CF.1'!E70,'CF.2'!$J$5:$J$24)-SUMIF('CF.2'!$K$5:$K$24,'CF.1'!E70,'CF.2'!$M$5:$M$24)</f>
        <v>0</v>
      </c>
      <c r="R70" s="509">
        <f>SUMIF('CF.2'!$H$30:$H$59,'CF.1'!E70,'CF.2'!$J$30:$J$59)+SUMIF('CF.2'!$K$30:$K$59,'CF.1'!E70,'CF.2'!$M$30:$M$59)</f>
        <v>0</v>
      </c>
      <c r="S70" s="509">
        <f>SUMIF('CF.2'!$H$64:$H$97,'CF.1'!E70,'CF.2'!$J$64:$J$97)+SUMIF('CF.2'!$K$64:$K$97,'CF.1'!E70,'CF.2'!$M$64:$M$97)</f>
        <v>0</v>
      </c>
      <c r="T70" s="509">
        <f>SUMIF('CF.2'!$H$101:$H$107,'CF.1'!E70,'CF.2'!$J$101:$J$107)+SUMIF('CF.2'!$K$101:$K$107,'CF.1'!E70,'CF.2'!$M$101:$M$107)</f>
        <v>0</v>
      </c>
      <c r="U70" s="509">
        <f>SUMIF('CF.2'!$H$112:$H$120,'CF.1'!E70,'CF.2'!$J$112:$J$120)+SUMIF('CF.2'!$K$112:$K$120,'CF.1'!E70,'CF.2'!$M$112:$M$120)</f>
        <v>0</v>
      </c>
      <c r="V70" s="510">
        <f t="shared" si="10"/>
        <v>0</v>
      </c>
      <c r="X70" s="512">
        <f t="shared" si="6"/>
        <v>0</v>
      </c>
    </row>
    <row r="71" spans="4:24" ht="18" customHeight="1">
      <c r="D71" s="506" t="s">
        <v>807</v>
      </c>
      <c r="E71" s="507" t="s">
        <v>807</v>
      </c>
      <c r="F71" s="508"/>
      <c r="G71" s="507" t="s">
        <v>808</v>
      </c>
      <c r="H71" s="509">
        <v>0</v>
      </c>
      <c r="I71" s="509">
        <v>0</v>
      </c>
      <c r="J71" s="509">
        <v>0</v>
      </c>
      <c r="K71" s="509">
        <v>0</v>
      </c>
      <c r="L71" s="509">
        <v>0</v>
      </c>
      <c r="M71" s="509"/>
      <c r="N71" s="509">
        <v>0</v>
      </c>
      <c r="O71" s="510">
        <f t="shared" si="9"/>
        <v>0</v>
      </c>
      <c r="Q71" s="511">
        <f>SUMIF('CF.2'!$H$5:$H$24,'CF.1'!E71,'CF.2'!$J$5:$J$24)-SUMIF('CF.2'!$K$5:$K$24,'CF.1'!E71,'CF.2'!$M$5:$M$24)</f>
        <v>0</v>
      </c>
      <c r="R71" s="509">
        <f>SUMIF('CF.2'!$H$30:$H$59,'CF.1'!E71,'CF.2'!$J$30:$J$59)+SUMIF('CF.2'!$K$30:$K$59,'CF.1'!E71,'CF.2'!$M$30:$M$59)</f>
        <v>0</v>
      </c>
      <c r="S71" s="509">
        <f>SUMIF('CF.2'!$H$64:$H$97,'CF.1'!E71,'CF.2'!$J$64:$J$97)+SUMIF('CF.2'!$K$64:$K$97,'CF.1'!E71,'CF.2'!$M$64:$M$97)</f>
        <v>0</v>
      </c>
      <c r="T71" s="509">
        <f>SUMIF('CF.2'!$H$101:$H$107,'CF.1'!E71,'CF.2'!$J$101:$J$107)+SUMIF('CF.2'!$K$101:$K$107,'CF.1'!E71,'CF.2'!$M$101:$M$107)</f>
        <v>0</v>
      </c>
      <c r="U71" s="509">
        <f>SUMIF('CF.2'!$H$112:$H$120,'CF.1'!E71,'CF.2'!$J$112:$J$120)+SUMIF('CF.2'!$K$112:$K$120,'CF.1'!E71,'CF.2'!$M$112:$M$120)</f>
        <v>0</v>
      </c>
      <c r="V71" s="510">
        <f t="shared" si="10"/>
        <v>0</v>
      </c>
      <c r="X71" s="512">
        <f t="shared" si="6"/>
        <v>0</v>
      </c>
    </row>
    <row r="72" spans="4:24" s="515" customFormat="1" ht="18" customHeight="1">
      <c r="D72" s="514" t="s">
        <v>743</v>
      </c>
      <c r="E72" s="515" t="s">
        <v>1932</v>
      </c>
      <c r="F72" s="516" t="s">
        <v>691</v>
      </c>
      <c r="G72" s="515" t="s">
        <v>1931</v>
      </c>
      <c r="H72" s="509">
        <v>0</v>
      </c>
      <c r="I72" s="517"/>
      <c r="J72" s="517"/>
      <c r="K72" s="517"/>
      <c r="L72" s="517"/>
      <c r="M72" s="517"/>
      <c r="N72" s="517"/>
      <c r="O72" s="518">
        <f t="shared" si="9"/>
        <v>0</v>
      </c>
      <c r="Q72" s="520">
        <f>SUMIF('CF.2'!$H$5:$H$24,'CF.1'!E72,'CF.2'!$J$5:$J$24)-SUMIF('CF.2'!$K$5:$K$24,'CF.1'!E72,'CF.2'!$M$5:$M$24)</f>
        <v>0</v>
      </c>
      <c r="R72" s="517">
        <f>SUMIF('CF.2'!$H$30:$H$59,'CF.1'!E72,'CF.2'!$J$30:$J$59)+SUMIF('CF.2'!$K$30:$K$59,'CF.1'!E72,'CF.2'!$M$30:$M$59)</f>
        <v>0</v>
      </c>
      <c r="S72" s="517">
        <f>SUMIF('CF.2'!$H$64:$H$97,'CF.1'!E72,'CF.2'!$J$64:$J$97)+SUMIF('CF.2'!$K$64:$K$97,'CF.1'!E72,'CF.2'!$M$64:$M$97)</f>
        <v>0</v>
      </c>
      <c r="T72" s="517">
        <f>SUMIF('CF.2'!$H$101:$H$107,'CF.1'!E72,'CF.2'!$J$101:$J$107)+SUMIF('CF.2'!$K$101:$K$107,'CF.1'!E72,'CF.2'!$M$101:$M$107)</f>
        <v>0</v>
      </c>
      <c r="U72" s="517">
        <f>SUMIF('CF.2'!$H$112:$H$120,'CF.1'!E72,'CF.2'!$J$112:$J$120)+SUMIF('CF.2'!$K$112:$K$120,'CF.1'!E72,'CF.2'!$M$112:$M$120)</f>
        <v>20593687255</v>
      </c>
      <c r="V72" s="518">
        <f t="shared" si="10"/>
        <v>20593687255</v>
      </c>
      <c r="X72" s="512">
        <f t="shared" si="6"/>
        <v>20593687255</v>
      </c>
    </row>
    <row r="73" spans="4:24" ht="18" customHeight="1">
      <c r="D73" s="506" t="s">
        <v>809</v>
      </c>
      <c r="E73" s="507" t="s">
        <v>809</v>
      </c>
      <c r="F73" s="508"/>
      <c r="G73" s="507" t="s">
        <v>810</v>
      </c>
      <c r="H73" s="509">
        <v>0</v>
      </c>
      <c r="I73" s="509">
        <v>0</v>
      </c>
      <c r="J73" s="509">
        <v>0</v>
      </c>
      <c r="K73" s="509">
        <v>0</v>
      </c>
      <c r="L73" s="509">
        <v>0</v>
      </c>
      <c r="M73" s="509"/>
      <c r="N73" s="509">
        <v>0</v>
      </c>
      <c r="O73" s="510">
        <f t="shared" si="9"/>
        <v>0</v>
      </c>
      <c r="Q73" s="511">
        <f>SUMIF('CF.2'!$H$5:$H$24,'CF.1'!E73,'CF.2'!$J$5:$J$24)-SUMIF('CF.2'!$K$5:$K$24,'CF.1'!E73,'CF.2'!$M$5:$M$24)</f>
        <v>0</v>
      </c>
      <c r="R73" s="509">
        <f>SUMIF('CF.2'!$H$30:$H$59,'CF.1'!E73,'CF.2'!$J$30:$J$59)+SUMIF('CF.2'!$K$30:$K$59,'CF.1'!E73,'CF.2'!$M$30:$M$59)</f>
        <v>0</v>
      </c>
      <c r="S73" s="509">
        <f>SUMIF('CF.2'!$H$64:$H$97,'CF.1'!E73,'CF.2'!$J$64:$J$97)+SUMIF('CF.2'!$K$64:$K$97,'CF.1'!E73,'CF.2'!$M$64:$M$97)</f>
        <v>0</v>
      </c>
      <c r="T73" s="509">
        <f>SUMIF('CF.2'!$H$101:$H$107,'CF.1'!E73,'CF.2'!$J$101:$J$107)+SUMIF('CF.2'!$K$101:$K$107,'CF.1'!E73,'CF.2'!$M$101:$M$107)</f>
        <v>0</v>
      </c>
      <c r="U73" s="509">
        <f>SUMIF('CF.2'!$H$112:$H$120,'CF.1'!E73,'CF.2'!$J$112:$J$120)+SUMIF('CF.2'!$K$112:$K$120,'CF.1'!E73,'CF.2'!$M$112:$M$120)</f>
        <v>0</v>
      </c>
      <c r="V73" s="510">
        <f t="shared" si="10"/>
        <v>0</v>
      </c>
      <c r="X73" s="512">
        <f t="shared" si="6"/>
        <v>0</v>
      </c>
    </row>
    <row r="74" spans="4:24" ht="18" customHeight="1">
      <c r="D74" s="499" t="s">
        <v>811</v>
      </c>
      <c r="E74" s="500" t="s">
        <v>811</v>
      </c>
      <c r="F74" s="501"/>
      <c r="G74" s="500" t="s">
        <v>812</v>
      </c>
      <c r="H74" s="502">
        <f t="shared" ref="H74:O74" si="11">SUM(H75:H124)</f>
        <v>-1514399994</v>
      </c>
      <c r="I74" s="502">
        <f t="shared" si="11"/>
        <v>-722167</v>
      </c>
      <c r="J74" s="502">
        <f t="shared" si="11"/>
        <v>-3511140397</v>
      </c>
      <c r="K74" s="502">
        <f t="shared" si="11"/>
        <v>-44609</v>
      </c>
      <c r="L74" s="502">
        <f t="shared" si="11"/>
        <v>-1382579</v>
      </c>
      <c r="M74" s="502">
        <f t="shared" si="11"/>
        <v>0</v>
      </c>
      <c r="N74" s="502">
        <f t="shared" si="11"/>
        <v>-17733235</v>
      </c>
      <c r="O74" s="503">
        <f t="shared" si="11"/>
        <v>-5045422981</v>
      </c>
      <c r="Q74" s="504">
        <f t="shared" ref="Q74:V74" si="12">SUM(Q75:Q124)</f>
        <v>0</v>
      </c>
      <c r="R74" s="502">
        <f t="shared" si="12"/>
        <v>0</v>
      </c>
      <c r="S74" s="502">
        <f t="shared" si="12"/>
        <v>18156386</v>
      </c>
      <c r="T74" s="502">
        <f t="shared" si="12"/>
        <v>3510578759</v>
      </c>
      <c r="U74" s="502">
        <f t="shared" si="12"/>
        <v>0</v>
      </c>
      <c r="V74" s="503">
        <f t="shared" si="12"/>
        <v>3528735145</v>
      </c>
      <c r="X74" s="505">
        <f t="shared" ref="X74" si="13">SUM(X75:X124)</f>
        <v>-1516687836</v>
      </c>
    </row>
    <row r="75" spans="4:24" ht="18" customHeight="1">
      <c r="D75" s="506" t="s">
        <v>813</v>
      </c>
      <c r="E75" s="507" t="s">
        <v>813</v>
      </c>
      <c r="F75" s="508" t="s">
        <v>680</v>
      </c>
      <c r="G75" s="507" t="s">
        <v>680</v>
      </c>
      <c r="H75" s="509">
        <v>-102383090</v>
      </c>
      <c r="I75" s="509">
        <v>0</v>
      </c>
      <c r="J75" s="509">
        <v>0</v>
      </c>
      <c r="K75" s="509">
        <v>0</v>
      </c>
      <c r="L75" s="509">
        <v>0</v>
      </c>
      <c r="M75" s="509"/>
      <c r="N75" s="509">
        <v>0</v>
      </c>
      <c r="O75" s="510">
        <f t="shared" si="9"/>
        <v>-102383090</v>
      </c>
      <c r="Q75" s="511">
        <f>SUMIF('CF.2'!$H$5:$H$24,'CF.1'!E75,'CF.2'!$J$5:$J$24)-SUMIF('CF.2'!$K$5:$K$24,'CF.1'!E75,'CF.2'!$M$5:$M$24)</f>
        <v>0</v>
      </c>
      <c r="R75" s="509">
        <f>SUMIF('CF.2'!$H$30:$H$59,'CF.1'!E75,'CF.2'!$J$30:$J$59)+SUMIF('CF.2'!$K$30:$K$59,'CF.1'!E75,'CF.2'!$M$30:$M$59)</f>
        <v>0</v>
      </c>
      <c r="S75" s="509">
        <f>SUMIF('CF.2'!$H$64:$H$97,'CF.1'!E75,'CF.2'!$J$64:$J$97)+SUMIF('CF.2'!$K$64:$K$97,'CF.1'!E75,'CF.2'!$M$64:$M$97)</f>
        <v>0</v>
      </c>
      <c r="T75" s="509">
        <f>SUMIF('CF.2'!$H$101:$H$107,'CF.1'!E75,'CF.2'!$J$101:$J$107)+SUMIF('CF.2'!$K$101:$K$107,'CF.1'!E75,'CF.2'!$M$101:$M$107)</f>
        <v>0</v>
      </c>
      <c r="U75" s="509">
        <f>SUMIF('CF.2'!$H$112:$H$120,'CF.1'!E75,'CF.2'!$J$112:$J$120)+SUMIF('CF.2'!$K$112:$K$120,'CF.1'!E75,'CF.2'!$M$112:$M$120)</f>
        <v>0</v>
      </c>
      <c r="V75" s="510">
        <f t="shared" ref="V75:V124" si="14">SUM(Q75:U75)</f>
        <v>0</v>
      </c>
      <c r="X75" s="512">
        <f t="shared" si="6"/>
        <v>-102383090</v>
      </c>
    </row>
    <row r="76" spans="4:24" ht="18" customHeight="1">
      <c r="D76" s="506" t="s">
        <v>814</v>
      </c>
      <c r="E76" s="507" t="s">
        <v>814</v>
      </c>
      <c r="F76" s="508" t="s">
        <v>1474</v>
      </c>
      <c r="G76" s="507" t="s">
        <v>815</v>
      </c>
      <c r="H76" s="509">
        <v>0</v>
      </c>
      <c r="I76" s="509">
        <v>0</v>
      </c>
      <c r="J76" s="509">
        <v>0</v>
      </c>
      <c r="K76" s="509">
        <v>0</v>
      </c>
      <c r="L76" s="509">
        <v>0</v>
      </c>
      <c r="M76" s="509"/>
      <c r="N76" s="509">
        <v>0</v>
      </c>
      <c r="O76" s="510">
        <f t="shared" ref="O76:O124" si="15">SUM(H76:N76)</f>
        <v>0</v>
      </c>
      <c r="Q76" s="511">
        <f>SUMIF('CF.2'!$H$5:$H$24,'CF.1'!E76,'CF.2'!$J$5:$J$24)-SUMIF('CF.2'!$K$5:$K$24,'CF.1'!E76,'CF.2'!$M$5:$M$24)</f>
        <v>0</v>
      </c>
      <c r="R76" s="509">
        <f>SUMIF('CF.2'!$H$30:$H$59,'CF.1'!E76,'CF.2'!$J$30:$J$59)+SUMIF('CF.2'!$K$30:$K$59,'CF.1'!E76,'CF.2'!$M$30:$M$59)</f>
        <v>0</v>
      </c>
      <c r="S76" s="509">
        <f>SUMIF('CF.2'!$H$64:$H$97,'CF.1'!E76,'CF.2'!$J$64:$J$97)+SUMIF('CF.2'!$K$64:$K$97,'CF.1'!E76,'CF.2'!$M$64:$M$97)</f>
        <v>0</v>
      </c>
      <c r="T76" s="509">
        <f>SUMIF('CF.2'!$H$101:$H$107,'CF.1'!E76,'CF.2'!$J$101:$J$107)+SUMIF('CF.2'!$K$101:$K$107,'CF.1'!E76,'CF.2'!$M$101:$M$107)</f>
        <v>0</v>
      </c>
      <c r="U76" s="509">
        <f>SUMIF('CF.2'!$H$112:$H$120,'CF.1'!E76,'CF.2'!$J$112:$J$120)+SUMIF('CF.2'!$K$112:$K$120,'CF.1'!E76,'CF.2'!$M$112:$M$120)</f>
        <v>0</v>
      </c>
      <c r="V76" s="510">
        <f t="shared" si="14"/>
        <v>0</v>
      </c>
      <c r="X76" s="512">
        <f t="shared" ref="X76:X124" si="16">V76+O76</f>
        <v>0</v>
      </c>
    </row>
    <row r="77" spans="4:24" ht="18" customHeight="1">
      <c r="D77" s="506" t="s">
        <v>816</v>
      </c>
      <c r="E77" s="507" t="s">
        <v>816</v>
      </c>
      <c r="F77" s="508" t="s">
        <v>888</v>
      </c>
      <c r="G77" s="507" t="s">
        <v>817</v>
      </c>
      <c r="H77" s="509">
        <v>0</v>
      </c>
      <c r="I77" s="509">
        <v>0</v>
      </c>
      <c r="J77" s="509">
        <v>0</v>
      </c>
      <c r="K77" s="509">
        <v>0</v>
      </c>
      <c r="L77" s="509">
        <v>0</v>
      </c>
      <c r="M77" s="509"/>
      <c r="N77" s="509">
        <v>0</v>
      </c>
      <c r="O77" s="510">
        <f t="shared" si="15"/>
        <v>0</v>
      </c>
      <c r="Q77" s="511">
        <f>SUMIF('CF.2'!$H$5:$H$24,'CF.1'!E77,'CF.2'!$J$5:$J$24)-SUMIF('CF.2'!$K$5:$K$24,'CF.1'!E77,'CF.2'!$M$5:$M$24)</f>
        <v>0</v>
      </c>
      <c r="R77" s="509">
        <f>SUMIF('CF.2'!$H$30:$H$59,'CF.1'!E77,'CF.2'!$J$30:$J$59)+SUMIF('CF.2'!$K$30:$K$59,'CF.1'!E77,'CF.2'!$M$30:$M$59)</f>
        <v>0</v>
      </c>
      <c r="S77" s="509">
        <f>SUMIF('CF.2'!$H$64:$H$97,'CF.1'!E77,'CF.2'!$J$64:$J$97)+SUMIF('CF.2'!$K$64:$K$97,'CF.1'!E77,'CF.2'!$M$64:$M$97)</f>
        <v>0</v>
      </c>
      <c r="T77" s="509">
        <f>SUMIF('CF.2'!$H$101:$H$107,'CF.1'!E77,'CF.2'!$J$101:$J$107)+SUMIF('CF.2'!$K$101:$K$107,'CF.1'!E77,'CF.2'!$M$101:$M$107)</f>
        <v>0</v>
      </c>
      <c r="U77" s="509">
        <f>SUMIF('CF.2'!$H$112:$H$120,'CF.1'!E77,'CF.2'!$J$112:$J$120)+SUMIF('CF.2'!$K$112:$K$120,'CF.1'!E77,'CF.2'!$M$112:$M$120)</f>
        <v>0</v>
      </c>
      <c r="V77" s="510">
        <f t="shared" si="14"/>
        <v>0</v>
      </c>
      <c r="X77" s="512">
        <f t="shared" si="16"/>
        <v>0</v>
      </c>
    </row>
    <row r="78" spans="4:24" ht="18" customHeight="1">
      <c r="D78" s="506" t="s">
        <v>818</v>
      </c>
      <c r="E78" s="507" t="s">
        <v>818</v>
      </c>
      <c r="F78" s="508"/>
      <c r="G78" s="507" t="s">
        <v>819</v>
      </c>
      <c r="H78" s="509">
        <v>0</v>
      </c>
      <c r="I78" s="509">
        <v>0</v>
      </c>
      <c r="J78" s="509">
        <v>0</v>
      </c>
      <c r="K78" s="509">
        <v>0</v>
      </c>
      <c r="L78" s="509">
        <v>0</v>
      </c>
      <c r="M78" s="509"/>
      <c r="N78" s="509">
        <v>0</v>
      </c>
      <c r="O78" s="510">
        <f t="shared" si="15"/>
        <v>0</v>
      </c>
      <c r="Q78" s="511">
        <f>SUMIF('CF.2'!$H$5:$H$24,'CF.1'!E78,'CF.2'!$J$5:$J$24)-SUMIF('CF.2'!$K$5:$K$24,'CF.1'!E78,'CF.2'!$M$5:$M$24)</f>
        <v>0</v>
      </c>
      <c r="R78" s="509">
        <f>SUMIF('CF.2'!$H$30:$H$59,'CF.1'!E78,'CF.2'!$J$30:$J$59)+SUMIF('CF.2'!$K$30:$K$59,'CF.1'!E78,'CF.2'!$M$30:$M$59)</f>
        <v>0</v>
      </c>
      <c r="S78" s="509">
        <f>SUMIF('CF.2'!$H$64:$H$97,'CF.1'!E78,'CF.2'!$J$64:$J$97)+SUMIF('CF.2'!$K$64:$K$97,'CF.1'!E78,'CF.2'!$M$64:$M$97)</f>
        <v>0</v>
      </c>
      <c r="T78" s="509">
        <f>SUMIF('CF.2'!$H$101:$H$107,'CF.1'!E78,'CF.2'!$J$101:$J$107)+SUMIF('CF.2'!$K$101:$K$107,'CF.1'!E78,'CF.2'!$M$101:$M$107)</f>
        <v>0</v>
      </c>
      <c r="U78" s="509">
        <f>SUMIF('CF.2'!$H$112:$H$120,'CF.1'!E78,'CF.2'!$J$112:$J$120)+SUMIF('CF.2'!$K$112:$K$120,'CF.1'!E78,'CF.2'!$M$112:$M$120)</f>
        <v>0</v>
      </c>
      <c r="V78" s="510">
        <f t="shared" si="14"/>
        <v>0</v>
      </c>
      <c r="X78" s="512">
        <f t="shared" si="16"/>
        <v>0</v>
      </c>
    </row>
    <row r="79" spans="4:24" ht="18" customHeight="1">
      <c r="D79" s="506" t="s">
        <v>820</v>
      </c>
      <c r="E79" s="507" t="s">
        <v>820</v>
      </c>
      <c r="F79" s="508"/>
      <c r="G79" s="507" t="s">
        <v>821</v>
      </c>
      <c r="H79" s="509">
        <v>0</v>
      </c>
      <c r="I79" s="509">
        <v>0</v>
      </c>
      <c r="J79" s="509">
        <v>0</v>
      </c>
      <c r="K79" s="509">
        <v>0</v>
      </c>
      <c r="L79" s="509">
        <v>0</v>
      </c>
      <c r="M79" s="509"/>
      <c r="N79" s="509">
        <v>0</v>
      </c>
      <c r="O79" s="510">
        <f t="shared" si="15"/>
        <v>0</v>
      </c>
      <c r="Q79" s="511">
        <f>SUMIF('CF.2'!$H$5:$H$24,'CF.1'!E79,'CF.2'!$J$5:$J$24)-SUMIF('CF.2'!$K$5:$K$24,'CF.1'!E79,'CF.2'!$M$5:$M$24)</f>
        <v>0</v>
      </c>
      <c r="R79" s="509">
        <f>SUMIF('CF.2'!$H$30:$H$59,'CF.1'!E79,'CF.2'!$J$30:$J$59)+SUMIF('CF.2'!$K$30:$K$59,'CF.1'!E79,'CF.2'!$M$30:$M$59)</f>
        <v>0</v>
      </c>
      <c r="S79" s="509">
        <f>SUMIF('CF.2'!$H$64:$H$97,'CF.1'!E79,'CF.2'!$J$64:$J$97)+SUMIF('CF.2'!$K$64:$K$97,'CF.1'!E79,'CF.2'!$M$64:$M$97)</f>
        <v>0</v>
      </c>
      <c r="T79" s="509">
        <f>SUMIF('CF.2'!$H$101:$H$107,'CF.1'!E79,'CF.2'!$J$101:$J$107)+SUMIF('CF.2'!$K$101:$K$107,'CF.1'!E79,'CF.2'!$M$101:$M$107)</f>
        <v>0</v>
      </c>
      <c r="U79" s="509">
        <f>SUMIF('CF.2'!$H$112:$H$120,'CF.1'!E79,'CF.2'!$J$112:$J$120)+SUMIF('CF.2'!$K$112:$K$120,'CF.1'!E79,'CF.2'!$M$112:$M$120)</f>
        <v>0</v>
      </c>
      <c r="V79" s="510">
        <f t="shared" si="14"/>
        <v>0</v>
      </c>
      <c r="X79" s="512">
        <f t="shared" si="16"/>
        <v>0</v>
      </c>
    </row>
    <row r="80" spans="4:24" ht="18" customHeight="1">
      <c r="D80" s="506" t="s">
        <v>822</v>
      </c>
      <c r="E80" s="507" t="s">
        <v>822</v>
      </c>
      <c r="F80" s="508" t="s">
        <v>1530</v>
      </c>
      <c r="G80" s="507" t="s">
        <v>823</v>
      </c>
      <c r="H80" s="509">
        <v>0</v>
      </c>
      <c r="I80" s="509">
        <v>0</v>
      </c>
      <c r="J80" s="509">
        <v>0</v>
      </c>
      <c r="K80" s="509">
        <v>0</v>
      </c>
      <c r="L80" s="509">
        <v>0</v>
      </c>
      <c r="M80" s="509"/>
      <c r="N80" s="509">
        <v>0</v>
      </c>
      <c r="O80" s="510">
        <f t="shared" si="15"/>
        <v>0</v>
      </c>
      <c r="Q80" s="511">
        <f>SUMIF('CF.2'!$H$5:$H$24,'CF.1'!E80,'CF.2'!$J$5:$J$24)-SUMIF('CF.2'!$K$5:$K$24,'CF.1'!E80,'CF.2'!$M$5:$M$24)</f>
        <v>0</v>
      </c>
      <c r="R80" s="509">
        <f>SUMIF('CF.2'!$H$30:$H$59,'CF.1'!E80,'CF.2'!$J$30:$J$59)+SUMIF('CF.2'!$K$30:$K$59,'CF.1'!E80,'CF.2'!$M$30:$M$59)</f>
        <v>0</v>
      </c>
      <c r="S80" s="509">
        <f>SUMIF('CF.2'!$H$64:$H$97,'CF.1'!E80,'CF.2'!$J$64:$J$97)+SUMIF('CF.2'!$K$64:$K$97,'CF.1'!E80,'CF.2'!$M$64:$M$97)</f>
        <v>0</v>
      </c>
      <c r="T80" s="509">
        <f>SUMIF('CF.2'!$H$101:$H$107,'CF.1'!E80,'CF.2'!$J$101:$J$107)+SUMIF('CF.2'!$K$101:$K$107,'CF.1'!E80,'CF.2'!$M$101:$M$107)</f>
        <v>1199</v>
      </c>
      <c r="U80" s="509">
        <f>SUMIF('CF.2'!$H$112:$H$120,'CF.1'!E80,'CF.2'!$J$112:$J$120)+SUMIF('CF.2'!$K$112:$K$120,'CF.1'!E80,'CF.2'!$M$112:$M$120)</f>
        <v>0</v>
      </c>
      <c r="V80" s="510">
        <f t="shared" si="14"/>
        <v>1199</v>
      </c>
      <c r="X80" s="512">
        <f t="shared" si="16"/>
        <v>1199</v>
      </c>
    </row>
    <row r="81" spans="4:24" ht="18" customHeight="1">
      <c r="D81" s="506" t="s">
        <v>824</v>
      </c>
      <c r="E81" s="507" t="s">
        <v>824</v>
      </c>
      <c r="F81" s="508"/>
      <c r="G81" s="507" t="s">
        <v>825</v>
      </c>
      <c r="H81" s="509">
        <v>0</v>
      </c>
      <c r="I81" s="509">
        <v>0</v>
      </c>
      <c r="J81" s="509">
        <v>0</v>
      </c>
      <c r="K81" s="509">
        <v>0</v>
      </c>
      <c r="L81" s="509">
        <v>0</v>
      </c>
      <c r="M81" s="509"/>
      <c r="N81" s="509">
        <v>0</v>
      </c>
      <c r="O81" s="510">
        <f t="shared" si="15"/>
        <v>0</v>
      </c>
      <c r="Q81" s="511">
        <f>SUMIF('CF.2'!$H$5:$H$24,'CF.1'!E81,'CF.2'!$J$5:$J$24)-SUMIF('CF.2'!$K$5:$K$24,'CF.1'!E81,'CF.2'!$M$5:$M$24)</f>
        <v>0</v>
      </c>
      <c r="R81" s="509">
        <f>SUMIF('CF.2'!$H$30:$H$59,'CF.1'!E81,'CF.2'!$J$30:$J$59)+SUMIF('CF.2'!$K$30:$K$59,'CF.1'!E81,'CF.2'!$M$30:$M$59)</f>
        <v>0</v>
      </c>
      <c r="S81" s="509">
        <f>SUMIF('CF.2'!$H$64:$H$97,'CF.1'!E81,'CF.2'!$J$64:$J$97)+SUMIF('CF.2'!$K$64:$K$97,'CF.1'!E81,'CF.2'!$M$64:$M$97)</f>
        <v>0</v>
      </c>
      <c r="T81" s="509">
        <f>SUMIF('CF.2'!$H$101:$H$107,'CF.1'!E81,'CF.2'!$J$101:$J$107)+SUMIF('CF.2'!$K$101:$K$107,'CF.1'!E81,'CF.2'!$M$101:$M$107)</f>
        <v>0</v>
      </c>
      <c r="U81" s="509">
        <f>SUMIF('CF.2'!$H$112:$H$120,'CF.1'!E81,'CF.2'!$J$112:$J$120)+SUMIF('CF.2'!$K$112:$K$120,'CF.1'!E81,'CF.2'!$M$112:$M$120)</f>
        <v>0</v>
      </c>
      <c r="V81" s="510">
        <f t="shared" si="14"/>
        <v>0</v>
      </c>
      <c r="X81" s="512">
        <f t="shared" si="16"/>
        <v>0</v>
      </c>
    </row>
    <row r="82" spans="4:24" ht="18" customHeight="1">
      <c r="D82" s="506" t="s">
        <v>826</v>
      </c>
      <c r="E82" s="507" t="s">
        <v>826</v>
      </c>
      <c r="F82" s="508"/>
      <c r="G82" s="507" t="s">
        <v>827</v>
      </c>
      <c r="H82" s="509">
        <v>-1199</v>
      </c>
      <c r="I82" s="509">
        <v>0</v>
      </c>
      <c r="J82" s="509">
        <v>0</v>
      </c>
      <c r="K82" s="509">
        <v>0</v>
      </c>
      <c r="L82" s="509">
        <v>0</v>
      </c>
      <c r="M82" s="509"/>
      <c r="N82" s="509">
        <v>0</v>
      </c>
      <c r="O82" s="510">
        <f t="shared" si="15"/>
        <v>-1199</v>
      </c>
      <c r="Q82" s="511">
        <f>SUMIF('CF.2'!$H$5:$H$24,'CF.1'!E82,'CF.2'!$J$5:$J$24)-SUMIF('CF.2'!$K$5:$K$24,'CF.1'!E82,'CF.2'!$M$5:$M$24)</f>
        <v>0</v>
      </c>
      <c r="R82" s="509">
        <f>SUMIF('CF.2'!$H$30:$H$59,'CF.1'!E82,'CF.2'!$J$30:$J$59)+SUMIF('CF.2'!$K$30:$K$59,'CF.1'!E82,'CF.2'!$M$30:$M$59)</f>
        <v>0</v>
      </c>
      <c r="S82" s="509">
        <f>SUMIF('CF.2'!$H$64:$H$97,'CF.1'!E82,'CF.2'!$J$64:$J$97)+SUMIF('CF.2'!$K$64:$K$97,'CF.1'!E82,'CF.2'!$M$64:$M$97)</f>
        <v>0</v>
      </c>
      <c r="T82" s="509">
        <f>SUMIF('CF.2'!$H$101:$H$107,'CF.1'!E82,'CF.2'!$J$101:$J$107)+SUMIF('CF.2'!$K$101:$K$107,'CF.1'!E82,'CF.2'!$M$101:$M$107)</f>
        <v>0</v>
      </c>
      <c r="U82" s="509">
        <f>SUMIF('CF.2'!$H$112:$H$120,'CF.1'!E82,'CF.2'!$J$112:$J$120)+SUMIF('CF.2'!$K$112:$K$120,'CF.1'!E82,'CF.2'!$M$112:$M$120)</f>
        <v>0</v>
      </c>
      <c r="V82" s="510">
        <f t="shared" si="14"/>
        <v>0</v>
      </c>
      <c r="X82" s="512">
        <f t="shared" si="16"/>
        <v>-1199</v>
      </c>
    </row>
    <row r="83" spans="4:24" ht="18" customHeight="1">
      <c r="D83" s="506" t="s">
        <v>828</v>
      </c>
      <c r="E83" s="507" t="s">
        <v>828</v>
      </c>
      <c r="F83" s="508"/>
      <c r="G83" s="507" t="s">
        <v>829</v>
      </c>
      <c r="H83" s="509">
        <v>0</v>
      </c>
      <c r="I83" s="509">
        <v>0</v>
      </c>
      <c r="J83" s="509">
        <v>0</v>
      </c>
      <c r="K83" s="509">
        <v>0</v>
      </c>
      <c r="L83" s="509">
        <v>0</v>
      </c>
      <c r="M83" s="509"/>
      <c r="N83" s="509">
        <v>0</v>
      </c>
      <c r="O83" s="510">
        <f t="shared" si="15"/>
        <v>0</v>
      </c>
      <c r="Q83" s="511">
        <f>SUMIF('CF.2'!$H$5:$H$24,'CF.1'!E83,'CF.2'!$J$5:$J$24)-SUMIF('CF.2'!$K$5:$K$24,'CF.1'!E83,'CF.2'!$M$5:$M$24)</f>
        <v>0</v>
      </c>
      <c r="R83" s="509">
        <f>SUMIF('CF.2'!$H$30:$H$59,'CF.1'!E83,'CF.2'!$J$30:$J$59)+SUMIF('CF.2'!$K$30:$K$59,'CF.1'!E83,'CF.2'!$M$30:$M$59)</f>
        <v>0</v>
      </c>
      <c r="S83" s="509">
        <f>SUMIF('CF.2'!$H$64:$H$97,'CF.1'!E83,'CF.2'!$J$64:$J$97)+SUMIF('CF.2'!$K$64:$K$97,'CF.1'!E83,'CF.2'!$M$64:$M$97)</f>
        <v>0</v>
      </c>
      <c r="T83" s="509">
        <f>SUMIF('CF.2'!$H$101:$H$107,'CF.1'!E83,'CF.2'!$J$101:$J$107)+SUMIF('CF.2'!$K$101:$K$107,'CF.1'!E83,'CF.2'!$M$101:$M$107)</f>
        <v>0</v>
      </c>
      <c r="U83" s="509">
        <f>SUMIF('CF.2'!$H$112:$H$120,'CF.1'!E83,'CF.2'!$J$112:$J$120)+SUMIF('CF.2'!$K$112:$K$120,'CF.1'!E83,'CF.2'!$M$112:$M$120)</f>
        <v>0</v>
      </c>
      <c r="V83" s="510">
        <f t="shared" si="14"/>
        <v>0</v>
      </c>
      <c r="X83" s="512">
        <f t="shared" si="16"/>
        <v>0</v>
      </c>
    </row>
    <row r="84" spans="4:24" ht="18" customHeight="1">
      <c r="D84" s="506" t="s">
        <v>830</v>
      </c>
      <c r="E84" s="507" t="s">
        <v>830</v>
      </c>
      <c r="F84" s="508"/>
      <c r="G84" s="507" t="s">
        <v>831</v>
      </c>
      <c r="H84" s="509">
        <v>0</v>
      </c>
      <c r="I84" s="509">
        <v>0</v>
      </c>
      <c r="J84" s="509">
        <v>0</v>
      </c>
      <c r="K84" s="509">
        <v>0</v>
      </c>
      <c r="L84" s="509">
        <v>0</v>
      </c>
      <c r="M84" s="509"/>
      <c r="N84" s="509">
        <v>0</v>
      </c>
      <c r="O84" s="510">
        <f t="shared" si="15"/>
        <v>0</v>
      </c>
      <c r="Q84" s="511">
        <f>SUMIF('CF.2'!$H$5:$H$24,'CF.1'!E84,'CF.2'!$J$5:$J$24)-SUMIF('CF.2'!$K$5:$K$24,'CF.1'!E84,'CF.2'!$M$5:$M$24)</f>
        <v>0</v>
      </c>
      <c r="R84" s="509">
        <f>SUMIF('CF.2'!$H$30:$H$59,'CF.1'!E84,'CF.2'!$J$30:$J$59)+SUMIF('CF.2'!$K$30:$K$59,'CF.1'!E84,'CF.2'!$M$30:$M$59)</f>
        <v>0</v>
      </c>
      <c r="S84" s="509">
        <f>SUMIF('CF.2'!$H$64:$H$97,'CF.1'!E84,'CF.2'!$J$64:$J$97)+SUMIF('CF.2'!$K$64:$K$97,'CF.1'!E84,'CF.2'!$M$64:$M$97)</f>
        <v>0</v>
      </c>
      <c r="T84" s="509">
        <f>SUMIF('CF.2'!$H$101:$H$107,'CF.1'!E84,'CF.2'!$J$101:$J$107)+SUMIF('CF.2'!$K$101:$K$107,'CF.1'!E84,'CF.2'!$M$101:$M$107)</f>
        <v>0</v>
      </c>
      <c r="U84" s="509">
        <f>SUMIF('CF.2'!$H$112:$H$120,'CF.1'!E84,'CF.2'!$J$112:$J$120)+SUMIF('CF.2'!$K$112:$K$120,'CF.1'!E84,'CF.2'!$M$112:$M$120)</f>
        <v>0</v>
      </c>
      <c r="V84" s="510">
        <f t="shared" si="14"/>
        <v>0</v>
      </c>
      <c r="X84" s="512">
        <f t="shared" si="16"/>
        <v>0</v>
      </c>
    </row>
    <row r="85" spans="4:24" ht="18" customHeight="1">
      <c r="D85" s="506" t="s">
        <v>832</v>
      </c>
      <c r="E85" s="507" t="s">
        <v>832</v>
      </c>
      <c r="F85" s="508"/>
      <c r="G85" s="507" t="s">
        <v>833</v>
      </c>
      <c r="H85" s="509">
        <v>0</v>
      </c>
      <c r="I85" s="509">
        <v>0</v>
      </c>
      <c r="J85" s="509">
        <v>0</v>
      </c>
      <c r="K85" s="509">
        <v>0</v>
      </c>
      <c r="L85" s="509">
        <v>0</v>
      </c>
      <c r="M85" s="509"/>
      <c r="N85" s="509">
        <v>0</v>
      </c>
      <c r="O85" s="510">
        <f t="shared" si="15"/>
        <v>0</v>
      </c>
      <c r="Q85" s="511">
        <f>SUMIF('CF.2'!$H$5:$H$24,'CF.1'!E85,'CF.2'!$J$5:$J$24)-SUMIF('CF.2'!$K$5:$K$24,'CF.1'!E85,'CF.2'!$M$5:$M$24)</f>
        <v>0</v>
      </c>
      <c r="R85" s="509">
        <f>SUMIF('CF.2'!$H$30:$H$59,'CF.1'!E85,'CF.2'!$J$30:$J$59)+SUMIF('CF.2'!$K$30:$K$59,'CF.1'!E85,'CF.2'!$M$30:$M$59)</f>
        <v>0</v>
      </c>
      <c r="S85" s="509">
        <f>SUMIF('CF.2'!$H$64:$H$97,'CF.1'!E85,'CF.2'!$J$64:$J$97)+SUMIF('CF.2'!$K$64:$K$97,'CF.1'!E85,'CF.2'!$M$64:$M$97)</f>
        <v>0</v>
      </c>
      <c r="T85" s="509">
        <f>SUMIF('CF.2'!$H$101:$H$107,'CF.1'!E85,'CF.2'!$J$101:$J$107)+SUMIF('CF.2'!$K$101:$K$107,'CF.1'!E85,'CF.2'!$M$101:$M$107)</f>
        <v>0</v>
      </c>
      <c r="U85" s="509">
        <f>SUMIF('CF.2'!$H$112:$H$120,'CF.1'!E85,'CF.2'!$J$112:$J$120)+SUMIF('CF.2'!$K$112:$K$120,'CF.1'!E85,'CF.2'!$M$112:$M$120)</f>
        <v>0</v>
      </c>
      <c r="V85" s="510">
        <f t="shared" si="14"/>
        <v>0</v>
      </c>
      <c r="X85" s="512">
        <f t="shared" si="16"/>
        <v>0</v>
      </c>
    </row>
    <row r="86" spans="4:24" ht="18" customHeight="1">
      <c r="D86" s="506" t="s">
        <v>834</v>
      </c>
      <c r="E86" s="507" t="s">
        <v>834</v>
      </c>
      <c r="F86" s="508"/>
      <c r="G86" s="507" t="s">
        <v>835</v>
      </c>
      <c r="H86" s="509">
        <v>0</v>
      </c>
      <c r="I86" s="509">
        <v>0</v>
      </c>
      <c r="J86" s="509">
        <v>0</v>
      </c>
      <c r="K86" s="509">
        <v>0</v>
      </c>
      <c r="L86" s="509">
        <v>0</v>
      </c>
      <c r="M86" s="509"/>
      <c r="N86" s="509">
        <v>0</v>
      </c>
      <c r="O86" s="510">
        <f t="shared" si="15"/>
        <v>0</v>
      </c>
      <c r="Q86" s="511">
        <f>SUMIF('CF.2'!$H$5:$H$24,'CF.1'!E86,'CF.2'!$J$5:$J$24)-SUMIF('CF.2'!$K$5:$K$24,'CF.1'!E86,'CF.2'!$M$5:$M$24)</f>
        <v>0</v>
      </c>
      <c r="R86" s="509">
        <f>SUMIF('CF.2'!$H$30:$H$59,'CF.1'!E86,'CF.2'!$J$30:$J$59)+SUMIF('CF.2'!$K$30:$K$59,'CF.1'!E86,'CF.2'!$M$30:$M$59)</f>
        <v>0</v>
      </c>
      <c r="S86" s="509">
        <f>SUMIF('CF.2'!$H$64:$H$97,'CF.1'!E86,'CF.2'!$J$64:$J$97)+SUMIF('CF.2'!$K$64:$K$97,'CF.1'!E86,'CF.2'!$M$64:$M$97)</f>
        <v>0</v>
      </c>
      <c r="T86" s="509">
        <f>SUMIF('CF.2'!$H$101:$H$107,'CF.1'!E86,'CF.2'!$J$101:$J$107)+SUMIF('CF.2'!$K$101:$K$107,'CF.1'!E86,'CF.2'!$M$101:$M$107)</f>
        <v>0</v>
      </c>
      <c r="U86" s="509">
        <f>SUMIF('CF.2'!$H$112:$H$120,'CF.1'!E86,'CF.2'!$J$112:$J$120)+SUMIF('CF.2'!$K$112:$K$120,'CF.1'!E86,'CF.2'!$M$112:$M$120)</f>
        <v>0</v>
      </c>
      <c r="V86" s="510">
        <f t="shared" si="14"/>
        <v>0</v>
      </c>
      <c r="X86" s="512">
        <f t="shared" si="16"/>
        <v>0</v>
      </c>
    </row>
    <row r="87" spans="4:24" ht="18" customHeight="1">
      <c r="D87" s="506" t="s">
        <v>836</v>
      </c>
      <c r="E87" s="507" t="s">
        <v>836</v>
      </c>
      <c r="F87" s="508"/>
      <c r="G87" s="507" t="s">
        <v>837</v>
      </c>
      <c r="H87" s="509">
        <v>0</v>
      </c>
      <c r="I87" s="509">
        <v>0</v>
      </c>
      <c r="J87" s="509">
        <v>0</v>
      </c>
      <c r="K87" s="509">
        <v>0</v>
      </c>
      <c r="L87" s="509">
        <v>0</v>
      </c>
      <c r="M87" s="509"/>
      <c r="N87" s="509">
        <v>0</v>
      </c>
      <c r="O87" s="510">
        <f t="shared" si="15"/>
        <v>0</v>
      </c>
      <c r="Q87" s="511">
        <f>SUMIF('CF.2'!$H$5:$H$24,'CF.1'!E87,'CF.2'!$J$5:$J$24)-SUMIF('CF.2'!$K$5:$K$24,'CF.1'!E87,'CF.2'!$M$5:$M$24)</f>
        <v>0</v>
      </c>
      <c r="R87" s="509">
        <f>SUMIF('CF.2'!$H$30:$H$59,'CF.1'!E87,'CF.2'!$J$30:$J$59)+SUMIF('CF.2'!$K$30:$K$59,'CF.1'!E87,'CF.2'!$M$30:$M$59)</f>
        <v>0</v>
      </c>
      <c r="S87" s="509">
        <f>SUMIF('CF.2'!$H$64:$H$97,'CF.1'!E87,'CF.2'!$J$64:$J$97)+SUMIF('CF.2'!$K$64:$K$97,'CF.1'!E87,'CF.2'!$M$64:$M$97)</f>
        <v>0</v>
      </c>
      <c r="T87" s="509">
        <f>SUMIF('CF.2'!$H$101:$H$107,'CF.1'!E87,'CF.2'!$J$101:$J$107)+SUMIF('CF.2'!$K$101:$K$107,'CF.1'!E87,'CF.2'!$M$101:$M$107)</f>
        <v>0</v>
      </c>
      <c r="U87" s="509">
        <f>SUMIF('CF.2'!$H$112:$H$120,'CF.1'!E87,'CF.2'!$J$112:$J$120)+SUMIF('CF.2'!$K$112:$K$120,'CF.1'!E87,'CF.2'!$M$112:$M$120)</f>
        <v>0</v>
      </c>
      <c r="V87" s="510">
        <f t="shared" si="14"/>
        <v>0</v>
      </c>
      <c r="X87" s="512">
        <f t="shared" si="16"/>
        <v>0</v>
      </c>
    </row>
    <row r="88" spans="4:24" ht="18" customHeight="1">
      <c r="D88" s="506" t="s">
        <v>838</v>
      </c>
      <c r="E88" s="507" t="s">
        <v>838</v>
      </c>
      <c r="F88" s="508"/>
      <c r="G88" s="507" t="s">
        <v>839</v>
      </c>
      <c r="H88" s="509">
        <v>0</v>
      </c>
      <c r="I88" s="509">
        <v>0</v>
      </c>
      <c r="J88" s="509">
        <v>0</v>
      </c>
      <c r="K88" s="509">
        <v>0</v>
      </c>
      <c r="L88" s="509">
        <v>0</v>
      </c>
      <c r="M88" s="509"/>
      <c r="N88" s="509">
        <v>0</v>
      </c>
      <c r="O88" s="510">
        <f t="shared" si="15"/>
        <v>0</v>
      </c>
      <c r="Q88" s="511">
        <f>SUMIF('CF.2'!$H$5:$H$24,'CF.1'!E88,'CF.2'!$J$5:$J$24)-SUMIF('CF.2'!$K$5:$K$24,'CF.1'!E88,'CF.2'!$M$5:$M$24)</f>
        <v>0</v>
      </c>
      <c r="R88" s="509">
        <f>SUMIF('CF.2'!$H$30:$H$59,'CF.1'!E88,'CF.2'!$J$30:$J$59)+SUMIF('CF.2'!$K$30:$K$59,'CF.1'!E88,'CF.2'!$M$30:$M$59)</f>
        <v>0</v>
      </c>
      <c r="S88" s="509">
        <f>SUMIF('CF.2'!$H$64:$H$97,'CF.1'!E88,'CF.2'!$J$64:$J$97)+SUMIF('CF.2'!$K$64:$K$97,'CF.1'!E88,'CF.2'!$M$64:$M$97)</f>
        <v>0</v>
      </c>
      <c r="T88" s="509">
        <f>SUMIF('CF.2'!$H$101:$H$107,'CF.1'!E88,'CF.2'!$J$101:$J$107)+SUMIF('CF.2'!$K$101:$K$107,'CF.1'!E88,'CF.2'!$M$101:$M$107)</f>
        <v>0</v>
      </c>
      <c r="U88" s="509">
        <f>SUMIF('CF.2'!$H$112:$H$120,'CF.1'!E88,'CF.2'!$J$112:$J$120)+SUMIF('CF.2'!$K$112:$K$120,'CF.1'!E88,'CF.2'!$M$112:$M$120)</f>
        <v>0</v>
      </c>
      <c r="V88" s="510">
        <f t="shared" si="14"/>
        <v>0</v>
      </c>
      <c r="X88" s="512">
        <f t="shared" si="16"/>
        <v>0</v>
      </c>
    </row>
    <row r="89" spans="4:24" ht="18" customHeight="1">
      <c r="D89" s="506" t="s">
        <v>840</v>
      </c>
      <c r="E89" s="507" t="s">
        <v>840</v>
      </c>
      <c r="F89" s="508" t="s">
        <v>683</v>
      </c>
      <c r="G89" s="507" t="s">
        <v>683</v>
      </c>
      <c r="H89" s="509">
        <v>-221590</v>
      </c>
      <c r="I89" s="509">
        <v>0</v>
      </c>
      <c r="J89" s="509">
        <v>0</v>
      </c>
      <c r="K89" s="509">
        <v>0</v>
      </c>
      <c r="L89" s="509">
        <v>0</v>
      </c>
      <c r="M89" s="509"/>
      <c r="N89" s="509">
        <v>0</v>
      </c>
      <c r="O89" s="510">
        <f t="shared" si="15"/>
        <v>-221590</v>
      </c>
      <c r="Q89" s="511">
        <f>SUMIF('CF.2'!$H$5:$H$24,'CF.1'!E89,'CF.2'!$J$5:$J$24)-SUMIF('CF.2'!$K$5:$K$24,'CF.1'!E89,'CF.2'!$M$5:$M$24)</f>
        <v>0</v>
      </c>
      <c r="R89" s="509">
        <f>SUMIF('CF.2'!$H$30:$H$59,'CF.1'!E89,'CF.2'!$J$30:$J$59)+SUMIF('CF.2'!$K$30:$K$59,'CF.1'!E89,'CF.2'!$M$30:$M$59)</f>
        <v>0</v>
      </c>
      <c r="S89" s="509">
        <f>SUMIF('CF.2'!$H$64:$H$97,'CF.1'!E89,'CF.2'!$J$64:$J$97)+SUMIF('CF.2'!$K$64:$K$97,'CF.1'!E89,'CF.2'!$M$64:$M$97)</f>
        <v>0</v>
      </c>
      <c r="T89" s="509">
        <f>SUMIF('CF.2'!$H$101:$H$107,'CF.1'!E89,'CF.2'!$J$101:$J$107)+SUMIF('CF.2'!$K$101:$K$107,'CF.1'!E89,'CF.2'!$M$101:$M$107)</f>
        <v>0</v>
      </c>
      <c r="U89" s="509">
        <f>SUMIF('CF.2'!$H$112:$H$120,'CF.1'!E89,'CF.2'!$J$112:$J$120)+SUMIF('CF.2'!$K$112:$K$120,'CF.1'!E89,'CF.2'!$M$112:$M$120)</f>
        <v>0</v>
      </c>
      <c r="V89" s="510">
        <f t="shared" si="14"/>
        <v>0</v>
      </c>
      <c r="X89" s="512">
        <f t="shared" si="16"/>
        <v>-221590</v>
      </c>
    </row>
    <row r="90" spans="4:24" ht="18" customHeight="1">
      <c r="D90" s="506" t="s">
        <v>841</v>
      </c>
      <c r="E90" s="507" t="s">
        <v>841</v>
      </c>
      <c r="F90" s="508"/>
      <c r="G90" s="507" t="s">
        <v>842</v>
      </c>
      <c r="H90" s="509">
        <v>0</v>
      </c>
      <c r="I90" s="509">
        <v>0</v>
      </c>
      <c r="J90" s="509">
        <v>0</v>
      </c>
      <c r="K90" s="509">
        <v>0</v>
      </c>
      <c r="L90" s="509">
        <v>0</v>
      </c>
      <c r="M90" s="509"/>
      <c r="N90" s="509">
        <v>0</v>
      </c>
      <c r="O90" s="510">
        <f t="shared" si="15"/>
        <v>0</v>
      </c>
      <c r="Q90" s="511">
        <f>SUMIF('CF.2'!$H$5:$H$24,'CF.1'!E90,'CF.2'!$J$5:$J$24)-SUMIF('CF.2'!$K$5:$K$24,'CF.1'!E90,'CF.2'!$M$5:$M$24)</f>
        <v>0</v>
      </c>
      <c r="R90" s="509">
        <f>SUMIF('CF.2'!$H$30:$H$59,'CF.1'!E90,'CF.2'!$J$30:$J$59)+SUMIF('CF.2'!$K$30:$K$59,'CF.1'!E90,'CF.2'!$M$30:$M$59)</f>
        <v>0</v>
      </c>
      <c r="S90" s="509">
        <f>SUMIF('CF.2'!$H$64:$H$97,'CF.1'!E90,'CF.2'!$J$64:$J$97)+SUMIF('CF.2'!$K$64:$K$97,'CF.1'!E90,'CF.2'!$M$64:$M$97)</f>
        <v>0</v>
      </c>
      <c r="T90" s="509">
        <f>SUMIF('CF.2'!$H$101:$H$107,'CF.1'!E90,'CF.2'!$J$101:$J$107)+SUMIF('CF.2'!$K$101:$K$107,'CF.1'!E90,'CF.2'!$M$101:$M$107)</f>
        <v>0</v>
      </c>
      <c r="U90" s="509">
        <f>SUMIF('CF.2'!$H$112:$H$120,'CF.1'!E90,'CF.2'!$J$112:$J$120)+SUMIF('CF.2'!$K$112:$K$120,'CF.1'!E90,'CF.2'!$M$112:$M$120)</f>
        <v>0</v>
      </c>
      <c r="V90" s="510">
        <f t="shared" si="14"/>
        <v>0</v>
      </c>
      <c r="X90" s="512">
        <f t="shared" si="16"/>
        <v>0</v>
      </c>
    </row>
    <row r="91" spans="4:24" ht="18" customHeight="1">
      <c r="D91" s="506" t="s">
        <v>843</v>
      </c>
      <c r="E91" s="507" t="s">
        <v>843</v>
      </c>
      <c r="F91" s="508" t="s">
        <v>684</v>
      </c>
      <c r="G91" s="507" t="s">
        <v>684</v>
      </c>
      <c r="H91" s="509">
        <v>0</v>
      </c>
      <c r="I91" s="509">
        <v>0</v>
      </c>
      <c r="J91" s="509">
        <v>0</v>
      </c>
      <c r="K91" s="509">
        <v>0</v>
      </c>
      <c r="L91" s="509">
        <v>0</v>
      </c>
      <c r="M91" s="509"/>
      <c r="N91" s="509">
        <v>0</v>
      </c>
      <c r="O91" s="510">
        <f t="shared" si="15"/>
        <v>0</v>
      </c>
      <c r="Q91" s="511">
        <f>SUMIF('CF.2'!$H$5:$H$24,'CF.1'!E91,'CF.2'!$J$5:$J$24)-SUMIF('CF.2'!$K$5:$K$24,'CF.1'!E91,'CF.2'!$M$5:$M$24)</f>
        <v>0</v>
      </c>
      <c r="R91" s="509">
        <f>SUMIF('CF.2'!$H$30:$H$59,'CF.1'!E91,'CF.2'!$J$30:$J$59)+SUMIF('CF.2'!$K$30:$K$59,'CF.1'!E91,'CF.2'!$M$30:$M$59)</f>
        <v>0</v>
      </c>
      <c r="S91" s="509">
        <f>SUMIF('CF.2'!$H$64:$H$97,'CF.1'!E91,'CF.2'!$J$64:$J$97)+SUMIF('CF.2'!$K$64:$K$97,'CF.1'!E91,'CF.2'!$M$64:$M$97)</f>
        <v>0</v>
      </c>
      <c r="T91" s="509">
        <f>SUMIF('CF.2'!$H$101:$H$107,'CF.1'!E91,'CF.2'!$J$101:$J$107)+SUMIF('CF.2'!$K$101:$K$107,'CF.1'!E91,'CF.2'!$M$101:$M$107)</f>
        <v>0</v>
      </c>
      <c r="U91" s="509">
        <f>SUMIF('CF.2'!$H$112:$H$120,'CF.1'!E91,'CF.2'!$J$112:$J$120)+SUMIF('CF.2'!$K$112:$K$120,'CF.1'!E91,'CF.2'!$M$112:$M$120)</f>
        <v>0</v>
      </c>
      <c r="V91" s="510">
        <f t="shared" si="14"/>
        <v>0</v>
      </c>
      <c r="X91" s="512">
        <f t="shared" si="16"/>
        <v>0</v>
      </c>
    </row>
    <row r="92" spans="4:24" ht="18" customHeight="1">
      <c r="D92" s="506" t="s">
        <v>844</v>
      </c>
      <c r="E92" s="507" t="s">
        <v>844</v>
      </c>
      <c r="F92" s="508"/>
      <c r="G92" s="507" t="s">
        <v>845</v>
      </c>
      <c r="H92" s="509">
        <v>0</v>
      </c>
      <c r="I92" s="509">
        <v>0</v>
      </c>
      <c r="J92" s="509">
        <v>0</v>
      </c>
      <c r="K92" s="509">
        <v>0</v>
      </c>
      <c r="L92" s="509">
        <v>0</v>
      </c>
      <c r="M92" s="509"/>
      <c r="N92" s="509">
        <v>0</v>
      </c>
      <c r="O92" s="510">
        <f t="shared" si="15"/>
        <v>0</v>
      </c>
      <c r="Q92" s="511">
        <f>SUMIF('CF.2'!$H$5:$H$24,'CF.1'!E92,'CF.2'!$J$5:$J$24)-SUMIF('CF.2'!$K$5:$K$24,'CF.1'!E92,'CF.2'!$M$5:$M$24)</f>
        <v>0</v>
      </c>
      <c r="R92" s="509">
        <f>SUMIF('CF.2'!$H$30:$H$59,'CF.1'!E92,'CF.2'!$J$30:$J$59)+SUMIF('CF.2'!$K$30:$K$59,'CF.1'!E92,'CF.2'!$M$30:$M$59)</f>
        <v>0</v>
      </c>
      <c r="S92" s="509">
        <f>SUMIF('CF.2'!$H$64:$H$97,'CF.1'!E92,'CF.2'!$J$64:$J$97)+SUMIF('CF.2'!$K$64:$K$97,'CF.1'!E92,'CF.2'!$M$64:$M$97)</f>
        <v>0</v>
      </c>
      <c r="T92" s="509">
        <f>SUMIF('CF.2'!$H$101:$H$107,'CF.1'!E92,'CF.2'!$J$101:$J$107)+SUMIF('CF.2'!$K$101:$K$107,'CF.1'!E92,'CF.2'!$M$101:$M$107)</f>
        <v>0</v>
      </c>
      <c r="U92" s="509">
        <f>SUMIF('CF.2'!$H$112:$H$120,'CF.1'!E92,'CF.2'!$J$112:$J$120)+SUMIF('CF.2'!$K$112:$K$120,'CF.1'!E92,'CF.2'!$M$112:$M$120)</f>
        <v>0</v>
      </c>
      <c r="V92" s="510">
        <f t="shared" si="14"/>
        <v>0</v>
      </c>
      <c r="X92" s="512">
        <f t="shared" si="16"/>
        <v>0</v>
      </c>
    </row>
    <row r="93" spans="4:24" ht="18" customHeight="1">
      <c r="D93" s="506" t="s">
        <v>846</v>
      </c>
      <c r="E93" s="507" t="s">
        <v>846</v>
      </c>
      <c r="F93" s="508"/>
      <c r="G93" s="507" t="s">
        <v>847</v>
      </c>
      <c r="H93" s="509">
        <v>0</v>
      </c>
      <c r="I93" s="509">
        <v>0</v>
      </c>
      <c r="J93" s="509">
        <v>0</v>
      </c>
      <c r="K93" s="509">
        <v>0</v>
      </c>
      <c r="L93" s="509">
        <v>0</v>
      </c>
      <c r="M93" s="509"/>
      <c r="N93" s="509">
        <v>0</v>
      </c>
      <c r="O93" s="510">
        <f t="shared" si="15"/>
        <v>0</v>
      </c>
      <c r="Q93" s="511">
        <f>SUMIF('CF.2'!$H$5:$H$24,'CF.1'!E93,'CF.2'!$J$5:$J$24)-SUMIF('CF.2'!$K$5:$K$24,'CF.1'!E93,'CF.2'!$M$5:$M$24)</f>
        <v>0</v>
      </c>
      <c r="R93" s="509">
        <f>SUMIF('CF.2'!$H$30:$H$59,'CF.1'!E93,'CF.2'!$J$30:$J$59)+SUMIF('CF.2'!$K$30:$K$59,'CF.1'!E93,'CF.2'!$M$30:$M$59)</f>
        <v>0</v>
      </c>
      <c r="S93" s="509">
        <f>SUMIF('CF.2'!$H$64:$H$97,'CF.1'!E93,'CF.2'!$J$64:$J$97)+SUMIF('CF.2'!$K$64:$K$97,'CF.1'!E93,'CF.2'!$M$64:$M$97)</f>
        <v>0</v>
      </c>
      <c r="T93" s="509">
        <f>SUMIF('CF.2'!$H$101:$H$107,'CF.1'!E93,'CF.2'!$J$101:$J$107)+SUMIF('CF.2'!$K$101:$K$107,'CF.1'!E93,'CF.2'!$M$101:$M$107)</f>
        <v>0</v>
      </c>
      <c r="U93" s="509">
        <f>SUMIF('CF.2'!$H$112:$H$120,'CF.1'!E93,'CF.2'!$J$112:$J$120)+SUMIF('CF.2'!$K$112:$K$120,'CF.1'!E93,'CF.2'!$M$112:$M$120)</f>
        <v>0</v>
      </c>
      <c r="V93" s="510">
        <f t="shared" si="14"/>
        <v>0</v>
      </c>
      <c r="X93" s="512">
        <f t="shared" si="16"/>
        <v>0</v>
      </c>
    </row>
    <row r="94" spans="4:24" ht="18" customHeight="1">
      <c r="D94" s="506" t="s">
        <v>848</v>
      </c>
      <c r="E94" s="507" t="s">
        <v>848</v>
      </c>
      <c r="F94" s="508"/>
      <c r="G94" s="507" t="s">
        <v>849</v>
      </c>
      <c r="H94" s="509">
        <v>0</v>
      </c>
      <c r="I94" s="509">
        <v>0</v>
      </c>
      <c r="J94" s="509">
        <v>0</v>
      </c>
      <c r="K94" s="509">
        <v>0</v>
      </c>
      <c r="L94" s="509">
        <v>0</v>
      </c>
      <c r="M94" s="509"/>
      <c r="N94" s="509">
        <v>0</v>
      </c>
      <c r="O94" s="510">
        <f t="shared" si="15"/>
        <v>0</v>
      </c>
      <c r="Q94" s="511">
        <f>SUMIF('CF.2'!$H$5:$H$24,'CF.1'!E94,'CF.2'!$J$5:$J$24)-SUMIF('CF.2'!$K$5:$K$24,'CF.1'!E94,'CF.2'!$M$5:$M$24)</f>
        <v>0</v>
      </c>
      <c r="R94" s="509">
        <f>SUMIF('CF.2'!$H$30:$H$59,'CF.1'!E94,'CF.2'!$J$30:$J$59)+SUMIF('CF.2'!$K$30:$K$59,'CF.1'!E94,'CF.2'!$M$30:$M$59)</f>
        <v>0</v>
      </c>
      <c r="S94" s="509">
        <f>SUMIF('CF.2'!$H$64:$H$97,'CF.1'!E94,'CF.2'!$J$64:$J$97)+SUMIF('CF.2'!$K$64:$K$97,'CF.1'!E94,'CF.2'!$M$64:$M$97)</f>
        <v>0</v>
      </c>
      <c r="T94" s="509">
        <f>SUMIF('CF.2'!$H$101:$H$107,'CF.1'!E94,'CF.2'!$J$101:$J$107)+SUMIF('CF.2'!$K$101:$K$107,'CF.1'!E94,'CF.2'!$M$101:$M$107)</f>
        <v>0</v>
      </c>
      <c r="U94" s="509">
        <f>SUMIF('CF.2'!$H$112:$H$120,'CF.1'!E94,'CF.2'!$J$112:$J$120)+SUMIF('CF.2'!$K$112:$K$120,'CF.1'!E94,'CF.2'!$M$112:$M$120)</f>
        <v>0</v>
      </c>
      <c r="V94" s="510">
        <f t="shared" si="14"/>
        <v>0</v>
      </c>
      <c r="X94" s="512">
        <f t="shared" si="16"/>
        <v>0</v>
      </c>
    </row>
    <row r="95" spans="4:24" ht="18" customHeight="1">
      <c r="D95" s="506" t="s">
        <v>850</v>
      </c>
      <c r="E95" s="507" t="s">
        <v>850</v>
      </c>
      <c r="F95" s="508"/>
      <c r="G95" s="507" t="s">
        <v>851</v>
      </c>
      <c r="H95" s="509">
        <v>0</v>
      </c>
      <c r="I95" s="509">
        <v>0</v>
      </c>
      <c r="J95" s="509">
        <v>0</v>
      </c>
      <c r="K95" s="509">
        <v>0</v>
      </c>
      <c r="L95" s="509">
        <v>0</v>
      </c>
      <c r="M95" s="509"/>
      <c r="N95" s="509">
        <v>0</v>
      </c>
      <c r="O95" s="510">
        <f t="shared" si="15"/>
        <v>0</v>
      </c>
      <c r="Q95" s="511">
        <f>SUMIF('CF.2'!$H$5:$H$24,'CF.1'!E95,'CF.2'!$J$5:$J$24)-SUMIF('CF.2'!$K$5:$K$24,'CF.1'!E95,'CF.2'!$M$5:$M$24)</f>
        <v>0</v>
      </c>
      <c r="R95" s="509">
        <f>SUMIF('CF.2'!$H$30:$H$59,'CF.1'!E95,'CF.2'!$J$30:$J$59)+SUMIF('CF.2'!$K$30:$K$59,'CF.1'!E95,'CF.2'!$M$30:$M$59)</f>
        <v>0</v>
      </c>
      <c r="S95" s="509">
        <f>SUMIF('CF.2'!$H$64:$H$97,'CF.1'!E95,'CF.2'!$J$64:$J$97)+SUMIF('CF.2'!$K$64:$K$97,'CF.1'!E95,'CF.2'!$M$64:$M$97)</f>
        <v>0</v>
      </c>
      <c r="T95" s="509">
        <f>SUMIF('CF.2'!$H$101:$H$107,'CF.1'!E95,'CF.2'!$J$101:$J$107)+SUMIF('CF.2'!$K$101:$K$107,'CF.1'!E95,'CF.2'!$M$101:$M$107)</f>
        <v>0</v>
      </c>
      <c r="U95" s="509">
        <f>SUMIF('CF.2'!$H$112:$H$120,'CF.1'!E95,'CF.2'!$J$112:$J$120)+SUMIF('CF.2'!$K$112:$K$120,'CF.1'!E95,'CF.2'!$M$112:$M$120)</f>
        <v>0</v>
      </c>
      <c r="V95" s="510">
        <f t="shared" si="14"/>
        <v>0</v>
      </c>
      <c r="X95" s="512">
        <f t="shared" si="16"/>
        <v>0</v>
      </c>
    </row>
    <row r="96" spans="4:24" ht="18" customHeight="1">
      <c r="D96" s="506" t="s">
        <v>852</v>
      </c>
      <c r="E96" s="507" t="s">
        <v>852</v>
      </c>
      <c r="F96" s="508"/>
      <c r="G96" s="507" t="s">
        <v>853</v>
      </c>
      <c r="H96" s="509">
        <v>0</v>
      </c>
      <c r="I96" s="509">
        <v>0</v>
      </c>
      <c r="J96" s="509">
        <v>0</v>
      </c>
      <c r="K96" s="509">
        <v>0</v>
      </c>
      <c r="L96" s="509">
        <v>0</v>
      </c>
      <c r="M96" s="509"/>
      <c r="N96" s="509">
        <v>0</v>
      </c>
      <c r="O96" s="510">
        <f t="shared" si="15"/>
        <v>0</v>
      </c>
      <c r="Q96" s="511">
        <f>SUMIF('CF.2'!$H$5:$H$24,'CF.1'!E96,'CF.2'!$J$5:$J$24)-SUMIF('CF.2'!$K$5:$K$24,'CF.1'!E96,'CF.2'!$M$5:$M$24)</f>
        <v>0</v>
      </c>
      <c r="R96" s="509">
        <f>SUMIF('CF.2'!$H$30:$H$59,'CF.1'!E96,'CF.2'!$J$30:$J$59)+SUMIF('CF.2'!$K$30:$K$59,'CF.1'!E96,'CF.2'!$M$30:$M$59)</f>
        <v>0</v>
      </c>
      <c r="S96" s="509">
        <f>SUMIF('CF.2'!$H$64:$H$97,'CF.1'!E96,'CF.2'!$J$64:$J$97)+SUMIF('CF.2'!$K$64:$K$97,'CF.1'!E96,'CF.2'!$M$64:$M$97)</f>
        <v>0</v>
      </c>
      <c r="T96" s="509">
        <f>SUMIF('CF.2'!$H$101:$H$107,'CF.1'!E96,'CF.2'!$J$101:$J$107)+SUMIF('CF.2'!$K$101:$K$107,'CF.1'!E96,'CF.2'!$M$101:$M$107)</f>
        <v>0</v>
      </c>
      <c r="U96" s="509">
        <f>SUMIF('CF.2'!$H$112:$H$120,'CF.1'!E96,'CF.2'!$J$112:$J$120)+SUMIF('CF.2'!$K$112:$K$120,'CF.1'!E96,'CF.2'!$M$112:$M$120)</f>
        <v>0</v>
      </c>
      <c r="V96" s="510">
        <f t="shared" si="14"/>
        <v>0</v>
      </c>
      <c r="X96" s="512">
        <f t="shared" si="16"/>
        <v>0</v>
      </c>
    </row>
    <row r="97" spans="4:24" ht="18" customHeight="1">
      <c r="D97" s="506" t="s">
        <v>854</v>
      </c>
      <c r="E97" s="507" t="s">
        <v>854</v>
      </c>
      <c r="F97" s="508"/>
      <c r="G97" s="507" t="s">
        <v>855</v>
      </c>
      <c r="H97" s="509">
        <v>0</v>
      </c>
      <c r="I97" s="509">
        <v>0</v>
      </c>
      <c r="J97" s="509">
        <v>0</v>
      </c>
      <c r="K97" s="509">
        <v>0</v>
      </c>
      <c r="L97" s="509">
        <v>0</v>
      </c>
      <c r="M97" s="509"/>
      <c r="N97" s="509">
        <v>0</v>
      </c>
      <c r="O97" s="510">
        <f t="shared" si="15"/>
        <v>0</v>
      </c>
      <c r="Q97" s="511">
        <f>SUMIF('CF.2'!$H$5:$H$24,'CF.1'!E97,'CF.2'!$J$5:$J$24)-SUMIF('CF.2'!$K$5:$K$24,'CF.1'!E97,'CF.2'!$M$5:$M$24)</f>
        <v>0</v>
      </c>
      <c r="R97" s="509">
        <f>SUMIF('CF.2'!$H$30:$H$59,'CF.1'!E97,'CF.2'!$J$30:$J$59)+SUMIF('CF.2'!$K$30:$K$59,'CF.1'!E97,'CF.2'!$M$30:$M$59)</f>
        <v>0</v>
      </c>
      <c r="S97" s="509">
        <f>SUMIF('CF.2'!$H$64:$H$97,'CF.1'!E97,'CF.2'!$J$64:$J$97)+SUMIF('CF.2'!$K$64:$K$97,'CF.1'!E97,'CF.2'!$M$64:$M$97)</f>
        <v>0</v>
      </c>
      <c r="T97" s="509">
        <f>SUMIF('CF.2'!$H$101:$H$107,'CF.1'!E97,'CF.2'!$J$101:$J$107)+SUMIF('CF.2'!$K$101:$K$107,'CF.1'!E97,'CF.2'!$M$101:$M$107)</f>
        <v>0</v>
      </c>
      <c r="U97" s="509">
        <f>SUMIF('CF.2'!$H$112:$H$120,'CF.1'!E97,'CF.2'!$J$112:$J$120)+SUMIF('CF.2'!$K$112:$K$120,'CF.1'!E97,'CF.2'!$M$112:$M$120)</f>
        <v>0</v>
      </c>
      <c r="V97" s="510">
        <f t="shared" si="14"/>
        <v>0</v>
      </c>
      <c r="X97" s="512">
        <f t="shared" si="16"/>
        <v>0</v>
      </c>
    </row>
    <row r="98" spans="4:24" ht="18" customHeight="1">
      <c r="D98" s="506" t="s">
        <v>856</v>
      </c>
      <c r="E98" s="507" t="s">
        <v>856</v>
      </c>
      <c r="F98" s="508"/>
      <c r="G98" s="507" t="s">
        <v>857</v>
      </c>
      <c r="H98" s="509">
        <v>0</v>
      </c>
      <c r="I98" s="509">
        <v>0</v>
      </c>
      <c r="J98" s="509">
        <v>0</v>
      </c>
      <c r="K98" s="509">
        <v>0</v>
      </c>
      <c r="L98" s="509">
        <v>0</v>
      </c>
      <c r="M98" s="509"/>
      <c r="N98" s="509">
        <v>0</v>
      </c>
      <c r="O98" s="510">
        <f t="shared" si="15"/>
        <v>0</v>
      </c>
      <c r="Q98" s="511">
        <f>SUMIF('CF.2'!$H$5:$H$24,'CF.1'!E98,'CF.2'!$J$5:$J$24)-SUMIF('CF.2'!$K$5:$K$24,'CF.1'!E98,'CF.2'!$M$5:$M$24)</f>
        <v>0</v>
      </c>
      <c r="R98" s="509">
        <f>SUMIF('CF.2'!$H$30:$H$59,'CF.1'!E98,'CF.2'!$J$30:$J$59)+SUMIF('CF.2'!$K$30:$K$59,'CF.1'!E98,'CF.2'!$M$30:$M$59)</f>
        <v>0</v>
      </c>
      <c r="S98" s="509">
        <f>SUMIF('CF.2'!$H$64:$H$97,'CF.1'!E98,'CF.2'!$J$64:$J$97)+SUMIF('CF.2'!$K$64:$K$97,'CF.1'!E98,'CF.2'!$M$64:$M$97)</f>
        <v>0</v>
      </c>
      <c r="T98" s="509">
        <f>SUMIF('CF.2'!$H$101:$H$107,'CF.1'!E98,'CF.2'!$J$101:$J$107)+SUMIF('CF.2'!$K$101:$K$107,'CF.1'!E98,'CF.2'!$M$101:$M$107)</f>
        <v>0</v>
      </c>
      <c r="U98" s="509">
        <f>SUMIF('CF.2'!$H$112:$H$120,'CF.1'!E98,'CF.2'!$J$112:$J$120)+SUMIF('CF.2'!$K$112:$K$120,'CF.1'!E98,'CF.2'!$M$112:$M$120)</f>
        <v>0</v>
      </c>
      <c r="V98" s="510">
        <f t="shared" si="14"/>
        <v>0</v>
      </c>
      <c r="X98" s="512">
        <f t="shared" si="16"/>
        <v>0</v>
      </c>
    </row>
    <row r="99" spans="4:24" ht="18" customHeight="1">
      <c r="D99" s="506" t="s">
        <v>858</v>
      </c>
      <c r="E99" s="507" t="s">
        <v>858</v>
      </c>
      <c r="F99" s="508"/>
      <c r="G99" s="507" t="s">
        <v>859</v>
      </c>
      <c r="H99" s="509">
        <v>0</v>
      </c>
      <c r="I99" s="509">
        <v>0</v>
      </c>
      <c r="J99" s="509">
        <v>0</v>
      </c>
      <c r="K99" s="509">
        <v>0</v>
      </c>
      <c r="L99" s="509">
        <v>0</v>
      </c>
      <c r="M99" s="509"/>
      <c r="N99" s="509">
        <v>0</v>
      </c>
      <c r="O99" s="510">
        <f t="shared" si="15"/>
        <v>0</v>
      </c>
      <c r="Q99" s="511">
        <f>SUMIF('CF.2'!$H$5:$H$24,'CF.1'!E99,'CF.2'!$J$5:$J$24)-SUMIF('CF.2'!$K$5:$K$24,'CF.1'!E99,'CF.2'!$M$5:$M$24)</f>
        <v>0</v>
      </c>
      <c r="R99" s="509">
        <f>SUMIF('CF.2'!$H$30:$H$59,'CF.1'!E99,'CF.2'!$J$30:$J$59)+SUMIF('CF.2'!$K$30:$K$59,'CF.1'!E99,'CF.2'!$M$30:$M$59)</f>
        <v>0</v>
      </c>
      <c r="S99" s="509">
        <f>SUMIF('CF.2'!$H$64:$H$97,'CF.1'!E99,'CF.2'!$J$64:$J$97)+SUMIF('CF.2'!$K$64:$K$97,'CF.1'!E99,'CF.2'!$M$64:$M$97)</f>
        <v>0</v>
      </c>
      <c r="T99" s="509">
        <f>SUMIF('CF.2'!$H$101:$H$107,'CF.1'!E99,'CF.2'!$J$101:$J$107)+SUMIF('CF.2'!$K$101:$K$107,'CF.1'!E99,'CF.2'!$M$101:$M$107)</f>
        <v>0</v>
      </c>
      <c r="U99" s="509">
        <f>SUMIF('CF.2'!$H$112:$H$120,'CF.1'!E99,'CF.2'!$J$112:$J$120)+SUMIF('CF.2'!$K$112:$K$120,'CF.1'!E99,'CF.2'!$M$112:$M$120)</f>
        <v>0</v>
      </c>
      <c r="V99" s="510">
        <f t="shared" si="14"/>
        <v>0</v>
      </c>
      <c r="X99" s="512">
        <f t="shared" si="16"/>
        <v>0</v>
      </c>
    </row>
    <row r="100" spans="4:24" ht="18" customHeight="1">
      <c r="D100" s="506" t="s">
        <v>860</v>
      </c>
      <c r="E100" s="507" t="s">
        <v>860</v>
      </c>
      <c r="F100" s="508"/>
      <c r="G100" s="507" t="s">
        <v>861</v>
      </c>
      <c r="H100" s="509">
        <v>0</v>
      </c>
      <c r="I100" s="509">
        <v>0</v>
      </c>
      <c r="J100" s="509">
        <f>-T_IS!J97</f>
        <v>-3510577560</v>
      </c>
      <c r="K100" s="509">
        <v>0</v>
      </c>
      <c r="L100" s="509">
        <v>0</v>
      </c>
      <c r="M100" s="509"/>
      <c r="N100" s="509">
        <v>0</v>
      </c>
      <c r="O100" s="510">
        <f t="shared" si="15"/>
        <v>-3510577560</v>
      </c>
      <c r="Q100" s="511">
        <f>SUMIF('CF.2'!$H$5:$H$24,'CF.1'!E100,'CF.2'!$J$5:$J$24)-SUMIF('CF.2'!$K$5:$K$24,'CF.1'!E100,'CF.2'!$M$5:$M$24)</f>
        <v>0</v>
      </c>
      <c r="R100" s="509">
        <f>SUMIF('CF.2'!$H$30:$H$59,'CF.1'!E100,'CF.2'!$J$30:$J$59)+SUMIF('CF.2'!$K$30:$K$59,'CF.1'!E100,'CF.2'!$M$30:$M$59)</f>
        <v>0</v>
      </c>
      <c r="S100" s="509">
        <f>SUMIF('CF.2'!$H$64:$H$97,'CF.1'!E100,'CF.2'!$J$64:$J$97)+SUMIF('CF.2'!$K$64:$K$97,'CF.1'!E100,'CF.2'!$M$64:$M$97)</f>
        <v>0</v>
      </c>
      <c r="T100" s="509">
        <f>SUMIF('CF.2'!$H$101:$H$107,'CF.1'!E100,'CF.2'!$J$101:$J$107)+SUMIF('CF.2'!$K$101:$K$107,'CF.1'!E100,'CF.2'!$M$101:$M$107)</f>
        <v>3510577560</v>
      </c>
      <c r="U100" s="509">
        <f>SUMIF('CF.2'!$H$112:$H$120,'CF.1'!E100,'CF.2'!$J$112:$J$120)+SUMIF('CF.2'!$K$112:$K$120,'CF.1'!E100,'CF.2'!$M$112:$M$120)</f>
        <v>0</v>
      </c>
      <c r="V100" s="510">
        <f t="shared" si="14"/>
        <v>3510577560</v>
      </c>
      <c r="X100" s="512">
        <f t="shared" si="16"/>
        <v>0</v>
      </c>
    </row>
    <row r="101" spans="4:24" ht="18" customHeight="1">
      <c r="D101" s="506" t="s">
        <v>862</v>
      </c>
      <c r="E101" s="507" t="s">
        <v>862</v>
      </c>
      <c r="F101" s="508"/>
      <c r="G101" s="507" t="s">
        <v>863</v>
      </c>
      <c r="H101" s="509">
        <v>0</v>
      </c>
      <c r="I101" s="509">
        <v>0</v>
      </c>
      <c r="J101" s="509">
        <v>0</v>
      </c>
      <c r="K101" s="509">
        <v>0</v>
      </c>
      <c r="L101" s="509">
        <v>0</v>
      </c>
      <c r="M101" s="509"/>
      <c r="N101" s="509">
        <v>0</v>
      </c>
      <c r="O101" s="510">
        <f t="shared" si="15"/>
        <v>0</v>
      </c>
      <c r="Q101" s="511">
        <f>SUMIF('CF.2'!$H$5:$H$24,'CF.1'!E101,'CF.2'!$J$5:$J$24)-SUMIF('CF.2'!$K$5:$K$24,'CF.1'!E101,'CF.2'!$M$5:$M$24)</f>
        <v>0</v>
      </c>
      <c r="R101" s="509">
        <f>SUMIF('CF.2'!$H$30:$H$59,'CF.1'!E101,'CF.2'!$J$30:$J$59)+SUMIF('CF.2'!$K$30:$K$59,'CF.1'!E101,'CF.2'!$M$30:$M$59)</f>
        <v>0</v>
      </c>
      <c r="S101" s="509">
        <f>SUMIF('CF.2'!$H$64:$H$97,'CF.1'!E101,'CF.2'!$J$64:$J$97)+SUMIF('CF.2'!$K$64:$K$97,'CF.1'!E101,'CF.2'!$M$64:$M$97)</f>
        <v>0</v>
      </c>
      <c r="T101" s="509">
        <f>SUMIF('CF.2'!$H$101:$H$107,'CF.1'!E101,'CF.2'!$J$101:$J$107)+SUMIF('CF.2'!$K$101:$K$107,'CF.1'!E101,'CF.2'!$M$101:$M$107)</f>
        <v>0</v>
      </c>
      <c r="U101" s="509">
        <f>SUMIF('CF.2'!$H$112:$H$120,'CF.1'!E101,'CF.2'!$J$112:$J$120)+SUMIF('CF.2'!$K$112:$K$120,'CF.1'!E101,'CF.2'!$M$112:$M$120)</f>
        <v>0</v>
      </c>
      <c r="V101" s="510">
        <f t="shared" si="14"/>
        <v>0</v>
      </c>
      <c r="X101" s="512">
        <f t="shared" si="16"/>
        <v>0</v>
      </c>
    </row>
    <row r="102" spans="4:24" ht="18" customHeight="1">
      <c r="D102" s="506" t="s">
        <v>864</v>
      </c>
      <c r="E102" s="507" t="s">
        <v>864</v>
      </c>
      <c r="F102" s="508"/>
      <c r="G102" s="507" t="s">
        <v>865</v>
      </c>
      <c r="H102" s="509">
        <v>0</v>
      </c>
      <c r="I102" s="509">
        <v>0</v>
      </c>
      <c r="J102" s="509">
        <v>0</v>
      </c>
      <c r="K102" s="509">
        <v>0</v>
      </c>
      <c r="L102" s="509">
        <v>0</v>
      </c>
      <c r="M102" s="509"/>
      <c r="N102" s="509">
        <v>0</v>
      </c>
      <c r="O102" s="510">
        <f t="shared" si="15"/>
        <v>0</v>
      </c>
      <c r="Q102" s="511">
        <f>SUMIF('CF.2'!$H$5:$H$24,'CF.1'!E102,'CF.2'!$J$5:$J$24)-SUMIF('CF.2'!$K$5:$K$24,'CF.1'!E102,'CF.2'!$M$5:$M$24)</f>
        <v>0</v>
      </c>
      <c r="R102" s="509">
        <f>SUMIF('CF.2'!$H$30:$H$59,'CF.1'!E102,'CF.2'!$J$30:$J$59)+SUMIF('CF.2'!$K$30:$K$59,'CF.1'!E102,'CF.2'!$M$30:$M$59)</f>
        <v>0</v>
      </c>
      <c r="S102" s="509">
        <f>SUMIF('CF.2'!$H$64:$H$97,'CF.1'!E102,'CF.2'!$J$64:$J$97)+SUMIF('CF.2'!$K$64:$K$97,'CF.1'!E102,'CF.2'!$M$64:$M$97)</f>
        <v>0</v>
      </c>
      <c r="T102" s="509">
        <f>SUMIF('CF.2'!$H$101:$H$107,'CF.1'!E102,'CF.2'!$J$101:$J$107)+SUMIF('CF.2'!$K$101:$K$107,'CF.1'!E102,'CF.2'!$M$101:$M$107)</f>
        <v>0</v>
      </c>
      <c r="U102" s="509">
        <f>SUMIF('CF.2'!$H$112:$H$120,'CF.1'!E102,'CF.2'!$J$112:$J$120)+SUMIF('CF.2'!$K$112:$K$120,'CF.1'!E102,'CF.2'!$M$112:$M$120)</f>
        <v>0</v>
      </c>
      <c r="V102" s="510">
        <f t="shared" si="14"/>
        <v>0</v>
      </c>
      <c r="X102" s="512">
        <f t="shared" si="16"/>
        <v>0</v>
      </c>
    </row>
    <row r="103" spans="4:24" ht="18" customHeight="1">
      <c r="D103" s="506" t="s">
        <v>866</v>
      </c>
      <c r="E103" s="507" t="s">
        <v>866</v>
      </c>
      <c r="F103" s="508"/>
      <c r="G103" s="507" t="s">
        <v>867</v>
      </c>
      <c r="H103" s="509">
        <v>0</v>
      </c>
      <c r="I103" s="509">
        <v>0</v>
      </c>
      <c r="J103" s="509">
        <v>0</v>
      </c>
      <c r="K103" s="509">
        <v>0</v>
      </c>
      <c r="L103" s="509">
        <v>0</v>
      </c>
      <c r="M103" s="509"/>
      <c r="N103" s="509">
        <v>0</v>
      </c>
      <c r="O103" s="510">
        <f t="shared" si="15"/>
        <v>0</v>
      </c>
      <c r="Q103" s="511">
        <f>SUMIF('CF.2'!$H$5:$H$24,'CF.1'!E103,'CF.2'!$J$5:$J$24)-SUMIF('CF.2'!$K$5:$K$24,'CF.1'!E103,'CF.2'!$M$5:$M$24)</f>
        <v>0</v>
      </c>
      <c r="R103" s="509">
        <f>SUMIF('CF.2'!$H$30:$H$59,'CF.1'!E103,'CF.2'!$J$30:$J$59)+SUMIF('CF.2'!$K$30:$K$59,'CF.1'!E103,'CF.2'!$M$30:$M$59)</f>
        <v>0</v>
      </c>
      <c r="S103" s="509">
        <f>SUMIF('CF.2'!$H$64:$H$97,'CF.1'!E103,'CF.2'!$J$64:$J$97)+SUMIF('CF.2'!$K$64:$K$97,'CF.1'!E103,'CF.2'!$M$64:$M$97)</f>
        <v>0</v>
      </c>
      <c r="T103" s="509">
        <f>SUMIF('CF.2'!$H$101:$H$107,'CF.1'!E103,'CF.2'!$J$101:$J$107)+SUMIF('CF.2'!$K$101:$K$107,'CF.1'!E103,'CF.2'!$M$101:$M$107)</f>
        <v>0</v>
      </c>
      <c r="U103" s="509">
        <f>SUMIF('CF.2'!$H$112:$H$120,'CF.1'!E103,'CF.2'!$J$112:$J$120)+SUMIF('CF.2'!$K$112:$K$120,'CF.1'!E103,'CF.2'!$M$112:$M$120)</f>
        <v>0</v>
      </c>
      <c r="V103" s="510">
        <f t="shared" si="14"/>
        <v>0</v>
      </c>
      <c r="X103" s="512">
        <f t="shared" si="16"/>
        <v>0</v>
      </c>
    </row>
    <row r="104" spans="4:24" ht="18" customHeight="1">
      <c r="D104" s="506" t="s">
        <v>868</v>
      </c>
      <c r="E104" s="507" t="s">
        <v>868</v>
      </c>
      <c r="F104" s="508"/>
      <c r="G104" s="507" t="s">
        <v>869</v>
      </c>
      <c r="H104" s="509">
        <v>0</v>
      </c>
      <c r="I104" s="509">
        <v>0</v>
      </c>
      <c r="J104" s="509">
        <v>0</v>
      </c>
      <c r="K104" s="509">
        <v>0</v>
      </c>
      <c r="L104" s="509">
        <v>0</v>
      </c>
      <c r="M104" s="509"/>
      <c r="N104" s="509">
        <v>0</v>
      </c>
      <c r="O104" s="510">
        <f t="shared" si="15"/>
        <v>0</v>
      </c>
      <c r="Q104" s="511">
        <f>SUMIF('CF.2'!$H$5:$H$24,'CF.1'!E104,'CF.2'!$J$5:$J$24)-SUMIF('CF.2'!$K$5:$K$24,'CF.1'!E104,'CF.2'!$M$5:$M$24)</f>
        <v>0</v>
      </c>
      <c r="R104" s="509">
        <f>SUMIF('CF.2'!$H$30:$H$59,'CF.1'!E104,'CF.2'!$J$30:$J$59)+SUMIF('CF.2'!$K$30:$K$59,'CF.1'!E104,'CF.2'!$M$30:$M$59)</f>
        <v>0</v>
      </c>
      <c r="S104" s="509">
        <f>SUMIF('CF.2'!$H$64:$H$97,'CF.1'!E104,'CF.2'!$J$64:$J$97)+SUMIF('CF.2'!$K$64:$K$97,'CF.1'!E104,'CF.2'!$M$64:$M$97)</f>
        <v>0</v>
      </c>
      <c r="T104" s="509">
        <f>SUMIF('CF.2'!$H$101:$H$107,'CF.1'!E104,'CF.2'!$J$101:$J$107)+SUMIF('CF.2'!$K$101:$K$107,'CF.1'!E104,'CF.2'!$M$101:$M$107)</f>
        <v>0</v>
      </c>
      <c r="U104" s="509">
        <f>SUMIF('CF.2'!$H$112:$H$120,'CF.1'!E104,'CF.2'!$J$112:$J$120)+SUMIF('CF.2'!$K$112:$K$120,'CF.1'!E104,'CF.2'!$M$112:$M$120)</f>
        <v>0</v>
      </c>
      <c r="V104" s="510">
        <f t="shared" si="14"/>
        <v>0</v>
      </c>
      <c r="X104" s="512">
        <f t="shared" si="16"/>
        <v>0</v>
      </c>
    </row>
    <row r="105" spans="4:24" ht="18" customHeight="1">
      <c r="D105" s="506" t="s">
        <v>870</v>
      </c>
      <c r="E105" s="507" t="s">
        <v>870</v>
      </c>
      <c r="F105" s="508"/>
      <c r="G105" s="507" t="s">
        <v>871</v>
      </c>
      <c r="H105" s="509">
        <v>0</v>
      </c>
      <c r="I105" s="509">
        <v>0</v>
      </c>
      <c r="J105" s="509">
        <v>0</v>
      </c>
      <c r="K105" s="509">
        <v>0</v>
      </c>
      <c r="L105" s="509">
        <v>0</v>
      </c>
      <c r="M105" s="509"/>
      <c r="N105" s="509">
        <v>0</v>
      </c>
      <c r="O105" s="510">
        <f t="shared" si="15"/>
        <v>0</v>
      </c>
      <c r="Q105" s="511">
        <f>SUMIF('CF.2'!$H$5:$H$24,'CF.1'!E105,'CF.2'!$J$5:$J$24)-SUMIF('CF.2'!$K$5:$K$24,'CF.1'!E105,'CF.2'!$M$5:$M$24)</f>
        <v>0</v>
      </c>
      <c r="R105" s="509">
        <f>SUMIF('CF.2'!$H$30:$H$59,'CF.1'!E105,'CF.2'!$J$30:$J$59)+SUMIF('CF.2'!$K$30:$K$59,'CF.1'!E105,'CF.2'!$M$30:$M$59)</f>
        <v>0</v>
      </c>
      <c r="S105" s="509">
        <f>SUMIF('CF.2'!$H$64:$H$97,'CF.1'!E105,'CF.2'!$J$64:$J$97)+SUMIF('CF.2'!$K$64:$K$97,'CF.1'!E105,'CF.2'!$M$64:$M$97)</f>
        <v>0</v>
      </c>
      <c r="T105" s="509">
        <f>SUMIF('CF.2'!$H$101:$H$107,'CF.1'!E105,'CF.2'!$J$101:$J$107)+SUMIF('CF.2'!$K$101:$K$107,'CF.1'!E105,'CF.2'!$M$101:$M$107)</f>
        <v>0</v>
      </c>
      <c r="U105" s="509">
        <f>SUMIF('CF.2'!$H$112:$H$120,'CF.1'!E105,'CF.2'!$J$112:$J$120)+SUMIF('CF.2'!$K$112:$K$120,'CF.1'!E105,'CF.2'!$M$112:$M$120)</f>
        <v>0</v>
      </c>
      <c r="V105" s="510">
        <f t="shared" si="14"/>
        <v>0</v>
      </c>
      <c r="X105" s="512">
        <f t="shared" si="16"/>
        <v>0</v>
      </c>
    </row>
    <row r="106" spans="4:24" ht="18" customHeight="1">
      <c r="D106" s="506" t="s">
        <v>872</v>
      </c>
      <c r="E106" s="507" t="s">
        <v>872</v>
      </c>
      <c r="F106" s="508"/>
      <c r="G106" s="507" t="s">
        <v>873</v>
      </c>
      <c r="H106" s="509">
        <v>0</v>
      </c>
      <c r="I106" s="509">
        <v>0</v>
      </c>
      <c r="J106" s="509">
        <v>0</v>
      </c>
      <c r="K106" s="509">
        <v>0</v>
      </c>
      <c r="L106" s="509">
        <v>0</v>
      </c>
      <c r="M106" s="509"/>
      <c r="N106" s="509">
        <v>0</v>
      </c>
      <c r="O106" s="510">
        <f t="shared" si="15"/>
        <v>0</v>
      </c>
      <c r="Q106" s="511">
        <f>SUMIF('CF.2'!$H$5:$H$24,'CF.1'!E106,'CF.2'!$J$5:$J$24)-SUMIF('CF.2'!$K$5:$K$24,'CF.1'!E106,'CF.2'!$M$5:$M$24)</f>
        <v>0</v>
      </c>
      <c r="R106" s="509">
        <f>SUMIF('CF.2'!$H$30:$H$59,'CF.1'!E106,'CF.2'!$J$30:$J$59)+SUMIF('CF.2'!$K$30:$K$59,'CF.1'!E106,'CF.2'!$M$30:$M$59)</f>
        <v>0</v>
      </c>
      <c r="S106" s="509">
        <f>SUMIF('CF.2'!$H$64:$H$97,'CF.1'!E106,'CF.2'!$J$64:$J$97)+SUMIF('CF.2'!$K$64:$K$97,'CF.1'!E106,'CF.2'!$M$64:$M$97)</f>
        <v>0</v>
      </c>
      <c r="T106" s="509">
        <f>SUMIF('CF.2'!$H$101:$H$107,'CF.1'!E106,'CF.2'!$J$101:$J$107)+SUMIF('CF.2'!$K$101:$K$107,'CF.1'!E106,'CF.2'!$M$101:$M$107)</f>
        <v>0</v>
      </c>
      <c r="U106" s="509">
        <f>SUMIF('CF.2'!$H$112:$H$120,'CF.1'!E106,'CF.2'!$J$112:$J$120)+SUMIF('CF.2'!$K$112:$K$120,'CF.1'!E106,'CF.2'!$M$112:$M$120)</f>
        <v>0</v>
      </c>
      <c r="V106" s="510">
        <f t="shared" si="14"/>
        <v>0</v>
      </c>
      <c r="X106" s="512">
        <f t="shared" si="16"/>
        <v>0</v>
      </c>
    </row>
    <row r="107" spans="4:24" ht="18" customHeight="1">
      <c r="D107" s="506" t="s">
        <v>874</v>
      </c>
      <c r="E107" s="507" t="s">
        <v>874</v>
      </c>
      <c r="F107" s="508"/>
      <c r="G107" s="507" t="s">
        <v>875</v>
      </c>
      <c r="H107" s="509">
        <v>0</v>
      </c>
      <c r="I107" s="509">
        <v>0</v>
      </c>
      <c r="J107" s="509">
        <v>0</v>
      </c>
      <c r="K107" s="509">
        <v>0</v>
      </c>
      <c r="L107" s="509">
        <v>0</v>
      </c>
      <c r="M107" s="509"/>
      <c r="N107" s="509">
        <v>0</v>
      </c>
      <c r="O107" s="510">
        <f t="shared" si="15"/>
        <v>0</v>
      </c>
      <c r="Q107" s="511">
        <f>SUMIF('CF.2'!$H$5:$H$24,'CF.1'!E107,'CF.2'!$J$5:$J$24)-SUMIF('CF.2'!$K$5:$K$24,'CF.1'!E107,'CF.2'!$M$5:$M$24)</f>
        <v>0</v>
      </c>
      <c r="R107" s="509">
        <f>SUMIF('CF.2'!$H$30:$H$59,'CF.1'!E107,'CF.2'!$J$30:$J$59)+SUMIF('CF.2'!$K$30:$K$59,'CF.1'!E107,'CF.2'!$M$30:$M$59)</f>
        <v>0</v>
      </c>
      <c r="S107" s="509">
        <f>SUMIF('CF.2'!$H$64:$H$97,'CF.1'!E107,'CF.2'!$J$64:$J$97)+SUMIF('CF.2'!$K$64:$K$97,'CF.1'!E107,'CF.2'!$M$64:$M$97)</f>
        <v>0</v>
      </c>
      <c r="T107" s="509">
        <f>SUMIF('CF.2'!$H$101:$H$107,'CF.1'!E107,'CF.2'!$J$101:$J$107)+SUMIF('CF.2'!$K$101:$K$107,'CF.1'!E107,'CF.2'!$M$101:$M$107)</f>
        <v>0</v>
      </c>
      <c r="U107" s="509">
        <f>SUMIF('CF.2'!$H$112:$H$120,'CF.1'!E107,'CF.2'!$J$112:$J$120)+SUMIF('CF.2'!$K$112:$K$120,'CF.1'!E107,'CF.2'!$M$112:$M$120)</f>
        <v>0</v>
      </c>
      <c r="V107" s="510">
        <f t="shared" si="14"/>
        <v>0</v>
      </c>
      <c r="X107" s="512">
        <f t="shared" si="16"/>
        <v>0</v>
      </c>
    </row>
    <row r="108" spans="4:24" ht="18" customHeight="1">
      <c r="D108" s="506" t="s">
        <v>876</v>
      </c>
      <c r="E108" s="507" t="s">
        <v>876</v>
      </c>
      <c r="F108" s="508"/>
      <c r="G108" s="507" t="s">
        <v>877</v>
      </c>
      <c r="H108" s="509">
        <v>0</v>
      </c>
      <c r="I108" s="509">
        <v>0</v>
      </c>
      <c r="J108" s="509">
        <v>0</v>
      </c>
      <c r="K108" s="509">
        <v>0</v>
      </c>
      <c r="L108" s="509">
        <v>0</v>
      </c>
      <c r="M108" s="509"/>
      <c r="N108" s="509">
        <v>0</v>
      </c>
      <c r="O108" s="510">
        <f t="shared" si="15"/>
        <v>0</v>
      </c>
      <c r="Q108" s="511">
        <f>SUMIF('CF.2'!$H$5:$H$24,'CF.1'!E108,'CF.2'!$J$5:$J$24)-SUMIF('CF.2'!$K$5:$K$24,'CF.1'!E108,'CF.2'!$M$5:$M$24)</f>
        <v>0</v>
      </c>
      <c r="R108" s="509">
        <f>SUMIF('CF.2'!$H$30:$H$59,'CF.1'!E108,'CF.2'!$J$30:$J$59)+SUMIF('CF.2'!$K$30:$K$59,'CF.1'!E108,'CF.2'!$M$30:$M$59)</f>
        <v>0</v>
      </c>
      <c r="S108" s="509">
        <f>SUMIF('CF.2'!$H$64:$H$97,'CF.1'!E108,'CF.2'!$J$64:$J$97)+SUMIF('CF.2'!$K$64:$K$97,'CF.1'!E108,'CF.2'!$M$64:$M$97)</f>
        <v>0</v>
      </c>
      <c r="T108" s="509">
        <f>SUMIF('CF.2'!$H$101:$H$107,'CF.1'!E108,'CF.2'!$J$101:$J$107)+SUMIF('CF.2'!$K$101:$K$107,'CF.1'!E108,'CF.2'!$M$101:$M$107)</f>
        <v>0</v>
      </c>
      <c r="U108" s="509">
        <f>SUMIF('CF.2'!$H$112:$H$120,'CF.1'!E108,'CF.2'!$J$112:$J$120)+SUMIF('CF.2'!$K$112:$K$120,'CF.1'!E108,'CF.2'!$M$112:$M$120)</f>
        <v>0</v>
      </c>
      <c r="V108" s="510">
        <f t="shared" si="14"/>
        <v>0</v>
      </c>
      <c r="X108" s="512">
        <f t="shared" si="16"/>
        <v>0</v>
      </c>
    </row>
    <row r="109" spans="4:24" ht="18" customHeight="1">
      <c r="D109" s="506" t="s">
        <v>878</v>
      </c>
      <c r="E109" s="507" t="s">
        <v>878</v>
      </c>
      <c r="F109" s="508"/>
      <c r="G109" s="507" t="s">
        <v>879</v>
      </c>
      <c r="H109" s="509">
        <v>0</v>
      </c>
      <c r="I109" s="509">
        <v>0</v>
      </c>
      <c r="J109" s="509">
        <v>0</v>
      </c>
      <c r="K109" s="509">
        <v>0</v>
      </c>
      <c r="L109" s="509">
        <v>0</v>
      </c>
      <c r="M109" s="509"/>
      <c r="N109" s="509">
        <v>0</v>
      </c>
      <c r="O109" s="510">
        <f t="shared" si="15"/>
        <v>0</v>
      </c>
      <c r="Q109" s="511">
        <f>SUMIF('CF.2'!$H$5:$H$24,'CF.1'!E109,'CF.2'!$J$5:$J$24)-SUMIF('CF.2'!$K$5:$K$24,'CF.1'!E109,'CF.2'!$M$5:$M$24)</f>
        <v>0</v>
      </c>
      <c r="R109" s="509">
        <f>SUMIF('CF.2'!$H$30:$H$59,'CF.1'!E109,'CF.2'!$J$30:$J$59)+SUMIF('CF.2'!$K$30:$K$59,'CF.1'!E109,'CF.2'!$M$30:$M$59)</f>
        <v>0</v>
      </c>
      <c r="S109" s="509">
        <f>SUMIF('CF.2'!$H$64:$H$97,'CF.1'!E109,'CF.2'!$J$64:$J$97)+SUMIF('CF.2'!$K$64:$K$97,'CF.1'!E109,'CF.2'!$M$64:$M$97)</f>
        <v>0</v>
      </c>
      <c r="T109" s="509">
        <f>SUMIF('CF.2'!$H$101:$H$107,'CF.1'!E109,'CF.2'!$J$101:$J$107)+SUMIF('CF.2'!$K$101:$K$107,'CF.1'!E109,'CF.2'!$M$101:$M$107)</f>
        <v>0</v>
      </c>
      <c r="U109" s="509">
        <f>SUMIF('CF.2'!$H$112:$H$120,'CF.1'!E109,'CF.2'!$J$112:$J$120)+SUMIF('CF.2'!$K$112:$K$120,'CF.1'!E109,'CF.2'!$M$112:$M$120)</f>
        <v>0</v>
      </c>
      <c r="V109" s="510">
        <f t="shared" si="14"/>
        <v>0</v>
      </c>
      <c r="X109" s="512">
        <f t="shared" si="16"/>
        <v>0</v>
      </c>
    </row>
    <row r="110" spans="4:24" ht="18" customHeight="1">
      <c r="D110" s="506" t="s">
        <v>880</v>
      </c>
      <c r="E110" s="507" t="s">
        <v>880</v>
      </c>
      <c r="F110" s="508" t="s">
        <v>678</v>
      </c>
      <c r="G110" s="507" t="s">
        <v>678</v>
      </c>
      <c r="H110" s="509">
        <v>-1371097985</v>
      </c>
      <c r="I110" s="509">
        <v>-722167</v>
      </c>
      <c r="J110" s="509">
        <v>-562837</v>
      </c>
      <c r="K110" s="509">
        <v>-44609</v>
      </c>
      <c r="L110" s="509">
        <v>-1382579</v>
      </c>
      <c r="M110" s="509"/>
      <c r="N110" s="509">
        <v>-17733235</v>
      </c>
      <c r="O110" s="510">
        <f t="shared" si="15"/>
        <v>-1391543412</v>
      </c>
      <c r="Q110" s="511">
        <f>SUMIF('CF.2'!$H$5:$H$24,'CF.1'!E110,'CF.2'!$J$5:$J$24)-SUMIF('CF.2'!$K$5:$K$24,'CF.1'!E110,'CF.2'!$M$5:$M$24)</f>
        <v>0</v>
      </c>
      <c r="R110" s="509">
        <f>SUMIF('CF.2'!$H$30:$H$59,'CF.1'!E110,'CF.2'!$J$30:$J$59)+SUMIF('CF.2'!$K$30:$K$59,'CF.1'!E110,'CF.2'!$M$30:$M$59)</f>
        <v>0</v>
      </c>
      <c r="S110" s="509">
        <f>SUMIF('CF.2'!$H$64:$H$97,'CF.1'!E110,'CF.2'!$J$64:$J$97)+SUMIF('CF.2'!$K$64:$K$97,'CF.1'!E110,'CF.2'!$M$64:$M$97)</f>
        <v>18156386</v>
      </c>
      <c r="T110" s="509">
        <f>SUMIF('CF.2'!$H$101:$H$107,'CF.1'!E110,'CF.2'!$J$101:$J$107)+SUMIF('CF.2'!$K$101:$K$107,'CF.1'!E110,'CF.2'!$M$101:$M$107)</f>
        <v>0</v>
      </c>
      <c r="U110" s="509">
        <f>SUMIF('CF.2'!$H$112:$H$120,'CF.1'!E110,'CF.2'!$J$112:$J$120)+SUMIF('CF.2'!$K$112:$K$120,'CF.1'!E110,'CF.2'!$M$112:$M$120)</f>
        <v>0</v>
      </c>
      <c r="V110" s="510">
        <f t="shared" si="14"/>
        <v>18156386</v>
      </c>
      <c r="X110" s="512">
        <f t="shared" si="16"/>
        <v>-1373387026</v>
      </c>
    </row>
    <row r="111" spans="4:24" ht="18" customHeight="1">
      <c r="D111" s="506" t="s">
        <v>881</v>
      </c>
      <c r="E111" s="507" t="s">
        <v>881</v>
      </c>
      <c r="F111" s="508"/>
      <c r="G111" s="507" t="s">
        <v>882</v>
      </c>
      <c r="H111" s="509">
        <v>0</v>
      </c>
      <c r="I111" s="509">
        <v>0</v>
      </c>
      <c r="J111" s="509">
        <v>0</v>
      </c>
      <c r="K111" s="509">
        <v>0</v>
      </c>
      <c r="L111" s="509">
        <v>0</v>
      </c>
      <c r="M111" s="509"/>
      <c r="N111" s="509">
        <v>0</v>
      </c>
      <c r="O111" s="510">
        <f t="shared" si="15"/>
        <v>0</v>
      </c>
      <c r="Q111" s="511">
        <f>SUMIF('CF.2'!$H$5:$H$24,'CF.1'!E111,'CF.2'!$J$5:$J$24)-SUMIF('CF.2'!$K$5:$K$24,'CF.1'!E111,'CF.2'!$M$5:$M$24)</f>
        <v>0</v>
      </c>
      <c r="R111" s="509">
        <f>SUMIF('CF.2'!$H$30:$H$59,'CF.1'!E111,'CF.2'!$J$30:$J$59)+SUMIF('CF.2'!$K$30:$K$59,'CF.1'!E111,'CF.2'!$M$30:$M$59)</f>
        <v>0</v>
      </c>
      <c r="S111" s="509">
        <f>SUMIF('CF.2'!$H$64:$H$97,'CF.1'!E111,'CF.2'!$J$64:$J$97)+SUMIF('CF.2'!$K$64:$K$97,'CF.1'!E111,'CF.2'!$M$64:$M$97)</f>
        <v>0</v>
      </c>
      <c r="T111" s="509">
        <f>SUMIF('CF.2'!$H$101:$H$107,'CF.1'!E111,'CF.2'!$J$101:$J$107)+SUMIF('CF.2'!$K$101:$K$107,'CF.1'!E111,'CF.2'!$M$101:$M$107)</f>
        <v>0</v>
      </c>
      <c r="U111" s="509">
        <f>SUMIF('CF.2'!$H$112:$H$120,'CF.1'!E111,'CF.2'!$J$112:$J$120)+SUMIF('CF.2'!$K$112:$K$120,'CF.1'!E111,'CF.2'!$M$112:$M$120)</f>
        <v>0</v>
      </c>
      <c r="V111" s="510">
        <f t="shared" si="14"/>
        <v>0</v>
      </c>
      <c r="X111" s="512">
        <f t="shared" si="16"/>
        <v>0</v>
      </c>
    </row>
    <row r="112" spans="4:24" ht="18" customHeight="1">
      <c r="D112" s="506" t="s">
        <v>883</v>
      </c>
      <c r="E112" s="507" t="s">
        <v>883</v>
      </c>
      <c r="F112" s="508"/>
      <c r="G112" s="507" t="s">
        <v>884</v>
      </c>
      <c r="H112" s="509">
        <v>0</v>
      </c>
      <c r="I112" s="509">
        <v>0</v>
      </c>
      <c r="J112" s="509">
        <v>0</v>
      </c>
      <c r="K112" s="509">
        <v>0</v>
      </c>
      <c r="L112" s="509">
        <v>0</v>
      </c>
      <c r="M112" s="509"/>
      <c r="N112" s="509">
        <v>0</v>
      </c>
      <c r="O112" s="510">
        <f t="shared" si="15"/>
        <v>0</v>
      </c>
      <c r="Q112" s="511">
        <f>SUMIF('CF.2'!$H$5:$H$24,'CF.1'!E112,'CF.2'!$J$5:$J$24)-SUMIF('CF.2'!$K$5:$K$24,'CF.1'!E112,'CF.2'!$M$5:$M$24)</f>
        <v>0</v>
      </c>
      <c r="R112" s="509">
        <f>SUMIF('CF.2'!$H$30:$H$59,'CF.1'!E112,'CF.2'!$J$30:$J$59)+SUMIF('CF.2'!$K$30:$K$59,'CF.1'!E112,'CF.2'!$M$30:$M$59)</f>
        <v>0</v>
      </c>
      <c r="S112" s="509">
        <f>SUMIF('CF.2'!$H$64:$H$97,'CF.1'!E112,'CF.2'!$J$64:$J$97)+SUMIF('CF.2'!$K$64:$K$97,'CF.1'!E112,'CF.2'!$M$64:$M$97)</f>
        <v>0</v>
      </c>
      <c r="T112" s="509">
        <f>SUMIF('CF.2'!$H$101:$H$107,'CF.1'!E112,'CF.2'!$J$101:$J$107)+SUMIF('CF.2'!$K$101:$K$107,'CF.1'!E112,'CF.2'!$M$101:$M$107)</f>
        <v>0</v>
      </c>
      <c r="U112" s="509">
        <f>SUMIF('CF.2'!$H$112:$H$120,'CF.1'!E112,'CF.2'!$J$112:$J$120)+SUMIF('CF.2'!$K$112:$K$120,'CF.1'!E112,'CF.2'!$M$112:$M$120)</f>
        <v>0</v>
      </c>
      <c r="V112" s="510">
        <f t="shared" si="14"/>
        <v>0</v>
      </c>
      <c r="X112" s="512">
        <f t="shared" si="16"/>
        <v>0</v>
      </c>
    </row>
    <row r="113" spans="4:26" ht="18" customHeight="1">
      <c r="D113" s="506" t="s">
        <v>885</v>
      </c>
      <c r="E113" s="507" t="s">
        <v>885</v>
      </c>
      <c r="F113" s="508"/>
      <c r="G113" s="507" t="s">
        <v>886</v>
      </c>
      <c r="H113" s="509">
        <v>0</v>
      </c>
      <c r="I113" s="509">
        <v>0</v>
      </c>
      <c r="J113" s="509">
        <v>0</v>
      </c>
      <c r="K113" s="509">
        <v>0</v>
      </c>
      <c r="L113" s="509">
        <v>0</v>
      </c>
      <c r="M113" s="509"/>
      <c r="N113" s="509">
        <v>0</v>
      </c>
      <c r="O113" s="510">
        <f t="shared" si="15"/>
        <v>0</v>
      </c>
      <c r="Q113" s="511">
        <f>SUMIF('CF.2'!$H$5:$H$24,'CF.1'!E113,'CF.2'!$J$5:$J$24)-SUMIF('CF.2'!$K$5:$K$24,'CF.1'!E113,'CF.2'!$M$5:$M$24)</f>
        <v>0</v>
      </c>
      <c r="R113" s="509">
        <f>SUMIF('CF.2'!$H$30:$H$59,'CF.1'!E113,'CF.2'!$J$30:$J$59)+SUMIF('CF.2'!$K$30:$K$59,'CF.1'!E113,'CF.2'!$M$30:$M$59)</f>
        <v>0</v>
      </c>
      <c r="S113" s="509">
        <f>SUMIF('CF.2'!$H$64:$H$97,'CF.1'!E113,'CF.2'!$J$64:$J$97)+SUMIF('CF.2'!$K$64:$K$97,'CF.1'!E113,'CF.2'!$M$64:$M$97)</f>
        <v>0</v>
      </c>
      <c r="T113" s="509">
        <f>SUMIF('CF.2'!$H$101:$H$107,'CF.1'!E113,'CF.2'!$J$101:$J$107)+SUMIF('CF.2'!$K$101:$K$107,'CF.1'!E113,'CF.2'!$M$101:$M$107)</f>
        <v>0</v>
      </c>
      <c r="U113" s="509">
        <f>SUMIF('CF.2'!$H$112:$H$120,'CF.1'!E113,'CF.2'!$J$112:$J$120)+SUMIF('CF.2'!$K$112:$K$120,'CF.1'!E113,'CF.2'!$M$112:$M$120)</f>
        <v>0</v>
      </c>
      <c r="V113" s="510">
        <f t="shared" si="14"/>
        <v>0</v>
      </c>
      <c r="X113" s="512">
        <f t="shared" si="16"/>
        <v>0</v>
      </c>
    </row>
    <row r="114" spans="4:26" s="519" customFormat="1" ht="18" customHeight="1">
      <c r="D114" s="514" t="s">
        <v>816</v>
      </c>
      <c r="E114" s="515" t="s">
        <v>887</v>
      </c>
      <c r="F114" s="516" t="s">
        <v>1473</v>
      </c>
      <c r="G114" s="515" t="s">
        <v>888</v>
      </c>
      <c r="H114" s="509">
        <v>-30066519</v>
      </c>
      <c r="I114" s="509">
        <v>0</v>
      </c>
      <c r="J114" s="509">
        <v>0</v>
      </c>
      <c r="K114" s="509">
        <v>0</v>
      </c>
      <c r="L114" s="509">
        <v>0</v>
      </c>
      <c r="M114" s="517"/>
      <c r="N114" s="509">
        <v>0</v>
      </c>
      <c r="O114" s="510">
        <f t="shared" si="15"/>
        <v>-30066519</v>
      </c>
      <c r="Q114" s="520">
        <f>SUMIF('CF.2'!$H$5:$H$24,'CF.1'!E114,'CF.2'!$J$5:$J$24)-SUMIF('CF.2'!$K$5:$K$24,'CF.1'!E114,'CF.2'!$M$5:$M$24)</f>
        <v>0</v>
      </c>
      <c r="R114" s="517">
        <f>SUMIF('CF.2'!$H$30:$H$59,'CF.1'!E114,'CF.2'!$J$30:$J$59)+SUMIF('CF.2'!$K$30:$K$59,'CF.1'!E114,'CF.2'!$M$30:$M$59)</f>
        <v>0</v>
      </c>
      <c r="S114" s="517">
        <f>SUMIF('CF.2'!$H$64:$H$97,'CF.1'!E114,'CF.2'!$J$64:$J$97)+SUMIF('CF.2'!$K$64:$K$97,'CF.1'!E114,'CF.2'!$M$64:$M$97)</f>
        <v>0</v>
      </c>
      <c r="T114" s="517">
        <f>SUMIF('CF.2'!$H$101:$H$107,'CF.1'!E114,'CF.2'!$J$101:$J$107)+SUMIF('CF.2'!$K$101:$K$107,'CF.1'!E114,'CF.2'!$M$101:$M$107)</f>
        <v>0</v>
      </c>
      <c r="U114" s="517">
        <f>SUMIF('CF.2'!$H$112:$H$120,'CF.1'!E114,'CF.2'!$J$112:$J$120)+SUMIF('CF.2'!$K$112:$K$120,'CF.1'!E114,'CF.2'!$M$112:$M$120)</f>
        <v>0</v>
      </c>
      <c r="V114" s="518">
        <f t="shared" si="14"/>
        <v>0</v>
      </c>
      <c r="X114" s="512">
        <f t="shared" si="16"/>
        <v>-30066519</v>
      </c>
    </row>
    <row r="115" spans="4:26" s="519" customFormat="1" ht="18" customHeight="1">
      <c r="D115" s="514" t="s">
        <v>814</v>
      </c>
      <c r="E115" s="515" t="s">
        <v>889</v>
      </c>
      <c r="F115" s="516" t="s">
        <v>1474</v>
      </c>
      <c r="G115" s="515" t="s">
        <v>890</v>
      </c>
      <c r="H115" s="509">
        <v>-10629611</v>
      </c>
      <c r="I115" s="509">
        <v>0</v>
      </c>
      <c r="J115" s="509">
        <v>0</v>
      </c>
      <c r="K115" s="509">
        <v>0</v>
      </c>
      <c r="L115" s="509">
        <v>0</v>
      </c>
      <c r="M115" s="517"/>
      <c r="N115" s="509">
        <v>0</v>
      </c>
      <c r="O115" s="510">
        <f t="shared" si="15"/>
        <v>-10629611</v>
      </c>
      <c r="Q115" s="520">
        <f>SUMIF('CF.2'!$H$5:$H$24,'CF.1'!E115,'CF.2'!$J$5:$J$24)-SUMIF('CF.2'!$K$5:$K$24,'CF.1'!E115,'CF.2'!$M$5:$M$24)</f>
        <v>0</v>
      </c>
      <c r="R115" s="517">
        <f>SUMIF('CF.2'!$H$30:$H$59,'CF.1'!E115,'CF.2'!$J$30:$J$59)+SUMIF('CF.2'!$K$30:$K$59,'CF.1'!E115,'CF.2'!$M$30:$M$59)</f>
        <v>0</v>
      </c>
      <c r="S115" s="517">
        <f>SUMIF('CF.2'!$H$64:$H$97,'CF.1'!E115,'CF.2'!$J$64:$J$97)+SUMIF('CF.2'!$K$64:$K$97,'CF.1'!E115,'CF.2'!$M$64:$M$97)</f>
        <v>0</v>
      </c>
      <c r="T115" s="517">
        <f>SUMIF('CF.2'!$H$101:$H$107,'CF.1'!E115,'CF.2'!$J$101:$J$107)+SUMIF('CF.2'!$K$101:$K$107,'CF.1'!E115,'CF.2'!$M$101:$M$107)</f>
        <v>0</v>
      </c>
      <c r="U115" s="517">
        <f>SUMIF('CF.2'!$H$112:$H$120,'CF.1'!E115,'CF.2'!$J$112:$J$120)+SUMIF('CF.2'!$K$112:$K$120,'CF.1'!E115,'CF.2'!$M$112:$M$120)</f>
        <v>0</v>
      </c>
      <c r="V115" s="518">
        <f t="shared" si="14"/>
        <v>0</v>
      </c>
      <c r="X115" s="512">
        <f t="shared" si="16"/>
        <v>-10629611</v>
      </c>
    </row>
    <row r="116" spans="4:26" ht="18" customHeight="1">
      <c r="D116" s="506" t="s">
        <v>891</v>
      </c>
      <c r="E116" s="507" t="s">
        <v>891</v>
      </c>
      <c r="F116" s="508"/>
      <c r="G116" s="507" t="s">
        <v>892</v>
      </c>
      <c r="H116" s="509">
        <v>0</v>
      </c>
      <c r="I116" s="509">
        <v>0</v>
      </c>
      <c r="J116" s="509">
        <v>0</v>
      </c>
      <c r="K116" s="509">
        <v>0</v>
      </c>
      <c r="L116" s="509">
        <v>0</v>
      </c>
      <c r="M116" s="509"/>
      <c r="N116" s="509">
        <v>0</v>
      </c>
      <c r="O116" s="510">
        <f t="shared" si="15"/>
        <v>0</v>
      </c>
      <c r="Q116" s="511">
        <f>SUMIF('CF.2'!$H$5:$H$24,'CF.1'!E116,'CF.2'!$J$5:$J$24)-SUMIF('CF.2'!$K$5:$K$24,'CF.1'!E116,'CF.2'!$M$5:$M$24)</f>
        <v>0</v>
      </c>
      <c r="R116" s="509">
        <f>SUMIF('CF.2'!$H$30:$H$59,'CF.1'!E116,'CF.2'!$J$30:$J$59)+SUMIF('CF.2'!$K$30:$K$59,'CF.1'!E116,'CF.2'!$M$30:$M$59)</f>
        <v>0</v>
      </c>
      <c r="S116" s="509">
        <f>SUMIF('CF.2'!$H$64:$H$97,'CF.1'!E116,'CF.2'!$J$64:$J$97)+SUMIF('CF.2'!$K$64:$K$97,'CF.1'!E116,'CF.2'!$M$64:$M$97)</f>
        <v>0</v>
      </c>
      <c r="T116" s="509">
        <f>SUMIF('CF.2'!$H$101:$H$107,'CF.1'!E116,'CF.2'!$J$101:$J$107)+SUMIF('CF.2'!$K$101:$K$107,'CF.1'!E116,'CF.2'!$M$101:$M$107)</f>
        <v>0</v>
      </c>
      <c r="U116" s="509">
        <f>SUMIF('CF.2'!$H$112:$H$120,'CF.1'!E116,'CF.2'!$J$112:$J$120)+SUMIF('CF.2'!$K$112:$K$120,'CF.1'!E116,'CF.2'!$M$112:$M$120)</f>
        <v>0</v>
      </c>
      <c r="V116" s="510">
        <f t="shared" si="14"/>
        <v>0</v>
      </c>
      <c r="X116" s="512">
        <f t="shared" si="16"/>
        <v>0</v>
      </c>
    </row>
    <row r="117" spans="4:26" ht="18" customHeight="1">
      <c r="D117" s="506" t="s">
        <v>893</v>
      </c>
      <c r="E117" s="507" t="s">
        <v>893</v>
      </c>
      <c r="F117" s="508"/>
      <c r="G117" s="507" t="s">
        <v>894</v>
      </c>
      <c r="H117" s="509">
        <v>0</v>
      </c>
      <c r="I117" s="509">
        <v>0</v>
      </c>
      <c r="J117" s="509">
        <v>0</v>
      </c>
      <c r="K117" s="509">
        <v>0</v>
      </c>
      <c r="L117" s="509">
        <v>0</v>
      </c>
      <c r="M117" s="509"/>
      <c r="N117" s="509">
        <v>0</v>
      </c>
      <c r="O117" s="510">
        <f t="shared" si="15"/>
        <v>0</v>
      </c>
      <c r="Q117" s="511">
        <f>SUMIF('CF.2'!$H$5:$H$24,'CF.1'!E117,'CF.2'!$J$5:$J$24)-SUMIF('CF.2'!$K$5:$K$24,'CF.1'!E117,'CF.2'!$M$5:$M$24)</f>
        <v>0</v>
      </c>
      <c r="R117" s="509">
        <f>SUMIF('CF.2'!$H$30:$H$59,'CF.1'!E117,'CF.2'!$J$30:$J$59)+SUMIF('CF.2'!$K$30:$K$59,'CF.1'!E117,'CF.2'!$M$30:$M$59)</f>
        <v>0</v>
      </c>
      <c r="S117" s="509">
        <f>SUMIF('CF.2'!$H$64:$H$97,'CF.1'!E117,'CF.2'!$J$64:$J$97)+SUMIF('CF.2'!$K$64:$K$97,'CF.1'!E117,'CF.2'!$M$64:$M$97)</f>
        <v>0</v>
      </c>
      <c r="T117" s="509">
        <f>SUMIF('CF.2'!$H$101:$H$107,'CF.1'!E117,'CF.2'!$J$101:$J$107)+SUMIF('CF.2'!$K$101:$K$107,'CF.1'!E117,'CF.2'!$M$101:$M$107)</f>
        <v>0</v>
      </c>
      <c r="U117" s="509">
        <f>SUMIF('CF.2'!$H$112:$H$120,'CF.1'!E117,'CF.2'!$J$112:$J$120)+SUMIF('CF.2'!$K$112:$K$120,'CF.1'!E117,'CF.2'!$M$112:$M$120)</f>
        <v>0</v>
      </c>
      <c r="V117" s="510">
        <f t="shared" si="14"/>
        <v>0</v>
      </c>
      <c r="X117" s="512">
        <f t="shared" si="16"/>
        <v>0</v>
      </c>
    </row>
    <row r="118" spans="4:26" ht="18" customHeight="1">
      <c r="D118" s="506" t="s">
        <v>895</v>
      </c>
      <c r="E118" s="507" t="s">
        <v>895</v>
      </c>
      <c r="F118" s="508"/>
      <c r="G118" s="507" t="s">
        <v>896</v>
      </c>
      <c r="H118" s="509">
        <v>0</v>
      </c>
      <c r="I118" s="509">
        <v>0</v>
      </c>
      <c r="J118" s="509">
        <v>0</v>
      </c>
      <c r="K118" s="509">
        <v>0</v>
      </c>
      <c r="L118" s="509">
        <v>0</v>
      </c>
      <c r="M118" s="509"/>
      <c r="N118" s="509">
        <v>0</v>
      </c>
      <c r="O118" s="510">
        <f t="shared" si="15"/>
        <v>0</v>
      </c>
      <c r="Q118" s="511">
        <f>SUMIF('CF.2'!$H$5:$H$24,'CF.1'!E118,'CF.2'!$J$5:$J$24)-SUMIF('CF.2'!$K$5:$K$24,'CF.1'!E118,'CF.2'!$M$5:$M$24)</f>
        <v>0</v>
      </c>
      <c r="R118" s="509">
        <f>SUMIF('CF.2'!$H$30:$H$59,'CF.1'!E118,'CF.2'!$J$30:$J$59)+SUMIF('CF.2'!$K$30:$K$59,'CF.1'!E118,'CF.2'!$M$30:$M$59)</f>
        <v>0</v>
      </c>
      <c r="S118" s="509">
        <f>SUMIF('CF.2'!$H$64:$H$97,'CF.1'!E118,'CF.2'!$J$64:$J$97)+SUMIF('CF.2'!$K$64:$K$97,'CF.1'!E118,'CF.2'!$M$64:$M$97)</f>
        <v>0</v>
      </c>
      <c r="T118" s="509">
        <f>SUMIF('CF.2'!$H$101:$H$107,'CF.1'!E118,'CF.2'!$J$101:$J$107)+SUMIF('CF.2'!$K$101:$K$107,'CF.1'!E118,'CF.2'!$M$101:$M$107)</f>
        <v>0</v>
      </c>
      <c r="U118" s="509">
        <f>SUMIF('CF.2'!$H$112:$H$120,'CF.1'!E118,'CF.2'!$J$112:$J$120)+SUMIF('CF.2'!$K$112:$K$120,'CF.1'!E118,'CF.2'!$M$112:$M$120)</f>
        <v>0</v>
      </c>
      <c r="V118" s="510">
        <f t="shared" si="14"/>
        <v>0</v>
      </c>
      <c r="X118" s="512">
        <f t="shared" si="16"/>
        <v>0</v>
      </c>
    </row>
    <row r="119" spans="4:26" ht="18" customHeight="1">
      <c r="D119" s="506" t="s">
        <v>897</v>
      </c>
      <c r="E119" s="507" t="s">
        <v>897</v>
      </c>
      <c r="F119" s="508"/>
      <c r="G119" s="507" t="s">
        <v>898</v>
      </c>
      <c r="H119" s="509">
        <v>0</v>
      </c>
      <c r="I119" s="509">
        <v>0</v>
      </c>
      <c r="J119" s="509">
        <v>0</v>
      </c>
      <c r="K119" s="509">
        <v>0</v>
      </c>
      <c r="L119" s="509">
        <v>0</v>
      </c>
      <c r="M119" s="509"/>
      <c r="N119" s="509">
        <v>0</v>
      </c>
      <c r="O119" s="510">
        <f t="shared" si="15"/>
        <v>0</v>
      </c>
      <c r="Q119" s="511">
        <f>SUMIF('CF.2'!$H$5:$H$24,'CF.1'!E119,'CF.2'!$J$5:$J$24)-SUMIF('CF.2'!$K$5:$K$24,'CF.1'!E119,'CF.2'!$M$5:$M$24)</f>
        <v>0</v>
      </c>
      <c r="R119" s="509">
        <f>SUMIF('CF.2'!$H$30:$H$59,'CF.1'!E119,'CF.2'!$J$30:$J$59)+SUMIF('CF.2'!$K$30:$K$59,'CF.1'!E119,'CF.2'!$M$30:$M$59)</f>
        <v>0</v>
      </c>
      <c r="S119" s="509">
        <f>SUMIF('CF.2'!$H$64:$H$97,'CF.1'!E119,'CF.2'!$J$64:$J$97)+SUMIF('CF.2'!$K$64:$K$97,'CF.1'!E119,'CF.2'!$M$64:$M$97)</f>
        <v>0</v>
      </c>
      <c r="T119" s="509">
        <f>SUMIF('CF.2'!$H$101:$H$107,'CF.1'!E119,'CF.2'!$J$101:$J$107)+SUMIF('CF.2'!$K$101:$K$107,'CF.1'!E119,'CF.2'!$M$101:$M$107)</f>
        <v>0</v>
      </c>
      <c r="U119" s="509">
        <f>SUMIF('CF.2'!$H$112:$H$120,'CF.1'!E119,'CF.2'!$J$112:$J$120)+SUMIF('CF.2'!$K$112:$K$120,'CF.1'!E119,'CF.2'!$M$112:$M$120)</f>
        <v>0</v>
      </c>
      <c r="V119" s="510">
        <f t="shared" si="14"/>
        <v>0</v>
      </c>
      <c r="X119" s="512">
        <f t="shared" si="16"/>
        <v>0</v>
      </c>
    </row>
    <row r="120" spans="4:26" ht="18" customHeight="1">
      <c r="D120" s="506" t="s">
        <v>899</v>
      </c>
      <c r="E120" s="507" t="s">
        <v>899</v>
      </c>
      <c r="F120" s="508"/>
      <c r="G120" s="507" t="s">
        <v>900</v>
      </c>
      <c r="H120" s="509">
        <v>0</v>
      </c>
      <c r="I120" s="509">
        <v>0</v>
      </c>
      <c r="J120" s="509">
        <v>0</v>
      </c>
      <c r="K120" s="509">
        <v>0</v>
      </c>
      <c r="L120" s="509">
        <v>0</v>
      </c>
      <c r="M120" s="509"/>
      <c r="N120" s="509">
        <v>0</v>
      </c>
      <c r="O120" s="510">
        <f t="shared" si="15"/>
        <v>0</v>
      </c>
      <c r="Q120" s="511">
        <f>SUMIF('CF.2'!$H$5:$H$24,'CF.1'!E120,'CF.2'!$J$5:$J$24)-SUMIF('CF.2'!$K$5:$K$24,'CF.1'!E120,'CF.2'!$M$5:$M$24)</f>
        <v>0</v>
      </c>
      <c r="R120" s="509">
        <f>SUMIF('CF.2'!$H$30:$H$59,'CF.1'!E120,'CF.2'!$J$30:$J$59)+SUMIF('CF.2'!$K$30:$K$59,'CF.1'!E120,'CF.2'!$M$30:$M$59)</f>
        <v>0</v>
      </c>
      <c r="S120" s="509">
        <f>SUMIF('CF.2'!$H$64:$H$97,'CF.1'!E120,'CF.2'!$J$64:$J$97)+SUMIF('CF.2'!$K$64:$K$97,'CF.1'!E120,'CF.2'!$M$64:$M$97)</f>
        <v>0</v>
      </c>
      <c r="T120" s="509">
        <f>SUMIF('CF.2'!$H$101:$H$107,'CF.1'!E120,'CF.2'!$J$101:$J$107)+SUMIF('CF.2'!$K$101:$K$107,'CF.1'!E120,'CF.2'!$M$101:$M$107)</f>
        <v>0</v>
      </c>
      <c r="U120" s="509">
        <f>SUMIF('CF.2'!$H$112:$H$120,'CF.1'!E120,'CF.2'!$J$112:$J$120)+SUMIF('CF.2'!$K$112:$K$120,'CF.1'!E120,'CF.2'!$M$112:$M$120)</f>
        <v>0</v>
      </c>
      <c r="V120" s="510">
        <f t="shared" si="14"/>
        <v>0</v>
      </c>
      <c r="X120" s="512">
        <f t="shared" si="16"/>
        <v>0</v>
      </c>
    </row>
    <row r="121" spans="4:26" ht="18" customHeight="1">
      <c r="D121" s="506" t="s">
        <v>901</v>
      </c>
      <c r="E121" s="507" t="s">
        <v>901</v>
      </c>
      <c r="F121" s="508"/>
      <c r="G121" s="507" t="s">
        <v>902</v>
      </c>
      <c r="H121" s="509">
        <v>0</v>
      </c>
      <c r="I121" s="509">
        <v>0</v>
      </c>
      <c r="J121" s="509">
        <v>0</v>
      </c>
      <c r="K121" s="509">
        <v>0</v>
      </c>
      <c r="L121" s="509">
        <v>0</v>
      </c>
      <c r="M121" s="509"/>
      <c r="N121" s="509">
        <v>0</v>
      </c>
      <c r="O121" s="510">
        <f t="shared" si="15"/>
        <v>0</v>
      </c>
      <c r="Q121" s="511">
        <f>SUMIF('CF.2'!$H$5:$H$24,'CF.1'!E121,'CF.2'!$J$5:$J$24)-SUMIF('CF.2'!$K$5:$K$24,'CF.1'!E121,'CF.2'!$M$5:$M$24)</f>
        <v>0</v>
      </c>
      <c r="R121" s="509">
        <f>SUMIF('CF.2'!$H$30:$H$59,'CF.1'!E121,'CF.2'!$J$30:$J$59)+SUMIF('CF.2'!$K$30:$K$59,'CF.1'!E121,'CF.2'!$M$30:$M$59)</f>
        <v>0</v>
      </c>
      <c r="S121" s="509">
        <f>SUMIF('CF.2'!$H$64:$H$97,'CF.1'!E121,'CF.2'!$J$64:$J$97)+SUMIF('CF.2'!$K$64:$K$97,'CF.1'!E121,'CF.2'!$M$64:$M$97)</f>
        <v>0</v>
      </c>
      <c r="T121" s="509">
        <f>SUMIF('CF.2'!$H$101:$H$107,'CF.1'!E121,'CF.2'!$J$101:$J$107)+SUMIF('CF.2'!$K$101:$K$107,'CF.1'!E121,'CF.2'!$M$101:$M$107)</f>
        <v>0</v>
      </c>
      <c r="U121" s="509">
        <f>SUMIF('CF.2'!$H$112:$H$120,'CF.1'!E121,'CF.2'!$J$112:$J$120)+SUMIF('CF.2'!$K$112:$K$120,'CF.1'!E121,'CF.2'!$M$112:$M$120)</f>
        <v>0</v>
      </c>
      <c r="V121" s="510">
        <f t="shared" si="14"/>
        <v>0</v>
      </c>
      <c r="X121" s="512">
        <f t="shared" si="16"/>
        <v>0</v>
      </c>
    </row>
    <row r="122" spans="4:26" ht="18" customHeight="1">
      <c r="D122" s="506" t="s">
        <v>903</v>
      </c>
      <c r="E122" s="507" t="s">
        <v>903</v>
      </c>
      <c r="F122" s="508"/>
      <c r="G122" s="507" t="s">
        <v>904</v>
      </c>
      <c r="H122" s="509">
        <v>0</v>
      </c>
      <c r="I122" s="509">
        <v>0</v>
      </c>
      <c r="J122" s="509">
        <v>0</v>
      </c>
      <c r="K122" s="509">
        <v>0</v>
      </c>
      <c r="L122" s="509">
        <v>0</v>
      </c>
      <c r="M122" s="509"/>
      <c r="N122" s="509">
        <v>0</v>
      </c>
      <c r="O122" s="510">
        <f t="shared" si="15"/>
        <v>0</v>
      </c>
      <c r="Q122" s="511">
        <f>SUMIF('CF.2'!$H$5:$H$24,'CF.1'!E122,'CF.2'!$J$5:$J$24)-SUMIF('CF.2'!$K$5:$K$24,'CF.1'!E122,'CF.2'!$M$5:$M$24)</f>
        <v>0</v>
      </c>
      <c r="R122" s="509">
        <f>SUMIF('CF.2'!$H$30:$H$59,'CF.1'!E122,'CF.2'!$J$30:$J$59)+SUMIF('CF.2'!$K$30:$K$59,'CF.1'!E122,'CF.2'!$M$30:$M$59)</f>
        <v>0</v>
      </c>
      <c r="S122" s="509">
        <f>SUMIF('CF.2'!$H$64:$H$97,'CF.1'!E122,'CF.2'!$J$64:$J$97)+SUMIF('CF.2'!$K$64:$K$97,'CF.1'!E122,'CF.2'!$M$64:$M$97)</f>
        <v>0</v>
      </c>
      <c r="T122" s="509">
        <f>SUMIF('CF.2'!$H$101:$H$107,'CF.1'!E122,'CF.2'!$J$101:$J$107)+SUMIF('CF.2'!$K$101:$K$107,'CF.1'!E122,'CF.2'!$M$101:$M$107)</f>
        <v>0</v>
      </c>
      <c r="U122" s="509">
        <f>SUMIF('CF.2'!$H$112:$H$120,'CF.1'!E122,'CF.2'!$J$112:$J$120)+SUMIF('CF.2'!$K$112:$K$120,'CF.1'!E122,'CF.2'!$M$112:$M$120)</f>
        <v>0</v>
      </c>
      <c r="V122" s="510">
        <f t="shared" si="14"/>
        <v>0</v>
      </c>
      <c r="X122" s="512">
        <f t="shared" si="16"/>
        <v>0</v>
      </c>
    </row>
    <row r="123" spans="4:26" ht="18" customHeight="1">
      <c r="D123" s="506" t="s">
        <v>905</v>
      </c>
      <c r="E123" s="507" t="s">
        <v>905</v>
      </c>
      <c r="F123" s="508"/>
      <c r="G123" s="507" t="s">
        <v>906</v>
      </c>
      <c r="H123" s="509">
        <v>0</v>
      </c>
      <c r="I123" s="509">
        <v>0</v>
      </c>
      <c r="J123" s="509">
        <v>0</v>
      </c>
      <c r="K123" s="509">
        <v>0</v>
      </c>
      <c r="L123" s="509">
        <v>0</v>
      </c>
      <c r="M123" s="509"/>
      <c r="N123" s="509">
        <v>0</v>
      </c>
      <c r="O123" s="510">
        <f t="shared" si="15"/>
        <v>0</v>
      </c>
      <c r="Q123" s="511">
        <f>SUMIF('CF.2'!$H$5:$H$24,'CF.1'!E123,'CF.2'!$J$5:$J$24)-SUMIF('CF.2'!$K$5:$K$24,'CF.1'!E123,'CF.2'!$M$5:$M$24)</f>
        <v>0</v>
      </c>
      <c r="R123" s="509">
        <f>SUMIF('CF.2'!$H$30:$H$59,'CF.1'!E123,'CF.2'!$J$30:$J$59)+SUMIF('CF.2'!$K$30:$K$59,'CF.1'!E123,'CF.2'!$M$30:$M$59)</f>
        <v>0</v>
      </c>
      <c r="S123" s="509">
        <f>SUMIF('CF.2'!$H$64:$H$97,'CF.1'!E123,'CF.2'!$J$64:$J$97)+SUMIF('CF.2'!$K$64:$K$97,'CF.1'!E123,'CF.2'!$M$64:$M$97)</f>
        <v>0</v>
      </c>
      <c r="T123" s="509">
        <f>SUMIF('CF.2'!$H$101:$H$107,'CF.1'!E123,'CF.2'!$J$101:$J$107)+SUMIF('CF.2'!$K$101:$K$107,'CF.1'!E123,'CF.2'!$M$101:$M$107)</f>
        <v>0</v>
      </c>
      <c r="U123" s="509">
        <f>SUMIF('CF.2'!$H$112:$H$120,'CF.1'!E123,'CF.2'!$J$112:$J$120)+SUMIF('CF.2'!$K$112:$K$120,'CF.1'!E123,'CF.2'!$M$112:$M$120)</f>
        <v>0</v>
      </c>
      <c r="V123" s="510">
        <f t="shared" si="14"/>
        <v>0</v>
      </c>
      <c r="X123" s="512">
        <f t="shared" si="16"/>
        <v>0</v>
      </c>
    </row>
    <row r="124" spans="4:26" ht="18" customHeight="1">
      <c r="D124" s="506" t="s">
        <v>907</v>
      </c>
      <c r="E124" s="507" t="s">
        <v>907</v>
      </c>
      <c r="F124" s="508"/>
      <c r="G124" s="507" t="s">
        <v>908</v>
      </c>
      <c r="H124" s="509">
        <v>0</v>
      </c>
      <c r="I124" s="509">
        <v>0</v>
      </c>
      <c r="J124" s="509">
        <v>0</v>
      </c>
      <c r="K124" s="509">
        <v>0</v>
      </c>
      <c r="L124" s="509">
        <v>0</v>
      </c>
      <c r="M124" s="509"/>
      <c r="N124" s="509">
        <v>0</v>
      </c>
      <c r="O124" s="510">
        <f t="shared" si="15"/>
        <v>0</v>
      </c>
      <c r="Q124" s="511">
        <f>SUMIF('CF.2'!$H$5:$H$24,'CF.1'!E124,'CF.2'!$J$5:$J$24)-SUMIF('CF.2'!$K$5:$K$24,'CF.1'!E124,'CF.2'!$M$5:$M$24)</f>
        <v>0</v>
      </c>
      <c r="R124" s="509">
        <f>SUMIF('CF.2'!$H$30:$H$59,'CF.1'!E124,'CF.2'!$J$30:$J$59)+SUMIF('CF.2'!$K$30:$K$59,'CF.1'!E124,'CF.2'!$M$30:$M$59)</f>
        <v>0</v>
      </c>
      <c r="S124" s="509">
        <f>SUMIF('CF.2'!$H$64:$H$97,'CF.1'!E124,'CF.2'!$J$64:$J$97)+SUMIF('CF.2'!$K$64:$K$97,'CF.1'!E124,'CF.2'!$M$64:$M$97)</f>
        <v>0</v>
      </c>
      <c r="T124" s="509">
        <f>SUMIF('CF.2'!$H$101:$H$107,'CF.1'!E124,'CF.2'!$J$101:$J$107)+SUMIF('CF.2'!$K$101:$K$107,'CF.1'!E124,'CF.2'!$M$101:$M$107)</f>
        <v>0</v>
      </c>
      <c r="U124" s="509">
        <f>SUMIF('CF.2'!$H$112:$H$120,'CF.1'!E124,'CF.2'!$J$112:$J$120)+SUMIF('CF.2'!$K$112:$K$120,'CF.1'!E124,'CF.2'!$M$112:$M$120)</f>
        <v>0</v>
      </c>
      <c r="V124" s="510">
        <f t="shared" si="14"/>
        <v>0</v>
      </c>
      <c r="X124" s="512">
        <f t="shared" si="16"/>
        <v>0</v>
      </c>
    </row>
    <row r="125" spans="4:26" ht="18" customHeight="1">
      <c r="D125" s="499" t="s">
        <v>909</v>
      </c>
      <c r="E125" s="500" t="s">
        <v>909</v>
      </c>
      <c r="F125" s="501"/>
      <c r="G125" s="500" t="s">
        <v>910</v>
      </c>
      <c r="H125" s="502">
        <f t="shared" ref="H125:O125" si="17">SUM(H126:H174)</f>
        <v>-3347179190</v>
      </c>
      <c r="I125" s="502">
        <f t="shared" si="17"/>
        <v>294024660</v>
      </c>
      <c r="J125" s="502">
        <f t="shared" si="17"/>
        <v>434010482</v>
      </c>
      <c r="K125" s="502">
        <f t="shared" si="17"/>
        <v>-82181048</v>
      </c>
      <c r="L125" s="502">
        <f t="shared" si="17"/>
        <v>-2015597140</v>
      </c>
      <c r="M125" s="502">
        <f t="shared" si="17"/>
        <v>0</v>
      </c>
      <c r="N125" s="502">
        <f t="shared" si="17"/>
        <v>5654177970</v>
      </c>
      <c r="O125" s="503">
        <f t="shared" si="17"/>
        <v>937255734</v>
      </c>
      <c r="Q125" s="504">
        <f t="shared" ref="Q125:V125" si="18">SUM(Q126:Q174)</f>
        <v>0</v>
      </c>
      <c r="R125" s="502">
        <f t="shared" si="18"/>
        <v>-556469157</v>
      </c>
      <c r="S125" s="502">
        <f t="shared" si="18"/>
        <v>-1218170000</v>
      </c>
      <c r="T125" s="502">
        <f t="shared" si="18"/>
        <v>-1</v>
      </c>
      <c r="U125" s="502">
        <f t="shared" si="18"/>
        <v>0</v>
      </c>
      <c r="V125" s="503">
        <f t="shared" si="18"/>
        <v>-1774639158</v>
      </c>
      <c r="X125" s="505">
        <f t="shared" ref="X125" si="19">SUM(X126:X174)</f>
        <v>-837383424</v>
      </c>
      <c r="Z125" s="36">
        <f>X125-CFS!K106</f>
        <v>0</v>
      </c>
    </row>
    <row r="126" spans="4:26" ht="18" customHeight="1">
      <c r="D126" s="506" t="s">
        <v>911</v>
      </c>
      <c r="E126" s="507" t="s">
        <v>911</v>
      </c>
      <c r="F126" s="508" t="s">
        <v>1477</v>
      </c>
      <c r="G126" s="507" t="s">
        <v>912</v>
      </c>
      <c r="H126" s="509">
        <v>-6524786539</v>
      </c>
      <c r="I126" s="509">
        <v>190320943</v>
      </c>
      <c r="J126" s="509">
        <v>375760554</v>
      </c>
      <c r="K126" s="509">
        <v>11354721</v>
      </c>
      <c r="L126" s="509">
        <v>-12025418</v>
      </c>
      <c r="M126" s="509"/>
      <c r="N126" s="509">
        <v>2904690582</v>
      </c>
      <c r="O126" s="510">
        <f t="shared" ref="O126:O174" si="20">SUM(H126:N126)</f>
        <v>-3054685157</v>
      </c>
      <c r="Q126" s="511">
        <f>SUMIF('CF.2'!$H$5:$H$24,'CF.1'!E126,'CF.2'!$J$5:$J$24)-SUMIF('CF.2'!$K$5:$K$24,'CF.1'!E126,'CF.2'!$M$5:$M$24)</f>
        <v>0</v>
      </c>
      <c r="R126" s="509">
        <f>SUMIF('CF.2'!$H$30:$H$59,'CF.1'!E126,'CF.2'!$J$30:$J$59)+SUMIF('CF.2'!$K$30:$K$59,'CF.1'!E126,'CF.2'!$M$30:$M$59)</f>
        <v>0</v>
      </c>
      <c r="S126" s="509">
        <f>SUMIF('CF.2'!$H$64:$H$97,'CF.1'!E126,'CF.2'!$J$64:$J$97)+SUMIF('CF.2'!$K$64:$K$97,'CF.1'!E126,'CF.2'!$M$64:$M$97)</f>
        <v>-5112114957</v>
      </c>
      <c r="T126" s="509">
        <f>SUMIF('CF.2'!$H$101:$H$107,'CF.1'!E126,'CF.2'!$J$101:$J$107)+SUMIF('CF.2'!$K$101:$K$107,'CF.1'!E126,'CF.2'!$M$101:$M$107)</f>
        <v>-1</v>
      </c>
      <c r="U126" s="509">
        <f>SUMIF('CF.2'!$H$112:$H$120,'CF.1'!E126,'CF.2'!$J$112:$J$120)+SUMIF('CF.2'!$K$112:$K$120,'CF.1'!E126,'CF.2'!$M$112:$M$120)</f>
        <v>627168162</v>
      </c>
      <c r="V126" s="510">
        <f t="shared" ref="V126:V174" si="21">SUM(Q126:U126)</f>
        <v>-4484946796</v>
      </c>
      <c r="X126" s="512">
        <f t="shared" ref="X126:X174" si="22">V126+O126</f>
        <v>-7539631953</v>
      </c>
    </row>
    <row r="127" spans="4:26" ht="18" customHeight="1">
      <c r="D127" s="506" t="s">
        <v>913</v>
      </c>
      <c r="E127" s="507" t="s">
        <v>913</v>
      </c>
      <c r="F127" s="508" t="s">
        <v>1478</v>
      </c>
      <c r="G127" s="507" t="s">
        <v>914</v>
      </c>
      <c r="H127" s="509">
        <v>-4962652164</v>
      </c>
      <c r="I127" s="509">
        <v>152192249</v>
      </c>
      <c r="J127" s="509">
        <v>-171904357</v>
      </c>
      <c r="K127" s="509">
        <v>-1284</v>
      </c>
      <c r="L127" s="509">
        <v>445234</v>
      </c>
      <c r="M127" s="509"/>
      <c r="N127" s="509">
        <v>-15092350</v>
      </c>
      <c r="O127" s="510">
        <f t="shared" si="20"/>
        <v>-4997012672</v>
      </c>
      <c r="Q127" s="511">
        <f>SUMIF('CF.2'!$H$5:$H$24,'CF.1'!E127,'CF.2'!$J$5:$J$24)-SUMIF('CF.2'!$K$5:$K$24,'CF.1'!E127,'CF.2'!$M$5:$M$24)</f>
        <v>0</v>
      </c>
      <c r="R127" s="509">
        <f>SUMIF('CF.2'!$H$30:$H$59,'CF.1'!E127,'CF.2'!$J$30:$J$59)+SUMIF('CF.2'!$K$30:$K$59,'CF.1'!E127,'CF.2'!$M$30:$M$59)</f>
        <v>0</v>
      </c>
      <c r="S127" s="509">
        <f>SUMIF('CF.2'!$H$64:$H$97,'CF.1'!E127,'CF.2'!$J$64:$J$97)+SUMIF('CF.2'!$K$64:$K$97,'CF.1'!E127,'CF.2'!$M$64:$M$97)</f>
        <v>-3352667</v>
      </c>
      <c r="T127" s="509">
        <f>SUMIF('CF.2'!$H$101:$H$107,'CF.1'!E127,'CF.2'!$J$101:$J$107)+SUMIF('CF.2'!$K$101:$K$107,'CF.1'!E127,'CF.2'!$M$101:$M$107)</f>
        <v>0</v>
      </c>
      <c r="U127" s="509">
        <f>SUMIF('CF.2'!$H$112:$H$120,'CF.1'!E127,'CF.2'!$J$112:$J$120)+SUMIF('CF.2'!$K$112:$K$120,'CF.1'!E127,'CF.2'!$M$112:$M$120)</f>
        <v>-327031541</v>
      </c>
      <c r="V127" s="510">
        <f t="shared" si="21"/>
        <v>-330384208</v>
      </c>
      <c r="X127" s="512">
        <f t="shared" si="22"/>
        <v>-5327396880</v>
      </c>
    </row>
    <row r="128" spans="4:26" ht="18" customHeight="1">
      <c r="D128" s="506" t="s">
        <v>915</v>
      </c>
      <c r="E128" s="507" t="s">
        <v>915</v>
      </c>
      <c r="F128" s="508" t="s">
        <v>1478</v>
      </c>
      <c r="G128" s="507" t="s">
        <v>916</v>
      </c>
      <c r="H128" s="509">
        <v>0</v>
      </c>
      <c r="I128" s="509">
        <v>0</v>
      </c>
      <c r="J128" s="509">
        <v>0</v>
      </c>
      <c r="K128" s="509">
        <v>0</v>
      </c>
      <c r="L128" s="509">
        <v>0</v>
      </c>
      <c r="M128" s="509"/>
      <c r="N128" s="509">
        <v>0</v>
      </c>
      <c r="O128" s="510">
        <f t="shared" si="20"/>
        <v>0</v>
      </c>
      <c r="Q128" s="511">
        <f>SUMIF('CF.2'!$H$5:$H$24,'CF.1'!E128,'CF.2'!$J$5:$J$24)-SUMIF('CF.2'!$K$5:$K$24,'CF.1'!E128,'CF.2'!$M$5:$M$24)</f>
        <v>0</v>
      </c>
      <c r="R128" s="509">
        <f>SUMIF('CF.2'!$H$30:$H$59,'CF.1'!E128,'CF.2'!$J$30:$J$59)+SUMIF('CF.2'!$K$30:$K$59,'CF.1'!E128,'CF.2'!$M$30:$M$59)</f>
        <v>0</v>
      </c>
      <c r="S128" s="509">
        <f>SUMIF('CF.2'!$H$64:$H$97,'CF.1'!E128,'CF.2'!$J$64:$J$97)+SUMIF('CF.2'!$K$64:$K$97,'CF.1'!E128,'CF.2'!$M$64:$M$97)</f>
        <v>-57882548</v>
      </c>
      <c r="T128" s="509">
        <f>SUMIF('CF.2'!$H$101:$H$107,'CF.1'!E128,'CF.2'!$J$101:$J$107)+SUMIF('CF.2'!$K$101:$K$107,'CF.1'!E128,'CF.2'!$M$101:$M$107)</f>
        <v>0</v>
      </c>
      <c r="U128" s="509">
        <f>SUMIF('CF.2'!$H$112:$H$120,'CF.1'!E128,'CF.2'!$J$112:$J$120)+SUMIF('CF.2'!$K$112:$K$120,'CF.1'!E128,'CF.2'!$M$112:$M$120)</f>
        <v>0</v>
      </c>
      <c r="V128" s="510">
        <f t="shared" si="21"/>
        <v>-57882548</v>
      </c>
      <c r="X128" s="512">
        <f t="shared" si="22"/>
        <v>-57882548</v>
      </c>
    </row>
    <row r="129" spans="4:24" ht="18" customHeight="1">
      <c r="D129" s="506" t="s">
        <v>917</v>
      </c>
      <c r="E129" s="507" t="s">
        <v>917</v>
      </c>
      <c r="F129" s="508" t="s">
        <v>1479</v>
      </c>
      <c r="G129" s="507" t="s">
        <v>918</v>
      </c>
      <c r="H129" s="509">
        <v>2619575576</v>
      </c>
      <c r="I129" s="509">
        <v>-183848741</v>
      </c>
      <c r="J129" s="509">
        <v>27985927</v>
      </c>
      <c r="K129" s="509">
        <v>46480838</v>
      </c>
      <c r="L129" s="509">
        <v>1957233</v>
      </c>
      <c r="M129" s="509"/>
      <c r="N129" s="509">
        <v>1132449880</v>
      </c>
      <c r="O129" s="510">
        <f t="shared" si="20"/>
        <v>3644600713</v>
      </c>
      <c r="Q129" s="511">
        <f>SUMIF('CF.2'!$H$5:$H$24,'CF.1'!E129,'CF.2'!$J$5:$J$24)-SUMIF('CF.2'!$K$5:$K$24,'CF.1'!E129,'CF.2'!$M$5:$M$24)</f>
        <v>0</v>
      </c>
      <c r="R129" s="509">
        <f>SUMIF('CF.2'!$H$30:$H$59,'CF.1'!E129,'CF.2'!$J$30:$J$59)+SUMIF('CF.2'!$K$30:$K$59,'CF.1'!E129,'CF.2'!$M$30:$M$59)</f>
        <v>0</v>
      </c>
      <c r="S129" s="509">
        <f>SUMIF('CF.2'!$H$64:$H$97,'CF.1'!E129,'CF.2'!$J$64:$J$97)+SUMIF('CF.2'!$K$64:$K$97,'CF.1'!E129,'CF.2'!$M$64:$M$97)</f>
        <v>-1401208582</v>
      </c>
      <c r="T129" s="509">
        <f>SUMIF('CF.2'!$H$101:$H$107,'CF.1'!E129,'CF.2'!$J$101:$J$107)+SUMIF('CF.2'!$K$101:$K$107,'CF.1'!E129,'CF.2'!$M$101:$M$107)</f>
        <v>0</v>
      </c>
      <c r="U129" s="509">
        <f>SUMIF('CF.2'!$H$112:$H$120,'CF.1'!E129,'CF.2'!$J$112:$J$120)+SUMIF('CF.2'!$K$112:$K$120,'CF.1'!E129,'CF.2'!$M$112:$M$120)</f>
        <v>0</v>
      </c>
      <c r="V129" s="510">
        <f t="shared" si="21"/>
        <v>-1401208582</v>
      </c>
      <c r="X129" s="512">
        <f t="shared" si="22"/>
        <v>2243392131</v>
      </c>
    </row>
    <row r="130" spans="4:24" ht="18" customHeight="1">
      <c r="D130" s="506" t="s">
        <v>919</v>
      </c>
      <c r="E130" s="507" t="s">
        <v>919</v>
      </c>
      <c r="F130" s="508"/>
      <c r="G130" s="507" t="s">
        <v>920</v>
      </c>
      <c r="H130" s="509">
        <v>0</v>
      </c>
      <c r="I130" s="509">
        <v>0</v>
      </c>
      <c r="J130" s="509">
        <v>0</v>
      </c>
      <c r="K130" s="509">
        <v>0</v>
      </c>
      <c r="L130" s="509">
        <v>0</v>
      </c>
      <c r="M130" s="509"/>
      <c r="N130" s="509">
        <v>0</v>
      </c>
      <c r="O130" s="510">
        <f t="shared" si="20"/>
        <v>0</v>
      </c>
      <c r="Q130" s="511">
        <f>SUMIF('CF.2'!$H$5:$H$24,'CF.1'!E130,'CF.2'!$J$5:$J$24)-SUMIF('CF.2'!$K$5:$K$24,'CF.1'!E130,'CF.2'!$M$5:$M$24)</f>
        <v>0</v>
      </c>
      <c r="R130" s="509">
        <f>SUMIF('CF.2'!$H$30:$H$59,'CF.1'!E130,'CF.2'!$J$30:$J$59)+SUMIF('CF.2'!$K$30:$K$59,'CF.1'!E130,'CF.2'!$M$30:$M$59)</f>
        <v>0</v>
      </c>
      <c r="S130" s="509">
        <f>SUMIF('CF.2'!$H$64:$H$97,'CF.1'!E130,'CF.2'!$J$64:$J$97)+SUMIF('CF.2'!$K$64:$K$97,'CF.1'!E130,'CF.2'!$M$64:$M$97)</f>
        <v>0</v>
      </c>
      <c r="T130" s="509">
        <f>SUMIF('CF.2'!$H$101:$H$107,'CF.1'!E130,'CF.2'!$J$101:$J$107)+SUMIF('CF.2'!$K$101:$K$107,'CF.1'!E130,'CF.2'!$M$101:$M$107)</f>
        <v>0</v>
      </c>
      <c r="U130" s="509">
        <f>SUMIF('CF.2'!$H$112:$H$120,'CF.1'!E130,'CF.2'!$J$112:$J$120)+SUMIF('CF.2'!$K$112:$K$120,'CF.1'!E130,'CF.2'!$M$112:$M$120)</f>
        <v>0</v>
      </c>
      <c r="V130" s="510">
        <f t="shared" si="21"/>
        <v>0</v>
      </c>
      <c r="X130" s="512">
        <f t="shared" si="22"/>
        <v>0</v>
      </c>
    </row>
    <row r="131" spans="4:24" ht="18" customHeight="1">
      <c r="D131" s="506" t="s">
        <v>921</v>
      </c>
      <c r="E131" s="507" t="s">
        <v>921</v>
      </c>
      <c r="F131" s="508" t="s">
        <v>1479</v>
      </c>
      <c r="G131" s="507" t="s">
        <v>922</v>
      </c>
      <c r="H131" s="509">
        <v>-587904743</v>
      </c>
      <c r="I131" s="509">
        <v>0</v>
      </c>
      <c r="J131" s="509">
        <v>0</v>
      </c>
      <c r="K131" s="509">
        <v>5756547</v>
      </c>
      <c r="L131" s="509">
        <v>-601205</v>
      </c>
      <c r="M131" s="509"/>
      <c r="N131" s="509">
        <v>122252165</v>
      </c>
      <c r="O131" s="510">
        <f t="shared" si="20"/>
        <v>-460497236</v>
      </c>
      <c r="Q131" s="511">
        <f>SUMIF('CF.2'!$H$5:$H$24,'CF.1'!E131,'CF.2'!$J$5:$J$24)-SUMIF('CF.2'!$K$5:$K$24,'CF.1'!E131,'CF.2'!$M$5:$M$24)</f>
        <v>0</v>
      </c>
      <c r="R131" s="509">
        <f>SUMIF('CF.2'!$H$30:$H$59,'CF.1'!E131,'CF.2'!$J$30:$J$59)+SUMIF('CF.2'!$K$30:$K$59,'CF.1'!E131,'CF.2'!$M$30:$M$59)</f>
        <v>0</v>
      </c>
      <c r="S131" s="509">
        <f>SUMIF('CF.2'!$H$64:$H$97,'CF.1'!E131,'CF.2'!$J$64:$J$97)+SUMIF('CF.2'!$K$64:$K$97,'CF.1'!E131,'CF.2'!$M$64:$M$97)</f>
        <v>0</v>
      </c>
      <c r="T131" s="509">
        <f>SUMIF('CF.2'!$H$101:$H$107,'CF.1'!E131,'CF.2'!$J$101:$J$107)+SUMIF('CF.2'!$K$101:$K$107,'CF.1'!E131,'CF.2'!$M$101:$M$107)</f>
        <v>0</v>
      </c>
      <c r="U131" s="509">
        <f>SUMIF('CF.2'!$H$112:$H$120,'CF.1'!E131,'CF.2'!$J$112:$J$120)+SUMIF('CF.2'!$K$112:$K$120,'CF.1'!E131,'CF.2'!$M$112:$M$120)</f>
        <v>0</v>
      </c>
      <c r="V131" s="510">
        <f t="shared" si="21"/>
        <v>0</v>
      </c>
      <c r="X131" s="512">
        <f t="shared" si="22"/>
        <v>-460497236</v>
      </c>
    </row>
    <row r="132" spans="4:24" ht="18" customHeight="1">
      <c r="D132" s="506" t="s">
        <v>923</v>
      </c>
      <c r="E132" s="507" t="s">
        <v>923</v>
      </c>
      <c r="F132" s="508" t="s">
        <v>1478</v>
      </c>
      <c r="G132" s="507" t="s">
        <v>924</v>
      </c>
      <c r="H132" s="509">
        <v>0</v>
      </c>
      <c r="I132" s="509">
        <v>0</v>
      </c>
      <c r="J132" s="509">
        <v>0</v>
      </c>
      <c r="K132" s="509">
        <v>0</v>
      </c>
      <c r="L132" s="509">
        <v>0</v>
      </c>
      <c r="M132" s="509"/>
      <c r="N132" s="509">
        <v>0</v>
      </c>
      <c r="O132" s="510">
        <f t="shared" si="20"/>
        <v>0</v>
      </c>
      <c r="Q132" s="511">
        <f>SUMIF('CF.2'!$H$5:$H$24,'CF.1'!E132,'CF.2'!$J$5:$J$24)-SUMIF('CF.2'!$K$5:$K$24,'CF.1'!E132,'CF.2'!$M$5:$M$24)</f>
        <v>0</v>
      </c>
      <c r="R132" s="509">
        <f>SUMIF('CF.2'!$H$30:$H$59,'CF.1'!E132,'CF.2'!$J$30:$J$59)+SUMIF('CF.2'!$K$30:$K$59,'CF.1'!E132,'CF.2'!$M$30:$M$59)</f>
        <v>0</v>
      </c>
      <c r="S132" s="509">
        <f>SUMIF('CF.2'!$H$64:$H$97,'CF.1'!E132,'CF.2'!$J$64:$J$97)+SUMIF('CF.2'!$K$64:$K$97,'CF.1'!E132,'CF.2'!$M$64:$M$97)</f>
        <v>0</v>
      </c>
      <c r="T132" s="509">
        <f>SUMIF('CF.2'!$H$101:$H$107,'CF.1'!E132,'CF.2'!$J$101:$J$107)+SUMIF('CF.2'!$K$101:$K$107,'CF.1'!E132,'CF.2'!$M$101:$M$107)</f>
        <v>0</v>
      </c>
      <c r="U132" s="509">
        <f>SUMIF('CF.2'!$H$112:$H$120,'CF.1'!E132,'CF.2'!$J$112:$J$120)+SUMIF('CF.2'!$K$112:$K$120,'CF.1'!E132,'CF.2'!$M$112:$M$120)</f>
        <v>0</v>
      </c>
      <c r="V132" s="510">
        <f t="shared" si="21"/>
        <v>0</v>
      </c>
      <c r="X132" s="512">
        <f t="shared" si="22"/>
        <v>0</v>
      </c>
    </row>
    <row r="133" spans="4:24" ht="18" customHeight="1">
      <c r="D133" s="506" t="s">
        <v>925</v>
      </c>
      <c r="E133" s="507" t="s">
        <v>925</v>
      </c>
      <c r="F133" s="508"/>
      <c r="G133" s="507" t="s">
        <v>926</v>
      </c>
      <c r="H133" s="509">
        <v>0</v>
      </c>
      <c r="I133" s="509">
        <v>0</v>
      </c>
      <c r="J133" s="509">
        <v>0</v>
      </c>
      <c r="K133" s="509">
        <v>0</v>
      </c>
      <c r="L133" s="509">
        <v>0</v>
      </c>
      <c r="M133" s="509"/>
      <c r="N133" s="509">
        <v>0</v>
      </c>
      <c r="O133" s="510">
        <f t="shared" si="20"/>
        <v>0</v>
      </c>
      <c r="Q133" s="511">
        <f>SUMIF('CF.2'!$H$5:$H$24,'CF.1'!E133,'CF.2'!$J$5:$J$24)-SUMIF('CF.2'!$K$5:$K$24,'CF.1'!E133,'CF.2'!$M$5:$M$24)</f>
        <v>0</v>
      </c>
      <c r="R133" s="509">
        <f>SUMIF('CF.2'!$H$30:$H$59,'CF.1'!E133,'CF.2'!$J$30:$J$59)+SUMIF('CF.2'!$K$30:$K$59,'CF.1'!E133,'CF.2'!$M$30:$M$59)</f>
        <v>0</v>
      </c>
      <c r="S133" s="509">
        <f>SUMIF('CF.2'!$H$64:$H$97,'CF.1'!E133,'CF.2'!$J$64:$J$97)+SUMIF('CF.2'!$K$64:$K$97,'CF.1'!E133,'CF.2'!$M$64:$M$97)</f>
        <v>0</v>
      </c>
      <c r="T133" s="509">
        <f>SUMIF('CF.2'!$H$101:$H$107,'CF.1'!E133,'CF.2'!$J$101:$J$107)+SUMIF('CF.2'!$K$101:$K$107,'CF.1'!E133,'CF.2'!$M$101:$M$107)</f>
        <v>0</v>
      </c>
      <c r="U133" s="509">
        <f>SUMIF('CF.2'!$H$112:$H$120,'CF.1'!E133,'CF.2'!$J$112:$J$120)+SUMIF('CF.2'!$K$112:$K$120,'CF.1'!E133,'CF.2'!$M$112:$M$120)</f>
        <v>0</v>
      </c>
      <c r="V133" s="510">
        <f t="shared" si="21"/>
        <v>0</v>
      </c>
      <c r="X133" s="512">
        <f t="shared" si="22"/>
        <v>0</v>
      </c>
    </row>
    <row r="134" spans="4:24" ht="18" customHeight="1">
      <c r="D134" s="506" t="s">
        <v>927</v>
      </c>
      <c r="E134" s="507" t="s">
        <v>927</v>
      </c>
      <c r="F134" s="508" t="s">
        <v>1479</v>
      </c>
      <c r="G134" s="507" t="s">
        <v>928</v>
      </c>
      <c r="H134" s="509">
        <v>0</v>
      </c>
      <c r="I134" s="509">
        <v>0</v>
      </c>
      <c r="J134" s="509">
        <v>0</v>
      </c>
      <c r="K134" s="509">
        <v>0</v>
      </c>
      <c r="L134" s="509">
        <v>-28876620</v>
      </c>
      <c r="M134" s="509"/>
      <c r="N134" s="509">
        <v>0</v>
      </c>
      <c r="O134" s="510">
        <f t="shared" si="20"/>
        <v>-28876620</v>
      </c>
      <c r="Q134" s="511">
        <f>SUMIF('CF.2'!$H$5:$H$24,'CF.1'!E134,'CF.2'!$J$5:$J$24)-SUMIF('CF.2'!$K$5:$K$24,'CF.1'!E134,'CF.2'!$M$5:$M$24)</f>
        <v>0</v>
      </c>
      <c r="R134" s="509">
        <f>SUMIF('CF.2'!$H$30:$H$59,'CF.1'!E134,'CF.2'!$J$30:$J$59)+SUMIF('CF.2'!$K$30:$K$59,'CF.1'!E134,'CF.2'!$M$30:$M$59)</f>
        <v>0</v>
      </c>
      <c r="S134" s="509">
        <f>SUMIF('CF.2'!$H$64:$H$97,'CF.1'!E134,'CF.2'!$J$64:$J$97)+SUMIF('CF.2'!$K$64:$K$97,'CF.1'!E134,'CF.2'!$M$64:$M$97)</f>
        <v>0</v>
      </c>
      <c r="T134" s="509">
        <f>SUMIF('CF.2'!$H$101:$H$107,'CF.1'!E134,'CF.2'!$J$101:$J$107)+SUMIF('CF.2'!$K$101:$K$107,'CF.1'!E134,'CF.2'!$M$101:$M$107)</f>
        <v>0</v>
      </c>
      <c r="U134" s="509">
        <f>SUMIF('CF.2'!$H$112:$H$120,'CF.1'!E134,'CF.2'!$J$112:$J$120)+SUMIF('CF.2'!$K$112:$K$120,'CF.1'!E134,'CF.2'!$M$112:$M$120)</f>
        <v>0</v>
      </c>
      <c r="V134" s="510">
        <f t="shared" si="21"/>
        <v>0</v>
      </c>
      <c r="X134" s="512">
        <f t="shared" si="22"/>
        <v>-28876620</v>
      </c>
    </row>
    <row r="135" spans="4:24" ht="18" customHeight="1">
      <c r="D135" s="506" t="s">
        <v>929</v>
      </c>
      <c r="E135" s="507" t="s">
        <v>929</v>
      </c>
      <c r="F135" s="508" t="s">
        <v>1480</v>
      </c>
      <c r="G135" s="507" t="s">
        <v>930</v>
      </c>
      <c r="H135" s="509">
        <v>-1729467767</v>
      </c>
      <c r="I135" s="509">
        <v>1753620</v>
      </c>
      <c r="J135" s="509">
        <v>443811263</v>
      </c>
      <c r="K135" s="509">
        <v>39976622</v>
      </c>
      <c r="L135" s="509">
        <v>-605084540</v>
      </c>
      <c r="M135" s="509"/>
      <c r="N135" s="509">
        <v>25000</v>
      </c>
      <c r="O135" s="510">
        <f t="shared" si="20"/>
        <v>-1848985802</v>
      </c>
      <c r="Q135" s="511">
        <f>SUMIF('CF.2'!$H$5:$H$24,'CF.1'!E135,'CF.2'!$J$5:$J$24)-SUMIF('CF.2'!$K$5:$K$24,'CF.1'!E135,'CF.2'!$M$5:$M$24)</f>
        <v>0</v>
      </c>
      <c r="R135" s="509">
        <f>SUMIF('CF.2'!$H$30:$H$59,'CF.1'!E135,'CF.2'!$J$30:$J$59)+SUMIF('CF.2'!$K$30:$K$59,'CF.1'!E135,'CF.2'!$M$30:$M$59)</f>
        <v>-556469157</v>
      </c>
      <c r="S135" s="509">
        <f>SUMIF('CF.2'!$H$64:$H$97,'CF.1'!E135,'CF.2'!$J$64:$J$97)+SUMIF('CF.2'!$K$64:$K$97,'CF.1'!E135,'CF.2'!$M$64:$M$97)</f>
        <v>0</v>
      </c>
      <c r="T135" s="509">
        <f>SUMIF('CF.2'!$H$101:$H$107,'CF.1'!E135,'CF.2'!$J$101:$J$107)+SUMIF('CF.2'!$K$101:$K$107,'CF.1'!E135,'CF.2'!$M$101:$M$107)</f>
        <v>0</v>
      </c>
      <c r="U135" s="509">
        <f>SUMIF('CF.2'!$H$112:$H$120,'CF.1'!E135,'CF.2'!$J$112:$J$120)+SUMIF('CF.2'!$K$112:$K$120,'CF.1'!E135,'CF.2'!$M$112:$M$120)</f>
        <v>0</v>
      </c>
      <c r="V135" s="510">
        <f t="shared" si="21"/>
        <v>-556469157</v>
      </c>
      <c r="X135" s="512">
        <f t="shared" si="22"/>
        <v>-2405454959</v>
      </c>
    </row>
    <row r="136" spans="4:24" ht="18" customHeight="1">
      <c r="D136" s="506" t="s">
        <v>931</v>
      </c>
      <c r="E136" s="507" t="s">
        <v>931</v>
      </c>
      <c r="F136" s="508"/>
      <c r="G136" s="507" t="s">
        <v>932</v>
      </c>
      <c r="H136" s="509">
        <v>0</v>
      </c>
      <c r="I136" s="509">
        <v>0</v>
      </c>
      <c r="J136" s="509">
        <v>0</v>
      </c>
      <c r="K136" s="509">
        <v>0</v>
      </c>
      <c r="L136" s="509">
        <v>0</v>
      </c>
      <c r="M136" s="509"/>
      <c r="N136" s="509">
        <v>0</v>
      </c>
      <c r="O136" s="510">
        <f t="shared" si="20"/>
        <v>0</v>
      </c>
      <c r="Q136" s="511">
        <f>SUMIF('CF.2'!$H$5:$H$24,'CF.1'!E136,'CF.2'!$J$5:$J$24)-SUMIF('CF.2'!$K$5:$K$24,'CF.1'!E136,'CF.2'!$M$5:$M$24)</f>
        <v>0</v>
      </c>
      <c r="R136" s="509">
        <f>SUMIF('CF.2'!$H$30:$H$59,'CF.1'!E136,'CF.2'!$J$30:$J$59)+SUMIF('CF.2'!$K$30:$K$59,'CF.1'!E136,'CF.2'!$M$30:$M$59)</f>
        <v>0</v>
      </c>
      <c r="S136" s="509">
        <f>SUMIF('CF.2'!$H$64:$H$97,'CF.1'!E136,'CF.2'!$J$64:$J$97)+SUMIF('CF.2'!$K$64:$K$97,'CF.1'!E136,'CF.2'!$M$64:$M$97)</f>
        <v>0</v>
      </c>
      <c r="T136" s="509">
        <f>SUMIF('CF.2'!$H$101:$H$107,'CF.1'!E136,'CF.2'!$J$101:$J$107)+SUMIF('CF.2'!$K$101:$K$107,'CF.1'!E136,'CF.2'!$M$101:$M$107)</f>
        <v>0</v>
      </c>
      <c r="U136" s="509">
        <f>SUMIF('CF.2'!$H$112:$H$120,'CF.1'!E136,'CF.2'!$J$112:$J$120)+SUMIF('CF.2'!$K$112:$K$120,'CF.1'!E136,'CF.2'!$M$112:$M$120)</f>
        <v>0</v>
      </c>
      <c r="V136" s="510">
        <f t="shared" si="21"/>
        <v>0</v>
      </c>
      <c r="X136" s="512">
        <f t="shared" si="22"/>
        <v>0</v>
      </c>
    </row>
    <row r="137" spans="4:24" ht="18" customHeight="1">
      <c r="D137" s="506" t="s">
        <v>933</v>
      </c>
      <c r="E137" s="507" t="s">
        <v>933</v>
      </c>
      <c r="F137" s="508"/>
      <c r="G137" s="507" t="s">
        <v>934</v>
      </c>
      <c r="H137" s="509">
        <v>0</v>
      </c>
      <c r="I137" s="509">
        <v>0</v>
      </c>
      <c r="J137" s="509">
        <v>0</v>
      </c>
      <c r="K137" s="509">
        <v>0</v>
      </c>
      <c r="L137" s="509">
        <v>0</v>
      </c>
      <c r="M137" s="509"/>
      <c r="N137" s="509">
        <v>0</v>
      </c>
      <c r="O137" s="510">
        <f t="shared" si="20"/>
        <v>0</v>
      </c>
      <c r="Q137" s="511">
        <f>SUMIF('CF.2'!$H$5:$H$24,'CF.1'!E137,'CF.2'!$J$5:$J$24)-SUMIF('CF.2'!$K$5:$K$24,'CF.1'!E137,'CF.2'!$M$5:$M$24)</f>
        <v>0</v>
      </c>
      <c r="R137" s="509">
        <f>SUMIF('CF.2'!$H$30:$H$59,'CF.1'!E137,'CF.2'!$J$30:$J$59)+SUMIF('CF.2'!$K$30:$K$59,'CF.1'!E137,'CF.2'!$M$30:$M$59)</f>
        <v>0</v>
      </c>
      <c r="S137" s="509">
        <f>SUMIF('CF.2'!$H$64:$H$97,'CF.1'!E137,'CF.2'!$J$64:$J$97)+SUMIF('CF.2'!$K$64:$K$97,'CF.1'!E137,'CF.2'!$M$64:$M$97)</f>
        <v>0</v>
      </c>
      <c r="T137" s="509">
        <f>SUMIF('CF.2'!$H$101:$H$107,'CF.1'!E137,'CF.2'!$J$101:$J$107)+SUMIF('CF.2'!$K$101:$K$107,'CF.1'!E137,'CF.2'!$M$101:$M$107)</f>
        <v>0</v>
      </c>
      <c r="U137" s="509">
        <f>SUMIF('CF.2'!$H$112:$H$120,'CF.1'!E137,'CF.2'!$J$112:$J$120)+SUMIF('CF.2'!$K$112:$K$120,'CF.1'!E137,'CF.2'!$M$112:$M$120)</f>
        <v>0</v>
      </c>
      <c r="V137" s="510">
        <f t="shared" si="21"/>
        <v>0</v>
      </c>
      <c r="X137" s="512">
        <f t="shared" si="22"/>
        <v>0</v>
      </c>
    </row>
    <row r="138" spans="4:24" ht="18" customHeight="1">
      <c r="D138" s="506" t="s">
        <v>935</v>
      </c>
      <c r="E138" s="507" t="s">
        <v>935</v>
      </c>
      <c r="F138" s="508"/>
      <c r="G138" s="507" t="s">
        <v>936</v>
      </c>
      <c r="H138" s="509">
        <v>0</v>
      </c>
      <c r="I138" s="509">
        <v>0</v>
      </c>
      <c r="J138" s="509">
        <v>0</v>
      </c>
      <c r="K138" s="509">
        <v>0</v>
      </c>
      <c r="L138" s="509">
        <v>0</v>
      </c>
      <c r="M138" s="509"/>
      <c r="N138" s="509">
        <v>0</v>
      </c>
      <c r="O138" s="510">
        <f t="shared" si="20"/>
        <v>0</v>
      </c>
      <c r="Q138" s="511">
        <f>SUMIF('CF.2'!$H$5:$H$24,'CF.1'!E138,'CF.2'!$J$5:$J$24)-SUMIF('CF.2'!$K$5:$K$24,'CF.1'!E138,'CF.2'!$M$5:$M$24)</f>
        <v>0</v>
      </c>
      <c r="R138" s="509">
        <f>SUMIF('CF.2'!$H$30:$H$59,'CF.1'!E138,'CF.2'!$J$30:$J$59)+SUMIF('CF.2'!$K$30:$K$59,'CF.1'!E138,'CF.2'!$M$30:$M$59)</f>
        <v>0</v>
      </c>
      <c r="S138" s="509">
        <f>SUMIF('CF.2'!$H$64:$H$97,'CF.1'!E138,'CF.2'!$J$64:$J$97)+SUMIF('CF.2'!$K$64:$K$97,'CF.1'!E138,'CF.2'!$M$64:$M$97)</f>
        <v>0</v>
      </c>
      <c r="T138" s="509">
        <f>SUMIF('CF.2'!$H$101:$H$107,'CF.1'!E138,'CF.2'!$J$101:$J$107)+SUMIF('CF.2'!$K$101:$K$107,'CF.1'!E138,'CF.2'!$M$101:$M$107)</f>
        <v>0</v>
      </c>
      <c r="U138" s="509">
        <f>SUMIF('CF.2'!$H$112:$H$120,'CF.1'!E138,'CF.2'!$J$112:$J$120)+SUMIF('CF.2'!$K$112:$K$120,'CF.1'!E138,'CF.2'!$M$112:$M$120)</f>
        <v>0</v>
      </c>
      <c r="V138" s="510">
        <f t="shared" si="21"/>
        <v>0</v>
      </c>
      <c r="X138" s="512">
        <f t="shared" si="22"/>
        <v>0</v>
      </c>
    </row>
    <row r="139" spans="4:24" ht="18" customHeight="1">
      <c r="D139" s="506" t="s">
        <v>937</v>
      </c>
      <c r="E139" s="507" t="s">
        <v>937</v>
      </c>
      <c r="F139" s="508"/>
      <c r="G139" s="507" t="s">
        <v>938</v>
      </c>
      <c r="H139" s="509">
        <v>0</v>
      </c>
      <c r="I139" s="509">
        <v>0</v>
      </c>
      <c r="J139" s="509">
        <v>0</v>
      </c>
      <c r="K139" s="509">
        <v>0</v>
      </c>
      <c r="L139" s="509">
        <v>0</v>
      </c>
      <c r="M139" s="509"/>
      <c r="N139" s="509">
        <v>0</v>
      </c>
      <c r="O139" s="510">
        <f t="shared" si="20"/>
        <v>0</v>
      </c>
      <c r="Q139" s="511">
        <f>SUMIF('CF.2'!$H$5:$H$24,'CF.1'!E139,'CF.2'!$J$5:$J$24)-SUMIF('CF.2'!$K$5:$K$24,'CF.1'!E139,'CF.2'!$M$5:$M$24)</f>
        <v>0</v>
      </c>
      <c r="R139" s="509">
        <f>SUMIF('CF.2'!$H$30:$H$59,'CF.1'!E139,'CF.2'!$J$30:$J$59)+SUMIF('CF.2'!$K$30:$K$59,'CF.1'!E139,'CF.2'!$M$30:$M$59)</f>
        <v>0</v>
      </c>
      <c r="S139" s="509">
        <f>SUMIF('CF.2'!$H$64:$H$97,'CF.1'!E139,'CF.2'!$J$64:$J$97)+SUMIF('CF.2'!$K$64:$K$97,'CF.1'!E139,'CF.2'!$M$64:$M$97)</f>
        <v>0</v>
      </c>
      <c r="T139" s="509">
        <f>SUMIF('CF.2'!$H$101:$H$107,'CF.1'!E139,'CF.2'!$J$101:$J$107)+SUMIF('CF.2'!$K$101:$K$107,'CF.1'!E139,'CF.2'!$M$101:$M$107)</f>
        <v>0</v>
      </c>
      <c r="U139" s="509">
        <f>SUMIF('CF.2'!$H$112:$H$120,'CF.1'!E139,'CF.2'!$J$112:$J$120)+SUMIF('CF.2'!$K$112:$K$120,'CF.1'!E139,'CF.2'!$M$112:$M$120)</f>
        <v>0</v>
      </c>
      <c r="V139" s="510">
        <f t="shared" si="21"/>
        <v>0</v>
      </c>
      <c r="X139" s="512">
        <f t="shared" si="22"/>
        <v>0</v>
      </c>
    </row>
    <row r="140" spans="4:24" ht="18" customHeight="1">
      <c r="D140" s="506" t="s">
        <v>939</v>
      </c>
      <c r="E140" s="507" t="s">
        <v>939</v>
      </c>
      <c r="F140" s="508"/>
      <c r="G140" s="507" t="s">
        <v>940</v>
      </c>
      <c r="H140" s="509">
        <v>0</v>
      </c>
      <c r="I140" s="509">
        <v>0</v>
      </c>
      <c r="J140" s="509">
        <v>0</v>
      </c>
      <c r="K140" s="509">
        <v>0</v>
      </c>
      <c r="L140" s="509">
        <v>0</v>
      </c>
      <c r="M140" s="509"/>
      <c r="N140" s="509">
        <v>0</v>
      </c>
      <c r="O140" s="510">
        <f t="shared" si="20"/>
        <v>0</v>
      </c>
      <c r="Q140" s="511">
        <f>SUMIF('CF.2'!$H$5:$H$24,'CF.1'!E140,'CF.2'!$J$5:$J$24)-SUMIF('CF.2'!$K$5:$K$24,'CF.1'!E140,'CF.2'!$M$5:$M$24)</f>
        <v>0</v>
      </c>
      <c r="R140" s="509">
        <f>SUMIF('CF.2'!$H$30:$H$59,'CF.1'!E140,'CF.2'!$J$30:$J$59)+SUMIF('CF.2'!$K$30:$K$59,'CF.1'!E140,'CF.2'!$M$30:$M$59)</f>
        <v>0</v>
      </c>
      <c r="S140" s="509">
        <f>SUMIF('CF.2'!$H$64:$H$97,'CF.1'!E140,'CF.2'!$J$64:$J$97)+SUMIF('CF.2'!$K$64:$K$97,'CF.1'!E140,'CF.2'!$M$64:$M$97)</f>
        <v>0</v>
      </c>
      <c r="T140" s="509">
        <f>SUMIF('CF.2'!$H$101:$H$107,'CF.1'!E140,'CF.2'!$J$101:$J$107)+SUMIF('CF.2'!$K$101:$K$107,'CF.1'!E140,'CF.2'!$M$101:$M$107)</f>
        <v>0</v>
      </c>
      <c r="U140" s="509">
        <f>SUMIF('CF.2'!$H$112:$H$120,'CF.1'!E140,'CF.2'!$J$112:$J$120)+SUMIF('CF.2'!$K$112:$K$120,'CF.1'!E140,'CF.2'!$M$112:$M$120)</f>
        <v>0</v>
      </c>
      <c r="V140" s="510">
        <f t="shared" si="21"/>
        <v>0</v>
      </c>
      <c r="X140" s="512">
        <f t="shared" si="22"/>
        <v>0</v>
      </c>
    </row>
    <row r="141" spans="4:24" ht="18" customHeight="1">
      <c r="D141" s="506" t="s">
        <v>941</v>
      </c>
      <c r="E141" s="507" t="s">
        <v>941</v>
      </c>
      <c r="F141" s="508" t="s">
        <v>1968</v>
      </c>
      <c r="G141" s="507" t="s">
        <v>942</v>
      </c>
      <c r="H141" s="509">
        <v>0</v>
      </c>
      <c r="I141" s="509">
        <v>0</v>
      </c>
      <c r="J141" s="509">
        <v>0</v>
      </c>
      <c r="K141" s="509">
        <v>0</v>
      </c>
      <c r="L141" s="509">
        <v>0</v>
      </c>
      <c r="M141" s="509"/>
      <c r="N141" s="509">
        <v>0</v>
      </c>
      <c r="O141" s="510">
        <f t="shared" si="20"/>
        <v>0</v>
      </c>
      <c r="Q141" s="511">
        <f>SUMIF('CF.2'!$H$5:$H$24,'CF.1'!E141,'CF.2'!$J$5:$J$24)-SUMIF('CF.2'!$K$5:$K$24,'CF.1'!E141,'CF.2'!$M$5:$M$24)</f>
        <v>0</v>
      </c>
      <c r="R141" s="509">
        <f>SUMIF('CF.2'!$H$30:$H$59,'CF.1'!E141,'CF.2'!$J$30:$J$59)+SUMIF('CF.2'!$K$30:$K$59,'CF.1'!E141,'CF.2'!$M$30:$M$59)</f>
        <v>0</v>
      </c>
      <c r="S141" s="509">
        <f>SUMIF('CF.2'!$H$64:$H$97,'CF.1'!E141,'CF.2'!$J$64:$J$97)+SUMIF('CF.2'!$K$64:$K$97,'CF.1'!E141,'CF.2'!$M$64:$M$97)</f>
        <v>0</v>
      </c>
      <c r="T141" s="509">
        <f>SUMIF('CF.2'!$H$101:$H$107,'CF.1'!E141,'CF.2'!$J$101:$J$107)+SUMIF('CF.2'!$K$101:$K$107,'CF.1'!E141,'CF.2'!$M$101:$M$107)</f>
        <v>0</v>
      </c>
      <c r="U141" s="509">
        <f>SUMIF('CF.2'!$H$112:$H$120,'CF.1'!E141,'CF.2'!$J$112:$J$120)+SUMIF('CF.2'!$K$112:$K$120,'CF.1'!E141,'CF.2'!$M$112:$M$120)</f>
        <v>-300136621</v>
      </c>
      <c r="V141" s="510">
        <f t="shared" si="21"/>
        <v>-300136621</v>
      </c>
      <c r="X141" s="512">
        <f t="shared" si="22"/>
        <v>-300136621</v>
      </c>
    </row>
    <row r="142" spans="4:24" ht="18" customHeight="1">
      <c r="D142" s="506" t="s">
        <v>943</v>
      </c>
      <c r="E142" s="507" t="s">
        <v>943</v>
      </c>
      <c r="F142" s="508"/>
      <c r="G142" s="507" t="s">
        <v>944</v>
      </c>
      <c r="H142" s="509">
        <v>0</v>
      </c>
      <c r="I142" s="509">
        <v>0</v>
      </c>
      <c r="J142" s="509">
        <v>0</v>
      </c>
      <c r="K142" s="509">
        <v>0</v>
      </c>
      <c r="L142" s="509">
        <v>0</v>
      </c>
      <c r="M142" s="509"/>
      <c r="N142" s="509">
        <v>0</v>
      </c>
      <c r="O142" s="510">
        <f t="shared" si="20"/>
        <v>0</v>
      </c>
      <c r="Q142" s="511">
        <f>SUMIF('CF.2'!$H$5:$H$24,'CF.1'!E142,'CF.2'!$J$5:$J$24)-SUMIF('CF.2'!$K$5:$K$24,'CF.1'!E142,'CF.2'!$M$5:$M$24)</f>
        <v>0</v>
      </c>
      <c r="R142" s="509">
        <f>SUMIF('CF.2'!$H$30:$H$59,'CF.1'!E142,'CF.2'!$J$30:$J$59)+SUMIF('CF.2'!$K$30:$K$59,'CF.1'!E142,'CF.2'!$M$30:$M$59)</f>
        <v>0</v>
      </c>
      <c r="S142" s="509">
        <f>SUMIF('CF.2'!$H$64:$H$97,'CF.1'!E142,'CF.2'!$J$64:$J$97)+SUMIF('CF.2'!$K$64:$K$97,'CF.1'!E142,'CF.2'!$M$64:$M$97)</f>
        <v>0</v>
      </c>
      <c r="T142" s="509">
        <f>SUMIF('CF.2'!$H$101:$H$107,'CF.1'!E142,'CF.2'!$J$101:$J$107)+SUMIF('CF.2'!$K$101:$K$107,'CF.1'!E142,'CF.2'!$M$101:$M$107)</f>
        <v>0</v>
      </c>
      <c r="U142" s="509">
        <f>SUMIF('CF.2'!$H$112:$H$120,'CF.1'!E142,'CF.2'!$J$112:$J$120)+SUMIF('CF.2'!$K$112:$K$120,'CF.1'!E142,'CF.2'!$M$112:$M$120)</f>
        <v>0</v>
      </c>
      <c r="V142" s="510">
        <f t="shared" si="21"/>
        <v>0</v>
      </c>
      <c r="X142" s="512">
        <f t="shared" si="22"/>
        <v>0</v>
      </c>
    </row>
    <row r="143" spans="4:24" ht="18" customHeight="1">
      <c r="D143" s="506" t="s">
        <v>945</v>
      </c>
      <c r="E143" s="507" t="s">
        <v>945</v>
      </c>
      <c r="F143" s="508" t="s">
        <v>1816</v>
      </c>
      <c r="G143" s="507" t="s">
        <v>946</v>
      </c>
      <c r="H143" s="509">
        <v>-129417744</v>
      </c>
      <c r="I143" s="509">
        <v>0</v>
      </c>
      <c r="J143" s="509">
        <v>283734</v>
      </c>
      <c r="K143" s="509">
        <v>0</v>
      </c>
      <c r="L143" s="509">
        <v>0</v>
      </c>
      <c r="M143" s="509"/>
      <c r="N143" s="509">
        <v>0</v>
      </c>
      <c r="O143" s="510">
        <f t="shared" si="20"/>
        <v>-129134010</v>
      </c>
      <c r="Q143" s="511">
        <f>SUMIF('CF.2'!$H$5:$H$24,'CF.1'!E143,'CF.2'!$J$5:$J$24)-SUMIF('CF.2'!$K$5:$K$24,'CF.1'!E143,'CF.2'!$M$5:$M$24)</f>
        <v>0</v>
      </c>
      <c r="R143" s="509">
        <f>SUMIF('CF.2'!$H$30:$H$59,'CF.1'!E143,'CF.2'!$J$30:$J$59)+SUMIF('CF.2'!$K$30:$K$59,'CF.1'!E143,'CF.2'!$M$30:$M$59)</f>
        <v>0</v>
      </c>
      <c r="S143" s="509">
        <f>SUMIF('CF.2'!$H$64:$H$97,'CF.1'!E143,'CF.2'!$J$64:$J$97)+SUMIF('CF.2'!$K$64:$K$97,'CF.1'!E143,'CF.2'!$M$64:$M$97)</f>
        <v>0</v>
      </c>
      <c r="T143" s="509">
        <f>SUMIF('CF.2'!$H$101:$H$107,'CF.1'!E143,'CF.2'!$J$101:$J$107)+SUMIF('CF.2'!$K$101:$K$107,'CF.1'!E143,'CF.2'!$M$101:$M$107)</f>
        <v>0</v>
      </c>
      <c r="U143" s="509">
        <f>SUMIF('CF.2'!$H$112:$H$120,'CF.1'!E143,'CF.2'!$J$112:$J$120)+SUMIF('CF.2'!$K$112:$K$120,'CF.1'!E143,'CF.2'!$M$112:$M$120)</f>
        <v>0</v>
      </c>
      <c r="V143" s="510">
        <f t="shared" si="21"/>
        <v>0</v>
      </c>
      <c r="X143" s="512">
        <f t="shared" si="22"/>
        <v>-129134010</v>
      </c>
    </row>
    <row r="144" spans="4:24" ht="18" customHeight="1">
      <c r="D144" s="506" t="s">
        <v>947</v>
      </c>
      <c r="E144" s="507" t="s">
        <v>947</v>
      </c>
      <c r="F144" s="508" t="s">
        <v>1481</v>
      </c>
      <c r="G144" s="507" t="s">
        <v>948</v>
      </c>
      <c r="H144" s="509">
        <v>8757942460</v>
      </c>
      <c r="I144" s="509">
        <v>167436536</v>
      </c>
      <c r="J144" s="509">
        <v>-219670805</v>
      </c>
      <c r="K144" s="509">
        <v>-76726950</v>
      </c>
      <c r="L144" s="509">
        <v>-173105086</v>
      </c>
      <c r="M144" s="509"/>
      <c r="N144" s="509">
        <v>1319699428</v>
      </c>
      <c r="O144" s="510">
        <f t="shared" si="20"/>
        <v>9775575583</v>
      </c>
      <c r="Q144" s="511">
        <f>SUMIF('CF.2'!$H$5:$H$24,'CF.1'!E144,'CF.2'!$J$5:$J$24)-SUMIF('CF.2'!$K$5:$K$24,'CF.1'!E144,'CF.2'!$M$5:$M$24)</f>
        <v>0</v>
      </c>
      <c r="R144" s="509">
        <f>SUMIF('CF.2'!$H$30:$H$59,'CF.1'!E144,'CF.2'!$J$30:$J$59)+SUMIF('CF.2'!$K$30:$K$59,'CF.1'!E144,'CF.2'!$M$30:$M$59)</f>
        <v>0</v>
      </c>
      <c r="S144" s="509">
        <f>SUMIF('CF.2'!$H$64:$H$97,'CF.1'!E144,'CF.2'!$J$64:$J$97)+SUMIF('CF.2'!$K$64:$K$97,'CF.1'!E144,'CF.2'!$M$64:$M$97)</f>
        <v>4740644524</v>
      </c>
      <c r="T144" s="509">
        <f>SUMIF('CF.2'!$H$101:$H$107,'CF.1'!E144,'CF.2'!$J$101:$J$107)+SUMIF('CF.2'!$K$101:$K$107,'CF.1'!E144,'CF.2'!$M$101:$M$107)</f>
        <v>0</v>
      </c>
      <c r="U144" s="509">
        <f>SUMIF('CF.2'!$H$112:$H$120,'CF.1'!E144,'CF.2'!$J$112:$J$120)+SUMIF('CF.2'!$K$112:$K$120,'CF.1'!E144,'CF.2'!$M$112:$M$120)</f>
        <v>0</v>
      </c>
      <c r="V144" s="510">
        <f t="shared" si="21"/>
        <v>4740644524</v>
      </c>
      <c r="X144" s="512">
        <f t="shared" si="22"/>
        <v>14516220107</v>
      </c>
    </row>
    <row r="145" spans="4:24" ht="18" customHeight="1">
      <c r="D145" s="506" t="s">
        <v>1005</v>
      </c>
      <c r="E145" s="507" t="s">
        <v>949</v>
      </c>
      <c r="F145" s="508" t="s">
        <v>1483</v>
      </c>
      <c r="G145" s="507" t="s">
        <v>950</v>
      </c>
      <c r="H145" s="509">
        <v>-342848993</v>
      </c>
      <c r="I145" s="509">
        <v>16416472</v>
      </c>
      <c r="J145" s="509">
        <v>0</v>
      </c>
      <c r="K145" s="509">
        <v>0</v>
      </c>
      <c r="L145" s="509">
        <v>-9339604</v>
      </c>
      <c r="M145" s="517"/>
      <c r="N145" s="509">
        <v>-2680026</v>
      </c>
      <c r="O145" s="510">
        <f t="shared" si="20"/>
        <v>-338452151</v>
      </c>
      <c r="Q145" s="511">
        <f>SUMIF('CF.2'!$H$5:$H$24,'CF.1'!E145,'CF.2'!$J$5:$J$24)-SUMIF('CF.2'!$K$5:$K$24,'CF.1'!E145,'CF.2'!$M$5:$M$24)</f>
        <v>0</v>
      </c>
      <c r="R145" s="509">
        <f>SUMIF('CF.2'!$H$30:$H$59,'CF.1'!E145,'CF.2'!$J$30:$J$59)+SUMIF('CF.2'!$K$30:$K$59,'CF.1'!E145,'CF.2'!$M$30:$M$59)</f>
        <v>0</v>
      </c>
      <c r="S145" s="509">
        <f>SUMIF('CF.2'!$H$64:$H$97,'CF.1'!E145,'CF.2'!$J$64:$J$97)+SUMIF('CF.2'!$K$64:$K$97,'CF.1'!E145,'CF.2'!$M$64:$M$97)</f>
        <v>219808582</v>
      </c>
      <c r="T145" s="509">
        <f>SUMIF('CF.2'!$H$101:$H$107,'CF.1'!E145,'CF.2'!$J$101:$J$107)+SUMIF('CF.2'!$K$101:$K$107,'CF.1'!E145,'CF.2'!$M$101:$M$107)</f>
        <v>0</v>
      </c>
      <c r="U145" s="509">
        <f>SUMIF('CF.2'!$H$112:$H$120,'CF.1'!E145,'CF.2'!$J$112:$J$120)+SUMIF('CF.2'!$K$112:$K$120,'CF.1'!E145,'CF.2'!$M$112:$M$120)</f>
        <v>0</v>
      </c>
      <c r="V145" s="510">
        <f t="shared" si="21"/>
        <v>219808582</v>
      </c>
      <c r="X145" s="512">
        <f t="shared" si="22"/>
        <v>-118643569</v>
      </c>
    </row>
    <row r="146" spans="4:24" ht="18" customHeight="1">
      <c r="D146" s="506" t="s">
        <v>951</v>
      </c>
      <c r="E146" s="507" t="s">
        <v>951</v>
      </c>
      <c r="F146" s="508" t="s">
        <v>1483</v>
      </c>
      <c r="G146" s="507" t="s">
        <v>952</v>
      </c>
      <c r="H146" s="509">
        <v>-7130232231</v>
      </c>
      <c r="I146" s="509">
        <v>0</v>
      </c>
      <c r="J146" s="509">
        <v>0</v>
      </c>
      <c r="K146" s="509">
        <v>-11089937</v>
      </c>
      <c r="L146" s="509">
        <v>3374397</v>
      </c>
      <c r="M146" s="517"/>
      <c r="N146" s="509">
        <v>19518482</v>
      </c>
      <c r="O146" s="510">
        <f t="shared" si="20"/>
        <v>-7118429289</v>
      </c>
      <c r="Q146" s="511">
        <f>SUMIF('CF.2'!$H$5:$H$24,'CF.1'!E146,'CF.2'!$J$5:$J$24)-SUMIF('CF.2'!$K$5:$K$24,'CF.1'!E146,'CF.2'!$M$5:$M$24)</f>
        <v>0</v>
      </c>
      <c r="R146" s="509">
        <f>SUMIF('CF.2'!$H$30:$H$59,'CF.1'!E146,'CF.2'!$J$30:$J$59)+SUMIF('CF.2'!$K$30:$K$59,'CF.1'!E146,'CF.2'!$M$30:$M$59)</f>
        <v>0</v>
      </c>
      <c r="S146" s="509">
        <f>SUMIF('CF.2'!$H$64:$H$97,'CF.1'!E146,'CF.2'!$J$64:$J$97)+SUMIF('CF.2'!$K$64:$K$97,'CF.1'!E146,'CF.2'!$M$64:$M$97)</f>
        <v>0</v>
      </c>
      <c r="T146" s="509">
        <f>SUMIF('CF.2'!$H$101:$H$107,'CF.1'!E146,'CF.2'!$J$101:$J$107)+SUMIF('CF.2'!$K$101:$K$107,'CF.1'!E146,'CF.2'!$M$101:$M$107)</f>
        <v>0</v>
      </c>
      <c r="U146" s="509">
        <f>SUMIF('CF.2'!$H$112:$H$120,'CF.1'!E146,'CF.2'!$J$112:$J$120)+SUMIF('CF.2'!$K$112:$K$120,'CF.1'!E146,'CF.2'!$M$112:$M$120)</f>
        <v>0</v>
      </c>
      <c r="V146" s="510">
        <f t="shared" si="21"/>
        <v>0</v>
      </c>
      <c r="X146" s="512">
        <f t="shared" si="22"/>
        <v>-7118429289</v>
      </c>
    </row>
    <row r="147" spans="4:24" ht="18" customHeight="1">
      <c r="D147" s="506" t="s">
        <v>1005</v>
      </c>
      <c r="E147" s="507" t="s">
        <v>953</v>
      </c>
      <c r="F147" s="508" t="s">
        <v>1483</v>
      </c>
      <c r="G147" s="507" t="s">
        <v>954</v>
      </c>
      <c r="H147" s="509">
        <v>3882797555</v>
      </c>
      <c r="I147" s="509">
        <v>0</v>
      </c>
      <c r="J147" s="509">
        <v>0</v>
      </c>
      <c r="K147" s="509">
        <v>0</v>
      </c>
      <c r="L147" s="509">
        <v>0</v>
      </c>
      <c r="M147" s="517"/>
      <c r="N147" s="509">
        <v>0</v>
      </c>
      <c r="O147" s="510">
        <f t="shared" si="20"/>
        <v>3882797555</v>
      </c>
      <c r="Q147" s="511">
        <f>SUMIF('CF.2'!$H$5:$H$24,'CF.1'!E147,'CF.2'!$J$5:$J$24)-SUMIF('CF.2'!$K$5:$K$24,'CF.1'!E147,'CF.2'!$M$5:$M$24)</f>
        <v>0</v>
      </c>
      <c r="R147" s="509">
        <f>SUMIF('CF.2'!$H$30:$H$59,'CF.1'!E147,'CF.2'!$J$30:$J$59)+SUMIF('CF.2'!$K$30:$K$59,'CF.1'!E147,'CF.2'!$M$30:$M$59)</f>
        <v>0</v>
      </c>
      <c r="S147" s="509">
        <f>SUMIF('CF.2'!$H$64:$H$97,'CF.1'!E147,'CF.2'!$J$64:$J$97)+SUMIF('CF.2'!$K$64:$K$97,'CF.1'!E147,'CF.2'!$M$64:$M$97)</f>
        <v>0</v>
      </c>
      <c r="T147" s="509">
        <f>SUMIF('CF.2'!$H$101:$H$107,'CF.1'!E147,'CF.2'!$J$101:$J$107)+SUMIF('CF.2'!$K$101:$K$107,'CF.1'!E147,'CF.2'!$M$101:$M$107)</f>
        <v>0</v>
      </c>
      <c r="U147" s="509">
        <f>SUMIF('CF.2'!$H$112:$H$120,'CF.1'!E147,'CF.2'!$J$112:$J$120)+SUMIF('CF.2'!$K$112:$K$120,'CF.1'!E147,'CF.2'!$M$112:$M$120)</f>
        <v>0</v>
      </c>
      <c r="V147" s="510">
        <f t="shared" si="21"/>
        <v>0</v>
      </c>
      <c r="X147" s="512">
        <f t="shared" si="22"/>
        <v>3882797555</v>
      </c>
    </row>
    <row r="148" spans="4:24" ht="18" customHeight="1">
      <c r="D148" s="506" t="s">
        <v>955</v>
      </c>
      <c r="E148" s="507" t="s">
        <v>955</v>
      </c>
      <c r="F148" s="508" t="s">
        <v>1482</v>
      </c>
      <c r="G148" s="507" t="s">
        <v>956</v>
      </c>
      <c r="H148" s="509">
        <v>1374327840</v>
      </c>
      <c r="I148" s="509">
        <v>-50246419</v>
      </c>
      <c r="J148" s="509">
        <v>-22255834</v>
      </c>
      <c r="K148" s="509">
        <v>-345677</v>
      </c>
      <c r="L148" s="509">
        <v>-1191830442</v>
      </c>
      <c r="M148" s="517"/>
      <c r="N148" s="509">
        <v>238857152</v>
      </c>
      <c r="O148" s="510">
        <f t="shared" si="20"/>
        <v>348506620</v>
      </c>
      <c r="Q148" s="511">
        <f>SUMIF('CF.2'!$H$5:$H$24,'CF.1'!E148,'CF.2'!$J$5:$J$24)-SUMIF('CF.2'!$K$5:$K$24,'CF.1'!E148,'CF.2'!$M$5:$M$24)</f>
        <v>0</v>
      </c>
      <c r="R148" s="509">
        <f>SUMIF('CF.2'!$H$30:$H$59,'CF.1'!E148,'CF.2'!$J$30:$J$59)+SUMIF('CF.2'!$K$30:$K$59,'CF.1'!E148,'CF.2'!$M$30:$M$59)</f>
        <v>0</v>
      </c>
      <c r="S148" s="509">
        <f>SUMIF('CF.2'!$H$64:$H$97,'CF.1'!E148,'CF.2'!$J$64:$J$97)+SUMIF('CF.2'!$K$64:$K$97,'CF.1'!E148,'CF.2'!$M$64:$M$97)</f>
        <v>338053100</v>
      </c>
      <c r="T148" s="509">
        <f>SUMIF('CF.2'!$H$101:$H$107,'CF.1'!E148,'CF.2'!$J$101:$J$107)+SUMIF('CF.2'!$K$101:$K$107,'CF.1'!E148,'CF.2'!$M$101:$M$107)</f>
        <v>0</v>
      </c>
      <c r="U148" s="509">
        <f>SUMIF('CF.2'!$H$112:$H$120,'CF.1'!E148,'CF.2'!$J$112:$J$120)+SUMIF('CF.2'!$K$112:$K$120,'CF.1'!E148,'CF.2'!$M$112:$M$120)</f>
        <v>0</v>
      </c>
      <c r="V148" s="510">
        <f t="shared" si="21"/>
        <v>338053100</v>
      </c>
      <c r="X148" s="512">
        <f t="shared" si="22"/>
        <v>686559720</v>
      </c>
    </row>
    <row r="149" spans="4:24" ht="18" customHeight="1">
      <c r="D149" s="506" t="s">
        <v>957</v>
      </c>
      <c r="E149" s="507" t="s">
        <v>957</v>
      </c>
      <c r="F149" s="508" t="s">
        <v>1482</v>
      </c>
      <c r="G149" s="507" t="s">
        <v>958</v>
      </c>
      <c r="H149" s="509">
        <v>1779118510</v>
      </c>
      <c r="I149" s="509">
        <v>0</v>
      </c>
      <c r="J149" s="509">
        <v>0</v>
      </c>
      <c r="K149" s="509">
        <v>-54431130</v>
      </c>
      <c r="L149" s="509">
        <v>-11609849</v>
      </c>
      <c r="M149" s="517"/>
      <c r="N149" s="509">
        <v>-61815941</v>
      </c>
      <c r="O149" s="510">
        <f t="shared" si="20"/>
        <v>1651261590</v>
      </c>
      <c r="Q149" s="511">
        <f>SUMIF('CF.2'!$H$5:$H$24,'CF.1'!E149,'CF.2'!$J$5:$J$24)-SUMIF('CF.2'!$K$5:$K$24,'CF.1'!E149,'CF.2'!$M$5:$M$24)</f>
        <v>0</v>
      </c>
      <c r="R149" s="509">
        <f>SUMIF('CF.2'!$H$30:$H$59,'CF.1'!E149,'CF.2'!$J$30:$J$59)+SUMIF('CF.2'!$K$30:$K$59,'CF.1'!E149,'CF.2'!$M$30:$M$59)</f>
        <v>0</v>
      </c>
      <c r="S149" s="509">
        <f>SUMIF('CF.2'!$H$64:$H$97,'CF.1'!E149,'CF.2'!$J$64:$J$97)+SUMIF('CF.2'!$K$64:$K$97,'CF.1'!E149,'CF.2'!$M$64:$M$97)</f>
        <v>57882548</v>
      </c>
      <c r="T149" s="509">
        <f>SUMIF('CF.2'!$H$101:$H$107,'CF.1'!E149,'CF.2'!$J$101:$J$107)+SUMIF('CF.2'!$K$101:$K$107,'CF.1'!E149,'CF.2'!$M$101:$M$107)</f>
        <v>0</v>
      </c>
      <c r="U149" s="509">
        <f>SUMIF('CF.2'!$H$112:$H$120,'CF.1'!E149,'CF.2'!$J$112:$J$120)+SUMIF('CF.2'!$K$112:$K$120,'CF.1'!E149,'CF.2'!$M$112:$M$120)</f>
        <v>0</v>
      </c>
      <c r="V149" s="510">
        <f t="shared" si="21"/>
        <v>57882548</v>
      </c>
      <c r="X149" s="512">
        <f t="shared" si="22"/>
        <v>1709144138</v>
      </c>
    </row>
    <row r="150" spans="4:24" ht="18" customHeight="1">
      <c r="D150" s="506" t="s">
        <v>959</v>
      </c>
      <c r="E150" s="507" t="s">
        <v>959</v>
      </c>
      <c r="F150" s="508" t="s">
        <v>1483</v>
      </c>
      <c r="G150" s="507" t="s">
        <v>960</v>
      </c>
      <c r="H150" s="509">
        <v>844545427</v>
      </c>
      <c r="I150" s="509">
        <v>0</v>
      </c>
      <c r="J150" s="509">
        <v>0</v>
      </c>
      <c r="K150" s="509">
        <v>0</v>
      </c>
      <c r="L150" s="509">
        <v>11098760</v>
      </c>
      <c r="M150" s="517"/>
      <c r="N150" s="509">
        <v>0</v>
      </c>
      <c r="O150" s="510">
        <f t="shared" si="20"/>
        <v>855644187</v>
      </c>
      <c r="Q150" s="511">
        <f>SUMIF('CF.2'!$H$5:$H$24,'CF.1'!E150,'CF.2'!$J$5:$J$24)-SUMIF('CF.2'!$K$5:$K$24,'CF.1'!E150,'CF.2'!$M$5:$M$24)</f>
        <v>0</v>
      </c>
      <c r="R150" s="509">
        <f>SUMIF('CF.2'!$H$30:$H$59,'CF.1'!E150,'CF.2'!$J$30:$J$59)+SUMIF('CF.2'!$K$30:$K$59,'CF.1'!E150,'CF.2'!$M$30:$M$59)</f>
        <v>0</v>
      </c>
      <c r="S150" s="509">
        <f>SUMIF('CF.2'!$H$64:$H$97,'CF.1'!E150,'CF.2'!$J$64:$J$97)+SUMIF('CF.2'!$K$64:$K$97,'CF.1'!E150,'CF.2'!$M$64:$M$97)</f>
        <v>0</v>
      </c>
      <c r="T150" s="509">
        <f>SUMIF('CF.2'!$H$101:$H$107,'CF.1'!E150,'CF.2'!$J$101:$J$107)+SUMIF('CF.2'!$K$101:$K$107,'CF.1'!E150,'CF.2'!$M$101:$M$107)</f>
        <v>0</v>
      </c>
      <c r="U150" s="509">
        <f>SUMIF('CF.2'!$H$112:$H$120,'CF.1'!E150,'CF.2'!$J$112:$J$120)+SUMIF('CF.2'!$K$112:$K$120,'CF.1'!E150,'CF.2'!$M$112:$M$120)</f>
        <v>0</v>
      </c>
      <c r="V150" s="510">
        <f t="shared" si="21"/>
        <v>0</v>
      </c>
      <c r="X150" s="512">
        <f t="shared" si="22"/>
        <v>855644187</v>
      </c>
    </row>
    <row r="151" spans="4:24" ht="18" customHeight="1">
      <c r="D151" s="506" t="s">
        <v>961</v>
      </c>
      <c r="E151" s="507" t="s">
        <v>961</v>
      </c>
      <c r="F151" s="508"/>
      <c r="G151" s="507" t="s">
        <v>962</v>
      </c>
      <c r="H151" s="509">
        <v>0</v>
      </c>
      <c r="I151" s="509">
        <v>0</v>
      </c>
      <c r="J151" s="509">
        <v>0</v>
      </c>
      <c r="K151" s="509">
        <v>0</v>
      </c>
      <c r="L151" s="509">
        <v>0</v>
      </c>
      <c r="M151" s="517"/>
      <c r="N151" s="509">
        <v>0</v>
      </c>
      <c r="O151" s="510">
        <f t="shared" si="20"/>
        <v>0</v>
      </c>
      <c r="Q151" s="511">
        <f>SUMIF('CF.2'!$H$5:$H$24,'CF.1'!E151,'CF.2'!$J$5:$J$24)-SUMIF('CF.2'!$K$5:$K$24,'CF.1'!E151,'CF.2'!$M$5:$M$24)</f>
        <v>0</v>
      </c>
      <c r="R151" s="509">
        <f>SUMIF('CF.2'!$H$30:$H$59,'CF.1'!E151,'CF.2'!$J$30:$J$59)+SUMIF('CF.2'!$K$30:$K$59,'CF.1'!E151,'CF.2'!$M$30:$M$59)</f>
        <v>0</v>
      </c>
      <c r="S151" s="509">
        <f>SUMIF('CF.2'!$H$64:$H$97,'CF.1'!E151,'CF.2'!$J$64:$J$97)+SUMIF('CF.2'!$K$64:$K$97,'CF.1'!E151,'CF.2'!$M$64:$M$97)</f>
        <v>0</v>
      </c>
      <c r="T151" s="509">
        <f>SUMIF('CF.2'!$H$101:$H$107,'CF.1'!E151,'CF.2'!$J$101:$J$107)+SUMIF('CF.2'!$K$101:$K$107,'CF.1'!E151,'CF.2'!$M$101:$M$107)</f>
        <v>0</v>
      </c>
      <c r="U151" s="509">
        <f>SUMIF('CF.2'!$H$112:$H$120,'CF.1'!E151,'CF.2'!$J$112:$J$120)+SUMIF('CF.2'!$K$112:$K$120,'CF.1'!E151,'CF.2'!$M$112:$M$120)</f>
        <v>0</v>
      </c>
      <c r="V151" s="510">
        <f t="shared" si="21"/>
        <v>0</v>
      </c>
      <c r="X151" s="512">
        <f t="shared" si="22"/>
        <v>0</v>
      </c>
    </row>
    <row r="152" spans="4:24" ht="18" customHeight="1">
      <c r="D152" s="506" t="s">
        <v>963</v>
      </c>
      <c r="E152" s="507" t="s">
        <v>963</v>
      </c>
      <c r="F152" s="508"/>
      <c r="G152" s="507" t="s">
        <v>964</v>
      </c>
      <c r="H152" s="509">
        <v>0</v>
      </c>
      <c r="I152" s="509">
        <v>0</v>
      </c>
      <c r="J152" s="509">
        <v>0</v>
      </c>
      <c r="K152" s="509">
        <v>0</v>
      </c>
      <c r="L152" s="509">
        <v>0</v>
      </c>
      <c r="M152" s="517"/>
      <c r="N152" s="509">
        <v>0</v>
      </c>
      <c r="O152" s="510">
        <f t="shared" si="20"/>
        <v>0</v>
      </c>
      <c r="Q152" s="511">
        <f>SUMIF('CF.2'!$H$5:$H$24,'CF.1'!E152,'CF.2'!$J$5:$J$24)-SUMIF('CF.2'!$K$5:$K$24,'CF.1'!E152,'CF.2'!$M$5:$M$24)</f>
        <v>0</v>
      </c>
      <c r="R152" s="509">
        <f>SUMIF('CF.2'!$H$30:$H$59,'CF.1'!E152,'CF.2'!$J$30:$J$59)+SUMIF('CF.2'!$K$30:$K$59,'CF.1'!E152,'CF.2'!$M$30:$M$59)</f>
        <v>0</v>
      </c>
      <c r="S152" s="509">
        <f>SUMIF('CF.2'!$H$64:$H$97,'CF.1'!E152,'CF.2'!$J$64:$J$97)+SUMIF('CF.2'!$K$64:$K$97,'CF.1'!E152,'CF.2'!$M$64:$M$97)</f>
        <v>0</v>
      </c>
      <c r="T152" s="509">
        <f>SUMIF('CF.2'!$H$101:$H$107,'CF.1'!E152,'CF.2'!$J$101:$J$107)+SUMIF('CF.2'!$K$101:$K$107,'CF.1'!E152,'CF.2'!$M$101:$M$107)</f>
        <v>0</v>
      </c>
      <c r="U152" s="509">
        <f>SUMIF('CF.2'!$H$112:$H$120,'CF.1'!E152,'CF.2'!$J$112:$J$120)+SUMIF('CF.2'!$K$112:$K$120,'CF.1'!E152,'CF.2'!$M$112:$M$120)</f>
        <v>0</v>
      </c>
      <c r="V152" s="510">
        <f t="shared" si="21"/>
        <v>0</v>
      </c>
      <c r="X152" s="512">
        <f t="shared" si="22"/>
        <v>0</v>
      </c>
    </row>
    <row r="153" spans="4:24" ht="18" customHeight="1">
      <c r="D153" s="506" t="s">
        <v>965</v>
      </c>
      <c r="E153" s="507" t="s">
        <v>965</v>
      </c>
      <c r="F153" s="508" t="s">
        <v>1483</v>
      </c>
      <c r="G153" s="507" t="s">
        <v>966</v>
      </c>
      <c r="H153" s="509">
        <v>0</v>
      </c>
      <c r="I153" s="509">
        <v>0</v>
      </c>
      <c r="J153" s="509">
        <v>0</v>
      </c>
      <c r="K153" s="509">
        <v>0</v>
      </c>
      <c r="L153" s="509">
        <v>0</v>
      </c>
      <c r="M153" s="517"/>
      <c r="N153" s="509">
        <v>0</v>
      </c>
      <c r="O153" s="510">
        <f t="shared" si="20"/>
        <v>0</v>
      </c>
      <c r="Q153" s="511">
        <f>SUMIF('CF.2'!$H$5:$H$24,'CF.1'!E153,'CF.2'!$J$5:$J$24)-SUMIF('CF.2'!$K$5:$K$24,'CF.1'!E153,'CF.2'!$M$5:$M$24)</f>
        <v>0</v>
      </c>
      <c r="R153" s="509">
        <f>SUMIF('CF.2'!$H$30:$H$59,'CF.1'!E153,'CF.2'!$J$30:$J$59)+SUMIF('CF.2'!$K$30:$K$59,'CF.1'!E153,'CF.2'!$M$30:$M$59)</f>
        <v>0</v>
      </c>
      <c r="S153" s="509">
        <f>SUMIF('CF.2'!$H$64:$H$97,'CF.1'!E153,'CF.2'!$J$64:$J$97)+SUMIF('CF.2'!$K$64:$K$97,'CF.1'!E153,'CF.2'!$M$64:$M$97)</f>
        <v>0</v>
      </c>
      <c r="T153" s="509">
        <f>SUMIF('CF.2'!$H$101:$H$107,'CF.1'!E153,'CF.2'!$J$101:$J$107)+SUMIF('CF.2'!$K$101:$K$107,'CF.1'!E153,'CF.2'!$M$101:$M$107)</f>
        <v>0</v>
      </c>
      <c r="U153" s="509">
        <f>SUMIF('CF.2'!$H$112:$H$120,'CF.1'!E153,'CF.2'!$J$112:$J$120)+SUMIF('CF.2'!$K$112:$K$120,'CF.1'!E153,'CF.2'!$M$112:$M$120)</f>
        <v>0</v>
      </c>
      <c r="V153" s="510">
        <f t="shared" si="21"/>
        <v>0</v>
      </c>
      <c r="X153" s="512">
        <f t="shared" si="22"/>
        <v>0</v>
      </c>
    </row>
    <row r="154" spans="4:24" ht="18" customHeight="1">
      <c r="D154" s="506" t="s">
        <v>967</v>
      </c>
      <c r="E154" s="507" t="s">
        <v>967</v>
      </c>
      <c r="F154" s="508" t="s">
        <v>1485</v>
      </c>
      <c r="G154" s="507" t="s">
        <v>968</v>
      </c>
      <c r="H154" s="509">
        <v>0</v>
      </c>
      <c r="I154" s="509">
        <v>0</v>
      </c>
      <c r="J154" s="509">
        <v>0</v>
      </c>
      <c r="K154" s="509">
        <v>0</v>
      </c>
      <c r="L154" s="509">
        <v>0</v>
      </c>
      <c r="M154" s="517"/>
      <c r="N154" s="509">
        <v>-6000000</v>
      </c>
      <c r="O154" s="510">
        <f t="shared" si="20"/>
        <v>-6000000</v>
      </c>
      <c r="Q154" s="511">
        <f>SUMIF('CF.2'!$H$5:$H$24,'CF.1'!E154,'CF.2'!$J$5:$J$24)-SUMIF('CF.2'!$K$5:$K$24,'CF.1'!E154,'CF.2'!$M$5:$M$24)</f>
        <v>0</v>
      </c>
      <c r="R154" s="509">
        <f>SUMIF('CF.2'!$H$30:$H$59,'CF.1'!E154,'CF.2'!$J$30:$J$59)+SUMIF('CF.2'!$K$30:$K$59,'CF.1'!E154,'CF.2'!$M$30:$M$59)</f>
        <v>0</v>
      </c>
      <c r="S154" s="509">
        <f>SUMIF('CF.2'!$H$64:$H$97,'CF.1'!E154,'CF.2'!$J$64:$J$97)+SUMIF('CF.2'!$K$64:$K$97,'CF.1'!E154,'CF.2'!$M$64:$M$97)</f>
        <v>0</v>
      </c>
      <c r="T154" s="509">
        <f>SUMIF('CF.2'!$H$101:$H$107,'CF.1'!E154,'CF.2'!$J$101:$J$107)+SUMIF('CF.2'!$K$101:$K$107,'CF.1'!E154,'CF.2'!$M$101:$M$107)</f>
        <v>0</v>
      </c>
      <c r="U154" s="509">
        <f>SUMIF('CF.2'!$H$112:$H$120,'CF.1'!E154,'CF.2'!$J$112:$J$120)+SUMIF('CF.2'!$K$112:$K$120,'CF.1'!E154,'CF.2'!$M$112:$M$120)</f>
        <v>0</v>
      </c>
      <c r="V154" s="510">
        <f t="shared" si="21"/>
        <v>0</v>
      </c>
      <c r="X154" s="512">
        <f t="shared" si="22"/>
        <v>-6000000</v>
      </c>
    </row>
    <row r="155" spans="4:24" ht="18" customHeight="1">
      <c r="D155" s="506" t="s">
        <v>969</v>
      </c>
      <c r="E155" s="507" t="s">
        <v>969</v>
      </c>
      <c r="F155" s="508"/>
      <c r="G155" s="507" t="s">
        <v>970</v>
      </c>
      <c r="H155" s="509">
        <v>0</v>
      </c>
      <c r="I155" s="509">
        <v>0</v>
      </c>
      <c r="J155" s="509">
        <v>0</v>
      </c>
      <c r="K155" s="509">
        <v>0</v>
      </c>
      <c r="L155" s="509">
        <v>0</v>
      </c>
      <c r="M155" s="517"/>
      <c r="N155" s="509">
        <v>0</v>
      </c>
      <c r="O155" s="510">
        <f t="shared" si="20"/>
        <v>0</v>
      </c>
      <c r="Q155" s="511">
        <f>SUMIF('CF.2'!$H$5:$H$24,'CF.1'!E155,'CF.2'!$J$5:$J$24)-SUMIF('CF.2'!$K$5:$K$24,'CF.1'!E155,'CF.2'!$M$5:$M$24)</f>
        <v>0</v>
      </c>
      <c r="R155" s="509">
        <f>SUMIF('CF.2'!$H$30:$H$59,'CF.1'!E155,'CF.2'!$J$30:$J$59)+SUMIF('CF.2'!$K$30:$K$59,'CF.1'!E155,'CF.2'!$M$30:$M$59)</f>
        <v>0</v>
      </c>
      <c r="S155" s="509">
        <f>SUMIF('CF.2'!$H$64:$H$97,'CF.1'!E155,'CF.2'!$J$64:$J$97)+SUMIF('CF.2'!$K$64:$K$97,'CF.1'!E155,'CF.2'!$M$64:$M$97)</f>
        <v>0</v>
      </c>
      <c r="T155" s="509">
        <f>SUMIF('CF.2'!$H$101:$H$107,'CF.1'!E155,'CF.2'!$J$101:$J$107)+SUMIF('CF.2'!$K$101:$K$107,'CF.1'!E155,'CF.2'!$M$101:$M$107)</f>
        <v>0</v>
      </c>
      <c r="U155" s="509">
        <f>SUMIF('CF.2'!$H$112:$H$120,'CF.1'!E155,'CF.2'!$J$112:$J$120)+SUMIF('CF.2'!$K$112:$K$120,'CF.1'!E155,'CF.2'!$M$112:$M$120)</f>
        <v>0</v>
      </c>
      <c r="V155" s="510">
        <f t="shared" si="21"/>
        <v>0</v>
      </c>
      <c r="X155" s="512">
        <f t="shared" si="22"/>
        <v>0</v>
      </c>
    </row>
    <row r="156" spans="4:24" ht="18" customHeight="1">
      <c r="D156" s="506" t="s">
        <v>971</v>
      </c>
      <c r="E156" s="507" t="s">
        <v>971</v>
      </c>
      <c r="F156" s="508" t="s">
        <v>1485</v>
      </c>
      <c r="G156" s="507" t="s">
        <v>972</v>
      </c>
      <c r="H156" s="509">
        <v>325680965</v>
      </c>
      <c r="I156" s="509">
        <v>0</v>
      </c>
      <c r="J156" s="509">
        <v>0</v>
      </c>
      <c r="K156" s="509">
        <v>0</v>
      </c>
      <c r="L156" s="509">
        <v>0</v>
      </c>
      <c r="M156" s="517"/>
      <c r="N156" s="509">
        <v>0</v>
      </c>
      <c r="O156" s="510">
        <f t="shared" si="20"/>
        <v>325680965</v>
      </c>
      <c r="Q156" s="511">
        <f>SUMIF('CF.2'!$H$5:$H$24,'CF.1'!E156,'CF.2'!$J$5:$J$24)-SUMIF('CF.2'!$K$5:$K$24,'CF.1'!E156,'CF.2'!$M$5:$M$24)</f>
        <v>0</v>
      </c>
      <c r="R156" s="509">
        <f>SUMIF('CF.2'!$H$30:$H$59,'CF.1'!E156,'CF.2'!$J$30:$J$59)+SUMIF('CF.2'!$K$30:$K$59,'CF.1'!E156,'CF.2'!$M$30:$M$59)</f>
        <v>0</v>
      </c>
      <c r="S156" s="509">
        <f>SUMIF('CF.2'!$H$64:$H$97,'CF.1'!E156,'CF.2'!$J$64:$J$97)+SUMIF('CF.2'!$K$64:$K$97,'CF.1'!E156,'CF.2'!$M$64:$M$97)</f>
        <v>0</v>
      </c>
      <c r="T156" s="509">
        <f>SUMIF('CF.2'!$H$101:$H$107,'CF.1'!E156,'CF.2'!$J$101:$J$107)+SUMIF('CF.2'!$K$101:$K$107,'CF.1'!E156,'CF.2'!$M$101:$M$107)</f>
        <v>0</v>
      </c>
      <c r="U156" s="509">
        <f>SUMIF('CF.2'!$H$112:$H$120,'CF.1'!E156,'CF.2'!$J$112:$J$120)+SUMIF('CF.2'!$K$112:$K$120,'CF.1'!E156,'CF.2'!$M$112:$M$120)</f>
        <v>0</v>
      </c>
      <c r="V156" s="510">
        <f t="shared" si="21"/>
        <v>0</v>
      </c>
      <c r="X156" s="512">
        <f t="shared" si="22"/>
        <v>325680965</v>
      </c>
    </row>
    <row r="157" spans="4:24" ht="18" customHeight="1">
      <c r="D157" s="506" t="s">
        <v>973</v>
      </c>
      <c r="E157" s="507" t="s">
        <v>973</v>
      </c>
      <c r="F157" s="508"/>
      <c r="G157" s="507" t="s">
        <v>974</v>
      </c>
      <c r="H157" s="509">
        <v>0</v>
      </c>
      <c r="I157" s="509">
        <v>0</v>
      </c>
      <c r="J157" s="509">
        <v>0</v>
      </c>
      <c r="K157" s="509">
        <v>0</v>
      </c>
      <c r="L157" s="509">
        <v>0</v>
      </c>
      <c r="M157" s="517"/>
      <c r="N157" s="509">
        <v>0</v>
      </c>
      <c r="O157" s="510">
        <f t="shared" si="20"/>
        <v>0</v>
      </c>
      <c r="Q157" s="511">
        <f>SUMIF('CF.2'!$H$5:$H$24,'CF.1'!E157,'CF.2'!$J$5:$J$24)-SUMIF('CF.2'!$K$5:$K$24,'CF.1'!E157,'CF.2'!$M$5:$M$24)</f>
        <v>0</v>
      </c>
      <c r="R157" s="509">
        <f>SUMIF('CF.2'!$H$30:$H$59,'CF.1'!E157,'CF.2'!$J$30:$J$59)+SUMIF('CF.2'!$K$30:$K$59,'CF.1'!E157,'CF.2'!$M$30:$M$59)</f>
        <v>0</v>
      </c>
      <c r="S157" s="509">
        <f>SUMIF('CF.2'!$H$64:$H$97,'CF.1'!E157,'CF.2'!$J$64:$J$97)+SUMIF('CF.2'!$K$64:$K$97,'CF.1'!E157,'CF.2'!$M$64:$M$97)</f>
        <v>0</v>
      </c>
      <c r="T157" s="509">
        <f>SUMIF('CF.2'!$H$101:$H$107,'CF.1'!E157,'CF.2'!$J$101:$J$107)+SUMIF('CF.2'!$K$101:$K$107,'CF.1'!E157,'CF.2'!$M$101:$M$107)</f>
        <v>0</v>
      </c>
      <c r="U157" s="509">
        <f>SUMIF('CF.2'!$H$112:$H$120,'CF.1'!E157,'CF.2'!$J$112:$J$120)+SUMIF('CF.2'!$K$112:$K$120,'CF.1'!E157,'CF.2'!$M$112:$M$120)</f>
        <v>0</v>
      </c>
      <c r="V157" s="510">
        <f t="shared" si="21"/>
        <v>0</v>
      </c>
      <c r="X157" s="512">
        <f t="shared" si="22"/>
        <v>0</v>
      </c>
    </row>
    <row r="158" spans="4:24" ht="18" customHeight="1">
      <c r="D158" s="506" t="s">
        <v>975</v>
      </c>
      <c r="E158" s="507" t="s">
        <v>975</v>
      </c>
      <c r="F158" s="508"/>
      <c r="G158" s="507" t="s">
        <v>976</v>
      </c>
      <c r="H158" s="509">
        <v>0</v>
      </c>
      <c r="I158" s="509">
        <v>0</v>
      </c>
      <c r="J158" s="509">
        <v>0</v>
      </c>
      <c r="K158" s="509">
        <v>0</v>
      </c>
      <c r="L158" s="509">
        <v>0</v>
      </c>
      <c r="M158" s="517"/>
      <c r="N158" s="509">
        <v>0</v>
      </c>
      <c r="O158" s="510">
        <f t="shared" si="20"/>
        <v>0</v>
      </c>
      <c r="Q158" s="511">
        <f>SUMIF('CF.2'!$H$5:$H$24,'CF.1'!E158,'CF.2'!$J$5:$J$24)-SUMIF('CF.2'!$K$5:$K$24,'CF.1'!E158,'CF.2'!$M$5:$M$24)</f>
        <v>0</v>
      </c>
      <c r="R158" s="509">
        <f>SUMIF('CF.2'!$H$30:$H$59,'CF.1'!E158,'CF.2'!$J$30:$J$59)+SUMIF('CF.2'!$K$30:$K$59,'CF.1'!E158,'CF.2'!$M$30:$M$59)</f>
        <v>0</v>
      </c>
      <c r="S158" s="509">
        <f>SUMIF('CF.2'!$H$64:$H$97,'CF.1'!E158,'CF.2'!$J$64:$J$97)+SUMIF('CF.2'!$K$64:$K$97,'CF.1'!E158,'CF.2'!$M$64:$M$97)</f>
        <v>0</v>
      </c>
      <c r="T158" s="509">
        <f>SUMIF('CF.2'!$H$101:$H$107,'CF.1'!E158,'CF.2'!$J$101:$J$107)+SUMIF('CF.2'!$K$101:$K$107,'CF.1'!E158,'CF.2'!$M$101:$M$107)</f>
        <v>0</v>
      </c>
      <c r="U158" s="509">
        <f>SUMIF('CF.2'!$H$112:$H$120,'CF.1'!E158,'CF.2'!$J$112:$J$120)+SUMIF('CF.2'!$K$112:$K$120,'CF.1'!E158,'CF.2'!$M$112:$M$120)</f>
        <v>0</v>
      </c>
      <c r="V158" s="510">
        <f t="shared" si="21"/>
        <v>0</v>
      </c>
      <c r="X158" s="512">
        <f t="shared" si="22"/>
        <v>0</v>
      </c>
    </row>
    <row r="159" spans="4:24" ht="18" customHeight="1">
      <c r="D159" s="506" t="s">
        <v>977</v>
      </c>
      <c r="E159" s="507" t="s">
        <v>977</v>
      </c>
      <c r="F159" s="508" t="s">
        <v>1482</v>
      </c>
      <c r="G159" s="507" t="s">
        <v>978</v>
      </c>
      <c r="H159" s="509">
        <v>8500000</v>
      </c>
      <c r="I159" s="509">
        <v>0</v>
      </c>
      <c r="J159" s="509">
        <v>0</v>
      </c>
      <c r="K159" s="509">
        <v>0</v>
      </c>
      <c r="L159" s="509">
        <v>0</v>
      </c>
      <c r="M159" s="517"/>
      <c r="N159" s="509">
        <v>0</v>
      </c>
      <c r="O159" s="510">
        <f t="shared" si="20"/>
        <v>8500000</v>
      </c>
      <c r="Q159" s="511">
        <f>SUMIF('CF.2'!$H$5:$H$24,'CF.1'!E159,'CF.2'!$J$5:$J$24)-SUMIF('CF.2'!$K$5:$K$24,'CF.1'!E159,'CF.2'!$M$5:$M$24)</f>
        <v>0</v>
      </c>
      <c r="R159" s="509">
        <f>SUMIF('CF.2'!$H$30:$H$59,'CF.1'!E159,'CF.2'!$J$30:$J$59)+SUMIF('CF.2'!$K$30:$K$59,'CF.1'!E159,'CF.2'!$M$30:$M$59)</f>
        <v>0</v>
      </c>
      <c r="S159" s="509">
        <f>SUMIF('CF.2'!$H$64:$H$97,'CF.1'!E159,'CF.2'!$J$64:$J$97)+SUMIF('CF.2'!$K$64:$K$97,'CF.1'!E159,'CF.2'!$M$64:$M$97)</f>
        <v>0</v>
      </c>
      <c r="T159" s="509">
        <f>SUMIF('CF.2'!$H$101:$H$107,'CF.1'!E159,'CF.2'!$J$101:$J$107)+SUMIF('CF.2'!$K$101:$K$107,'CF.1'!E159,'CF.2'!$M$101:$M$107)</f>
        <v>0</v>
      </c>
      <c r="U159" s="509">
        <f>SUMIF('CF.2'!$H$112:$H$120,'CF.1'!E159,'CF.2'!$J$112:$J$120)+SUMIF('CF.2'!$K$112:$K$120,'CF.1'!E159,'CF.2'!$M$112:$M$120)</f>
        <v>0</v>
      </c>
      <c r="V159" s="510">
        <f t="shared" si="21"/>
        <v>0</v>
      </c>
      <c r="X159" s="512">
        <f t="shared" si="22"/>
        <v>8500000</v>
      </c>
    </row>
    <row r="160" spans="4:24" ht="18" customHeight="1">
      <c r="D160" s="506" t="s">
        <v>979</v>
      </c>
      <c r="E160" s="507" t="s">
        <v>979</v>
      </c>
      <c r="F160" s="508"/>
      <c r="G160" s="507" t="s">
        <v>980</v>
      </c>
      <c r="H160" s="509">
        <v>0</v>
      </c>
      <c r="I160" s="509">
        <v>0</v>
      </c>
      <c r="J160" s="509">
        <v>0</v>
      </c>
      <c r="K160" s="509">
        <v>0</v>
      </c>
      <c r="L160" s="509">
        <v>0</v>
      </c>
      <c r="M160" s="517"/>
      <c r="N160" s="509">
        <v>0</v>
      </c>
      <c r="O160" s="510">
        <f t="shared" si="20"/>
        <v>0</v>
      </c>
      <c r="Q160" s="511">
        <f>SUMIF('CF.2'!$H$5:$H$24,'CF.1'!E160,'CF.2'!$J$5:$J$24)-SUMIF('CF.2'!$K$5:$K$24,'CF.1'!E160,'CF.2'!$M$5:$M$24)</f>
        <v>0</v>
      </c>
      <c r="R160" s="509">
        <f>SUMIF('CF.2'!$H$30:$H$59,'CF.1'!E160,'CF.2'!$J$30:$J$59)+SUMIF('CF.2'!$K$30:$K$59,'CF.1'!E160,'CF.2'!$M$30:$M$59)</f>
        <v>0</v>
      </c>
      <c r="S160" s="509">
        <f>SUMIF('CF.2'!$H$64:$H$97,'CF.1'!E160,'CF.2'!$J$64:$J$97)+SUMIF('CF.2'!$K$64:$K$97,'CF.1'!E160,'CF.2'!$M$64:$M$97)</f>
        <v>0</v>
      </c>
      <c r="T160" s="509">
        <f>SUMIF('CF.2'!$H$101:$H$107,'CF.1'!E160,'CF.2'!$J$101:$J$107)+SUMIF('CF.2'!$K$101:$K$107,'CF.1'!E160,'CF.2'!$M$101:$M$107)</f>
        <v>0</v>
      </c>
      <c r="U160" s="509">
        <f>SUMIF('CF.2'!$H$112:$H$120,'CF.1'!E160,'CF.2'!$J$112:$J$120)+SUMIF('CF.2'!$K$112:$K$120,'CF.1'!E160,'CF.2'!$M$112:$M$120)</f>
        <v>0</v>
      </c>
      <c r="V160" s="510">
        <f t="shared" si="21"/>
        <v>0</v>
      </c>
      <c r="X160" s="512">
        <f t="shared" si="22"/>
        <v>0</v>
      </c>
    </row>
    <row r="161" spans="4:24" ht="18" customHeight="1">
      <c r="D161" s="506" t="s">
        <v>981</v>
      </c>
      <c r="E161" s="507" t="s">
        <v>981</v>
      </c>
      <c r="F161" s="508"/>
      <c r="G161" s="507" t="s">
        <v>982</v>
      </c>
      <c r="H161" s="509">
        <v>0</v>
      </c>
      <c r="I161" s="509">
        <v>0</v>
      </c>
      <c r="J161" s="509">
        <v>0</v>
      </c>
      <c r="K161" s="509">
        <v>0</v>
      </c>
      <c r="L161" s="509">
        <v>0</v>
      </c>
      <c r="M161" s="517"/>
      <c r="N161" s="509">
        <v>0</v>
      </c>
      <c r="O161" s="510">
        <f t="shared" si="20"/>
        <v>0</v>
      </c>
      <c r="Q161" s="511">
        <f>SUMIF('CF.2'!$H$5:$H$24,'CF.1'!E161,'CF.2'!$J$5:$J$24)-SUMIF('CF.2'!$K$5:$K$24,'CF.1'!E161,'CF.2'!$M$5:$M$24)</f>
        <v>0</v>
      </c>
      <c r="R161" s="509">
        <f>SUMIF('CF.2'!$H$30:$H$59,'CF.1'!E161,'CF.2'!$J$30:$J$59)+SUMIF('CF.2'!$K$30:$K$59,'CF.1'!E161,'CF.2'!$M$30:$M$59)</f>
        <v>0</v>
      </c>
      <c r="S161" s="509">
        <f>SUMIF('CF.2'!$H$64:$H$97,'CF.1'!E161,'CF.2'!$J$64:$J$97)+SUMIF('CF.2'!$K$64:$K$97,'CF.1'!E161,'CF.2'!$M$64:$M$97)</f>
        <v>0</v>
      </c>
      <c r="T161" s="509">
        <f>SUMIF('CF.2'!$H$101:$H$107,'CF.1'!E161,'CF.2'!$J$101:$J$107)+SUMIF('CF.2'!$K$101:$K$107,'CF.1'!E161,'CF.2'!$M$101:$M$107)</f>
        <v>0</v>
      </c>
      <c r="U161" s="509">
        <f>SUMIF('CF.2'!$H$112:$H$120,'CF.1'!E161,'CF.2'!$J$112:$J$120)+SUMIF('CF.2'!$K$112:$K$120,'CF.1'!E161,'CF.2'!$M$112:$M$120)</f>
        <v>0</v>
      </c>
      <c r="V161" s="510">
        <f t="shared" si="21"/>
        <v>0</v>
      </c>
      <c r="X161" s="512">
        <f t="shared" si="22"/>
        <v>0</v>
      </c>
    </row>
    <row r="162" spans="4:24" ht="18" customHeight="1">
      <c r="D162" s="506" t="s">
        <v>983</v>
      </c>
      <c r="E162" s="507" t="s">
        <v>983</v>
      </c>
      <c r="F162" s="508" t="s">
        <v>1485</v>
      </c>
      <c r="G162" s="507" t="s">
        <v>984</v>
      </c>
      <c r="H162" s="509">
        <v>-1492770653</v>
      </c>
      <c r="I162" s="509">
        <v>0</v>
      </c>
      <c r="J162" s="509">
        <v>0</v>
      </c>
      <c r="K162" s="509">
        <v>-43154798</v>
      </c>
      <c r="L162" s="509">
        <v>0</v>
      </c>
      <c r="M162" s="509"/>
      <c r="N162" s="509">
        <v>0</v>
      </c>
      <c r="O162" s="510">
        <f t="shared" si="20"/>
        <v>-1535925451</v>
      </c>
      <c r="Q162" s="511">
        <f>SUMIF('CF.2'!$H$5:$H$24,'CF.1'!E162,'CF.2'!$J$5:$J$24)-SUMIF('CF.2'!$K$5:$K$24,'CF.1'!E162,'CF.2'!$M$5:$M$24)</f>
        <v>0</v>
      </c>
      <c r="R162" s="509">
        <f>SUMIF('CF.2'!$H$30:$H$59,'CF.1'!E162,'CF.2'!$J$30:$J$59)+SUMIF('CF.2'!$K$30:$K$59,'CF.1'!E162,'CF.2'!$M$30:$M$59)</f>
        <v>0</v>
      </c>
      <c r="S162" s="509">
        <f>SUMIF('CF.2'!$H$64:$H$97,'CF.1'!E162,'CF.2'!$J$64:$J$97)+SUMIF('CF.2'!$K$64:$K$97,'CF.1'!E162,'CF.2'!$M$64:$M$97)</f>
        <v>0</v>
      </c>
      <c r="T162" s="509">
        <f>SUMIF('CF.2'!$H$101:$H$107,'CF.1'!E162,'CF.2'!$J$101:$J$107)+SUMIF('CF.2'!$K$101:$K$107,'CF.1'!E162,'CF.2'!$M$101:$M$107)</f>
        <v>0</v>
      </c>
      <c r="U162" s="509">
        <f>SUMIF('CF.2'!$H$112:$H$120,'CF.1'!E162,'CF.2'!$J$112:$J$120)+SUMIF('CF.2'!$K$112:$K$120,'CF.1'!E162,'CF.2'!$M$112:$M$120)</f>
        <v>0</v>
      </c>
      <c r="V162" s="510">
        <f t="shared" si="21"/>
        <v>0</v>
      </c>
      <c r="X162" s="512">
        <f t="shared" si="22"/>
        <v>-1535925451</v>
      </c>
    </row>
    <row r="163" spans="4:24" ht="18" customHeight="1">
      <c r="D163" s="506" t="s">
        <v>985</v>
      </c>
      <c r="E163" s="507" t="s">
        <v>985</v>
      </c>
      <c r="F163" s="508"/>
      <c r="G163" s="507" t="s">
        <v>986</v>
      </c>
      <c r="H163" s="509">
        <v>0</v>
      </c>
      <c r="I163" s="509">
        <v>0</v>
      </c>
      <c r="J163" s="509">
        <v>0</v>
      </c>
      <c r="K163" s="509">
        <v>0</v>
      </c>
      <c r="L163" s="509">
        <v>0</v>
      </c>
      <c r="M163" s="509"/>
      <c r="N163" s="509">
        <v>0</v>
      </c>
      <c r="O163" s="510">
        <f t="shared" si="20"/>
        <v>0</v>
      </c>
      <c r="Q163" s="511">
        <f>SUMIF('CF.2'!$H$5:$H$24,'CF.1'!E163,'CF.2'!$J$5:$J$24)-SUMIF('CF.2'!$K$5:$K$24,'CF.1'!E163,'CF.2'!$M$5:$M$24)</f>
        <v>0</v>
      </c>
      <c r="R163" s="509">
        <f>SUMIF('CF.2'!$H$30:$H$59,'CF.1'!E163,'CF.2'!$J$30:$J$59)+SUMIF('CF.2'!$K$30:$K$59,'CF.1'!E163,'CF.2'!$M$30:$M$59)</f>
        <v>0</v>
      </c>
      <c r="S163" s="509">
        <f>SUMIF('CF.2'!$H$64:$H$97,'CF.1'!E163,'CF.2'!$J$64:$J$97)+SUMIF('CF.2'!$K$64:$K$97,'CF.1'!E163,'CF.2'!$M$64:$M$97)</f>
        <v>0</v>
      </c>
      <c r="T163" s="509">
        <f>SUMIF('CF.2'!$H$101:$H$107,'CF.1'!E163,'CF.2'!$J$101:$J$107)+SUMIF('CF.2'!$K$101:$K$107,'CF.1'!E163,'CF.2'!$M$101:$M$107)</f>
        <v>0</v>
      </c>
      <c r="U163" s="509">
        <f>SUMIF('CF.2'!$H$112:$H$120,'CF.1'!E163,'CF.2'!$J$112:$J$120)+SUMIF('CF.2'!$K$112:$K$120,'CF.1'!E163,'CF.2'!$M$112:$M$120)</f>
        <v>0</v>
      </c>
      <c r="V163" s="510">
        <f t="shared" si="21"/>
        <v>0</v>
      </c>
      <c r="X163" s="512">
        <f t="shared" si="22"/>
        <v>0</v>
      </c>
    </row>
    <row r="164" spans="4:24" ht="18" customHeight="1">
      <c r="D164" s="506" t="s">
        <v>987</v>
      </c>
      <c r="E164" s="507" t="s">
        <v>987</v>
      </c>
      <c r="F164" s="508"/>
      <c r="G164" s="507" t="s">
        <v>988</v>
      </c>
      <c r="H164" s="509">
        <v>0</v>
      </c>
      <c r="I164" s="509">
        <v>0</v>
      </c>
      <c r="J164" s="509">
        <v>0</v>
      </c>
      <c r="K164" s="509">
        <v>0</v>
      </c>
      <c r="L164" s="509">
        <v>0</v>
      </c>
      <c r="M164" s="509"/>
      <c r="N164" s="509">
        <v>0</v>
      </c>
      <c r="O164" s="510">
        <f t="shared" si="20"/>
        <v>0</v>
      </c>
      <c r="Q164" s="511">
        <f>SUMIF('CF.2'!$H$5:$H$24,'CF.1'!E164,'CF.2'!$J$5:$J$24)-SUMIF('CF.2'!$K$5:$K$24,'CF.1'!E164,'CF.2'!$M$5:$M$24)</f>
        <v>0</v>
      </c>
      <c r="R164" s="509">
        <f>SUMIF('CF.2'!$H$30:$H$59,'CF.1'!E164,'CF.2'!$J$30:$J$59)+SUMIF('CF.2'!$K$30:$K$59,'CF.1'!E164,'CF.2'!$M$30:$M$59)</f>
        <v>0</v>
      </c>
      <c r="S164" s="509">
        <f>SUMIF('CF.2'!$H$64:$H$97,'CF.1'!E164,'CF.2'!$J$64:$J$97)+SUMIF('CF.2'!$K$64:$K$97,'CF.1'!E164,'CF.2'!$M$64:$M$97)</f>
        <v>0</v>
      </c>
      <c r="T164" s="509">
        <f>SUMIF('CF.2'!$H$101:$H$107,'CF.1'!E164,'CF.2'!$J$101:$J$107)+SUMIF('CF.2'!$K$101:$K$107,'CF.1'!E164,'CF.2'!$M$101:$M$107)</f>
        <v>0</v>
      </c>
      <c r="U164" s="509">
        <f>SUMIF('CF.2'!$H$112:$H$120,'CF.1'!E164,'CF.2'!$J$112:$J$120)+SUMIF('CF.2'!$K$112:$K$120,'CF.1'!E164,'CF.2'!$M$112:$M$120)</f>
        <v>0</v>
      </c>
      <c r="V164" s="510">
        <f t="shared" si="21"/>
        <v>0</v>
      </c>
      <c r="X164" s="512">
        <f t="shared" si="22"/>
        <v>0</v>
      </c>
    </row>
    <row r="165" spans="4:24" ht="18" customHeight="1">
      <c r="D165" s="506" t="s">
        <v>989</v>
      </c>
      <c r="E165" s="507" t="s">
        <v>989</v>
      </c>
      <c r="F165" s="508"/>
      <c r="G165" s="507" t="s">
        <v>990</v>
      </c>
      <c r="H165" s="509">
        <v>0</v>
      </c>
      <c r="I165" s="509">
        <v>0</v>
      </c>
      <c r="J165" s="509">
        <v>0</v>
      </c>
      <c r="K165" s="509">
        <v>0</v>
      </c>
      <c r="L165" s="509">
        <v>0</v>
      </c>
      <c r="M165" s="509"/>
      <c r="N165" s="509">
        <v>0</v>
      </c>
      <c r="O165" s="510">
        <f t="shared" si="20"/>
        <v>0</v>
      </c>
      <c r="Q165" s="511">
        <f>SUMIF('CF.2'!$H$5:$H$24,'CF.1'!E165,'CF.2'!$J$5:$J$24)-SUMIF('CF.2'!$K$5:$K$24,'CF.1'!E165,'CF.2'!$M$5:$M$24)</f>
        <v>0</v>
      </c>
      <c r="R165" s="509">
        <f>SUMIF('CF.2'!$H$30:$H$59,'CF.1'!E165,'CF.2'!$J$30:$J$59)+SUMIF('CF.2'!$K$30:$K$59,'CF.1'!E165,'CF.2'!$M$30:$M$59)</f>
        <v>0</v>
      </c>
      <c r="S165" s="509">
        <f>SUMIF('CF.2'!$H$64:$H$97,'CF.1'!E165,'CF.2'!$J$64:$J$97)+SUMIF('CF.2'!$K$64:$K$97,'CF.1'!E165,'CF.2'!$M$64:$M$97)</f>
        <v>0</v>
      </c>
      <c r="T165" s="509">
        <f>SUMIF('CF.2'!$H$101:$H$107,'CF.1'!E165,'CF.2'!$J$101:$J$107)+SUMIF('CF.2'!$K$101:$K$107,'CF.1'!E165,'CF.2'!$M$101:$M$107)</f>
        <v>0</v>
      </c>
      <c r="U165" s="509">
        <f>SUMIF('CF.2'!$H$112:$H$120,'CF.1'!E165,'CF.2'!$J$112:$J$120)+SUMIF('CF.2'!$K$112:$K$120,'CF.1'!E165,'CF.2'!$M$112:$M$120)</f>
        <v>0</v>
      </c>
      <c r="V165" s="510">
        <f t="shared" si="21"/>
        <v>0</v>
      </c>
      <c r="X165" s="512">
        <f t="shared" si="22"/>
        <v>0</v>
      </c>
    </row>
    <row r="166" spans="4:24" ht="18" customHeight="1">
      <c r="D166" s="506" t="s">
        <v>991</v>
      </c>
      <c r="E166" s="507" t="s">
        <v>991</v>
      </c>
      <c r="F166" s="508"/>
      <c r="G166" s="507" t="s">
        <v>992</v>
      </c>
      <c r="H166" s="509">
        <v>0</v>
      </c>
      <c r="I166" s="509">
        <v>0</v>
      </c>
      <c r="J166" s="509">
        <v>0</v>
      </c>
      <c r="K166" s="509">
        <v>0</v>
      </c>
      <c r="L166" s="509">
        <v>0</v>
      </c>
      <c r="M166" s="509"/>
      <c r="N166" s="509">
        <v>0</v>
      </c>
      <c r="O166" s="510">
        <f t="shared" si="20"/>
        <v>0</v>
      </c>
      <c r="Q166" s="511">
        <f>SUMIF('CF.2'!$H$5:$H$24,'CF.1'!E166,'CF.2'!$J$5:$J$24)-SUMIF('CF.2'!$K$5:$K$24,'CF.1'!E166,'CF.2'!$M$5:$M$24)</f>
        <v>0</v>
      </c>
      <c r="R166" s="509">
        <f>SUMIF('CF.2'!$H$30:$H$59,'CF.1'!E166,'CF.2'!$J$30:$J$59)+SUMIF('CF.2'!$K$30:$K$59,'CF.1'!E166,'CF.2'!$M$30:$M$59)</f>
        <v>0</v>
      </c>
      <c r="S166" s="509">
        <f>SUMIF('CF.2'!$H$64:$H$97,'CF.1'!E166,'CF.2'!$J$64:$J$97)+SUMIF('CF.2'!$K$64:$K$97,'CF.1'!E166,'CF.2'!$M$64:$M$97)</f>
        <v>0</v>
      </c>
      <c r="T166" s="509">
        <f>SUMIF('CF.2'!$H$101:$H$107,'CF.1'!E166,'CF.2'!$J$101:$J$107)+SUMIF('CF.2'!$K$101:$K$107,'CF.1'!E166,'CF.2'!$M$101:$M$107)</f>
        <v>0</v>
      </c>
      <c r="U166" s="509">
        <f>SUMIF('CF.2'!$H$112:$H$120,'CF.1'!E166,'CF.2'!$J$112:$J$120)+SUMIF('CF.2'!$K$112:$K$120,'CF.1'!E166,'CF.2'!$M$112:$M$120)</f>
        <v>0</v>
      </c>
      <c r="V166" s="510">
        <f t="shared" si="21"/>
        <v>0</v>
      </c>
      <c r="X166" s="512">
        <f t="shared" si="22"/>
        <v>0</v>
      </c>
    </row>
    <row r="167" spans="4:24" ht="18" customHeight="1">
      <c r="D167" s="506" t="s">
        <v>993</v>
      </c>
      <c r="E167" s="507" t="s">
        <v>993</v>
      </c>
      <c r="F167" s="508"/>
      <c r="G167" s="507" t="s">
        <v>994</v>
      </c>
      <c r="H167" s="509">
        <v>0</v>
      </c>
      <c r="I167" s="509">
        <v>0</v>
      </c>
      <c r="J167" s="509">
        <v>0</v>
      </c>
      <c r="K167" s="509">
        <v>0</v>
      </c>
      <c r="L167" s="509">
        <v>0</v>
      </c>
      <c r="M167" s="509"/>
      <c r="N167" s="509">
        <v>0</v>
      </c>
      <c r="O167" s="510">
        <f t="shared" si="20"/>
        <v>0</v>
      </c>
      <c r="Q167" s="511">
        <f>SUMIF('CF.2'!$H$5:$H$24,'CF.1'!E167,'CF.2'!$J$5:$J$24)-SUMIF('CF.2'!$K$5:$K$24,'CF.1'!E167,'CF.2'!$M$5:$M$24)</f>
        <v>0</v>
      </c>
      <c r="R167" s="509">
        <f>SUMIF('CF.2'!$H$30:$H$59,'CF.1'!E167,'CF.2'!$J$30:$J$59)+SUMIF('CF.2'!$K$30:$K$59,'CF.1'!E167,'CF.2'!$M$30:$M$59)</f>
        <v>0</v>
      </c>
      <c r="S167" s="509">
        <f>SUMIF('CF.2'!$H$64:$H$97,'CF.1'!E167,'CF.2'!$J$64:$J$97)+SUMIF('CF.2'!$K$64:$K$97,'CF.1'!E167,'CF.2'!$M$64:$M$97)</f>
        <v>0</v>
      </c>
      <c r="T167" s="509">
        <f>SUMIF('CF.2'!$H$101:$H$107,'CF.1'!E167,'CF.2'!$J$101:$J$107)+SUMIF('CF.2'!$K$101:$K$107,'CF.1'!E167,'CF.2'!$M$101:$M$107)</f>
        <v>0</v>
      </c>
      <c r="U167" s="509">
        <f>SUMIF('CF.2'!$H$112:$H$120,'CF.1'!E167,'CF.2'!$J$112:$J$120)+SUMIF('CF.2'!$K$112:$K$120,'CF.1'!E167,'CF.2'!$M$112:$M$120)</f>
        <v>0</v>
      </c>
      <c r="V167" s="510">
        <f t="shared" si="21"/>
        <v>0</v>
      </c>
      <c r="X167" s="512">
        <f t="shared" si="22"/>
        <v>0</v>
      </c>
    </row>
    <row r="168" spans="4:24" ht="18" customHeight="1">
      <c r="D168" s="506" t="s">
        <v>995</v>
      </c>
      <c r="E168" s="507" t="s">
        <v>995</v>
      </c>
      <c r="F168" s="508"/>
      <c r="G168" s="507" t="s">
        <v>996</v>
      </c>
      <c r="H168" s="509">
        <v>0</v>
      </c>
      <c r="I168" s="509">
        <v>0</v>
      </c>
      <c r="J168" s="509">
        <v>0</v>
      </c>
      <c r="K168" s="509">
        <v>0</v>
      </c>
      <c r="L168" s="509">
        <v>0</v>
      </c>
      <c r="M168" s="509"/>
      <c r="N168" s="509">
        <v>0</v>
      </c>
      <c r="O168" s="510">
        <f t="shared" si="20"/>
        <v>0</v>
      </c>
      <c r="Q168" s="511">
        <f>SUMIF('CF.2'!$H$5:$H$24,'CF.1'!E168,'CF.2'!$J$5:$J$24)-SUMIF('CF.2'!$K$5:$K$24,'CF.1'!E168,'CF.2'!$M$5:$M$24)</f>
        <v>0</v>
      </c>
      <c r="R168" s="509">
        <f>SUMIF('CF.2'!$H$30:$H$59,'CF.1'!E168,'CF.2'!$J$30:$J$59)+SUMIF('CF.2'!$K$30:$K$59,'CF.1'!E168,'CF.2'!$M$30:$M$59)</f>
        <v>0</v>
      </c>
      <c r="S168" s="509">
        <f>SUMIF('CF.2'!$H$64:$H$97,'CF.1'!E168,'CF.2'!$J$64:$J$97)+SUMIF('CF.2'!$K$64:$K$97,'CF.1'!E168,'CF.2'!$M$64:$M$97)</f>
        <v>0</v>
      </c>
      <c r="T168" s="509">
        <f>SUMIF('CF.2'!$H$101:$H$107,'CF.1'!E168,'CF.2'!$J$101:$J$107)+SUMIF('CF.2'!$K$101:$K$107,'CF.1'!E168,'CF.2'!$M$101:$M$107)</f>
        <v>0</v>
      </c>
      <c r="U168" s="509">
        <f>SUMIF('CF.2'!$H$112:$H$120,'CF.1'!E168,'CF.2'!$J$112:$J$120)+SUMIF('CF.2'!$K$112:$K$120,'CF.1'!E168,'CF.2'!$M$112:$M$120)</f>
        <v>0</v>
      </c>
      <c r="V168" s="510">
        <f t="shared" si="21"/>
        <v>0</v>
      </c>
      <c r="X168" s="512">
        <f t="shared" si="22"/>
        <v>0</v>
      </c>
    </row>
    <row r="169" spans="4:24" ht="18" customHeight="1">
      <c r="D169" s="506" t="s">
        <v>997</v>
      </c>
      <c r="E169" s="507" t="s">
        <v>997</v>
      </c>
      <c r="F169" s="508"/>
      <c r="G169" s="507" t="s">
        <v>998</v>
      </c>
      <c r="H169" s="509">
        <v>0</v>
      </c>
      <c r="I169" s="509">
        <v>0</v>
      </c>
      <c r="J169" s="509">
        <v>0</v>
      </c>
      <c r="K169" s="509">
        <v>0</v>
      </c>
      <c r="L169" s="509">
        <v>0</v>
      </c>
      <c r="M169" s="509"/>
      <c r="N169" s="509">
        <v>0</v>
      </c>
      <c r="O169" s="510">
        <f t="shared" si="20"/>
        <v>0</v>
      </c>
      <c r="Q169" s="511">
        <f>SUMIF('CF.2'!$H$5:$H$24,'CF.1'!E169,'CF.2'!$J$5:$J$24)-SUMIF('CF.2'!$K$5:$K$24,'CF.1'!E169,'CF.2'!$M$5:$M$24)</f>
        <v>0</v>
      </c>
      <c r="R169" s="509">
        <f>SUMIF('CF.2'!$H$30:$H$59,'CF.1'!E169,'CF.2'!$J$30:$J$59)+SUMIF('CF.2'!$K$30:$K$59,'CF.1'!E169,'CF.2'!$M$30:$M$59)</f>
        <v>0</v>
      </c>
      <c r="S169" s="509">
        <f>SUMIF('CF.2'!$H$64:$H$97,'CF.1'!E169,'CF.2'!$J$64:$J$97)+SUMIF('CF.2'!$K$64:$K$97,'CF.1'!E169,'CF.2'!$M$64:$M$97)</f>
        <v>0</v>
      </c>
      <c r="T169" s="509">
        <f>SUMIF('CF.2'!$H$101:$H$107,'CF.1'!E169,'CF.2'!$J$101:$J$107)+SUMIF('CF.2'!$K$101:$K$107,'CF.1'!E169,'CF.2'!$M$101:$M$107)</f>
        <v>0</v>
      </c>
      <c r="U169" s="509">
        <f>SUMIF('CF.2'!$H$112:$H$120,'CF.1'!E169,'CF.2'!$J$112:$J$120)+SUMIF('CF.2'!$K$112:$K$120,'CF.1'!E169,'CF.2'!$M$112:$M$120)</f>
        <v>0</v>
      </c>
      <c r="V169" s="510">
        <f t="shared" si="21"/>
        <v>0</v>
      </c>
      <c r="X169" s="512">
        <f t="shared" si="22"/>
        <v>0</v>
      </c>
    </row>
    <row r="170" spans="4:24" ht="18" customHeight="1">
      <c r="D170" s="506" t="s">
        <v>999</v>
      </c>
      <c r="E170" s="507" t="s">
        <v>999</v>
      </c>
      <c r="F170" s="508"/>
      <c r="G170" s="507" t="s">
        <v>1000</v>
      </c>
      <c r="H170" s="509">
        <v>0</v>
      </c>
      <c r="I170" s="509">
        <v>0</v>
      </c>
      <c r="J170" s="509">
        <v>0</v>
      </c>
      <c r="K170" s="509">
        <v>0</v>
      </c>
      <c r="L170" s="509">
        <v>0</v>
      </c>
      <c r="M170" s="509"/>
      <c r="N170" s="509">
        <v>0</v>
      </c>
      <c r="O170" s="510">
        <f t="shared" si="20"/>
        <v>0</v>
      </c>
      <c r="Q170" s="511">
        <f>SUMIF('CF.2'!$H$5:$H$24,'CF.1'!E170,'CF.2'!$J$5:$J$24)-SUMIF('CF.2'!$K$5:$K$24,'CF.1'!E170,'CF.2'!$M$5:$M$24)</f>
        <v>0</v>
      </c>
      <c r="R170" s="509">
        <f>SUMIF('CF.2'!$H$30:$H$59,'CF.1'!E170,'CF.2'!$J$30:$J$59)+SUMIF('CF.2'!$K$30:$K$59,'CF.1'!E170,'CF.2'!$M$30:$M$59)</f>
        <v>0</v>
      </c>
      <c r="S170" s="509">
        <f>SUMIF('CF.2'!$H$64:$H$97,'CF.1'!E170,'CF.2'!$J$64:$J$97)+SUMIF('CF.2'!$K$64:$K$97,'CF.1'!E170,'CF.2'!$M$64:$M$97)</f>
        <v>0</v>
      </c>
      <c r="T170" s="509">
        <f>SUMIF('CF.2'!$H$101:$H$107,'CF.1'!E170,'CF.2'!$J$101:$J$107)+SUMIF('CF.2'!$K$101:$K$107,'CF.1'!E170,'CF.2'!$M$101:$M$107)</f>
        <v>0</v>
      </c>
      <c r="U170" s="509">
        <f>SUMIF('CF.2'!$H$112:$H$120,'CF.1'!E170,'CF.2'!$J$112:$J$120)+SUMIF('CF.2'!$K$112:$K$120,'CF.1'!E170,'CF.2'!$M$112:$M$120)</f>
        <v>0</v>
      </c>
      <c r="V170" s="510">
        <f t="shared" si="21"/>
        <v>0</v>
      </c>
      <c r="X170" s="512">
        <f t="shared" si="22"/>
        <v>0</v>
      </c>
    </row>
    <row r="171" spans="4:24" ht="18" customHeight="1">
      <c r="D171" s="514" t="s">
        <v>999</v>
      </c>
      <c r="E171" s="507" t="s">
        <v>1001</v>
      </c>
      <c r="F171" s="508" t="s">
        <v>1479</v>
      </c>
      <c r="G171" s="507" t="s">
        <v>1002</v>
      </c>
      <c r="H171" s="509">
        <v>58937204</v>
      </c>
      <c r="I171" s="509">
        <v>0</v>
      </c>
      <c r="J171" s="509">
        <v>0</v>
      </c>
      <c r="K171" s="509">
        <v>0</v>
      </c>
      <c r="L171" s="509">
        <v>0</v>
      </c>
      <c r="M171" s="517"/>
      <c r="N171" s="509">
        <v>0</v>
      </c>
      <c r="O171" s="510">
        <f t="shared" si="20"/>
        <v>58937204</v>
      </c>
      <c r="Q171" s="511">
        <f>SUMIF('CF.2'!$H$5:$H$24,'CF.1'!E171,'CF.2'!$J$5:$J$24)-SUMIF('CF.2'!$K$5:$K$24,'CF.1'!E171,'CF.2'!$M$5:$M$24)</f>
        <v>0</v>
      </c>
      <c r="R171" s="509">
        <f>SUMIF('CF.2'!$H$30:$H$59,'CF.1'!E171,'CF.2'!$J$30:$J$59)+SUMIF('CF.2'!$K$30:$K$59,'CF.1'!E171,'CF.2'!$M$30:$M$59)</f>
        <v>0</v>
      </c>
      <c r="S171" s="509">
        <f>SUMIF('CF.2'!$H$64:$H$97,'CF.1'!E171,'CF.2'!$J$64:$J$97)+SUMIF('CF.2'!$K$64:$K$97,'CF.1'!E171,'CF.2'!$M$64:$M$97)</f>
        <v>0</v>
      </c>
      <c r="T171" s="509">
        <f>SUMIF('CF.2'!$H$101:$H$107,'CF.1'!E171,'CF.2'!$J$101:$J$107)+SUMIF('CF.2'!$K$101:$K$107,'CF.1'!E171,'CF.2'!$M$101:$M$107)</f>
        <v>0</v>
      </c>
      <c r="U171" s="509">
        <f>SUMIF('CF.2'!$H$112:$H$120,'CF.1'!E171,'CF.2'!$J$112:$J$120)+SUMIF('CF.2'!$K$112:$K$120,'CF.1'!E171,'CF.2'!$M$112:$M$120)</f>
        <v>0</v>
      </c>
      <c r="V171" s="510">
        <f t="shared" si="21"/>
        <v>0</v>
      </c>
      <c r="X171" s="512">
        <f t="shared" si="22"/>
        <v>58937204</v>
      </c>
    </row>
    <row r="172" spans="4:24" ht="18" customHeight="1">
      <c r="D172" s="514" t="s">
        <v>1003</v>
      </c>
      <c r="E172" s="507" t="s">
        <v>1003</v>
      </c>
      <c r="F172" s="508"/>
      <c r="G172" s="507" t="s">
        <v>1004</v>
      </c>
      <c r="H172" s="509">
        <v>0</v>
      </c>
      <c r="I172" s="509">
        <v>0</v>
      </c>
      <c r="J172" s="509">
        <v>0</v>
      </c>
      <c r="K172" s="509">
        <v>0</v>
      </c>
      <c r="L172" s="509">
        <v>0</v>
      </c>
      <c r="M172" s="517"/>
      <c r="N172" s="509">
        <v>0</v>
      </c>
      <c r="O172" s="510">
        <f t="shared" si="20"/>
        <v>0</v>
      </c>
      <c r="Q172" s="511">
        <f>SUMIF('CF.2'!$H$5:$H$24,'CF.1'!E172,'CF.2'!$J$5:$J$24)-SUMIF('CF.2'!$K$5:$K$24,'CF.1'!E172,'CF.2'!$M$5:$M$24)</f>
        <v>0</v>
      </c>
      <c r="R172" s="509">
        <f>SUMIF('CF.2'!$H$30:$H$59,'CF.1'!E172,'CF.2'!$J$30:$J$59)+SUMIF('CF.2'!$K$30:$K$59,'CF.1'!E172,'CF.2'!$M$30:$M$59)</f>
        <v>0</v>
      </c>
      <c r="S172" s="509">
        <f>SUMIF('CF.2'!$H$64:$H$97,'CF.1'!E172,'CF.2'!$J$64:$J$97)+SUMIF('CF.2'!$K$64:$K$97,'CF.1'!E172,'CF.2'!$M$64:$M$97)</f>
        <v>0</v>
      </c>
      <c r="T172" s="509">
        <f>SUMIF('CF.2'!$H$101:$H$107,'CF.1'!E172,'CF.2'!$J$101:$J$107)+SUMIF('CF.2'!$K$101:$K$107,'CF.1'!E172,'CF.2'!$M$101:$M$107)</f>
        <v>0</v>
      </c>
      <c r="U172" s="509">
        <f>SUMIF('CF.2'!$H$112:$H$120,'CF.1'!E172,'CF.2'!$J$112:$J$120)+SUMIF('CF.2'!$K$112:$K$120,'CF.1'!E172,'CF.2'!$M$112:$M$120)</f>
        <v>0</v>
      </c>
      <c r="V172" s="510">
        <f t="shared" si="21"/>
        <v>0</v>
      </c>
      <c r="X172" s="512">
        <f t="shared" si="22"/>
        <v>0</v>
      </c>
    </row>
    <row r="173" spans="4:24" ht="18" customHeight="1">
      <c r="D173" s="514" t="s">
        <v>999</v>
      </c>
      <c r="E173" s="507" t="s">
        <v>1005</v>
      </c>
      <c r="F173" s="508" t="s">
        <v>1483</v>
      </c>
      <c r="G173" s="507" t="s">
        <v>1006</v>
      </c>
      <c r="H173" s="509">
        <v>-98523893</v>
      </c>
      <c r="I173" s="509">
        <v>0</v>
      </c>
      <c r="J173" s="509">
        <v>0</v>
      </c>
      <c r="K173" s="509">
        <v>0</v>
      </c>
      <c r="L173" s="509">
        <v>0</v>
      </c>
      <c r="M173" s="517"/>
      <c r="N173" s="509">
        <v>2273598</v>
      </c>
      <c r="O173" s="510">
        <f t="shared" si="20"/>
        <v>-96250295</v>
      </c>
      <c r="Q173" s="511">
        <f>SUMIF('CF.2'!$H$5:$H$24,'CF.1'!E173,'CF.2'!$J$5:$J$24)-SUMIF('CF.2'!$K$5:$K$24,'CF.1'!E173,'CF.2'!$M$5:$M$24)</f>
        <v>0</v>
      </c>
      <c r="R173" s="509">
        <f>SUMIF('CF.2'!$H$30:$H$59,'CF.1'!E173,'CF.2'!$J$30:$J$59)+SUMIF('CF.2'!$K$30:$K$59,'CF.1'!E173,'CF.2'!$M$30:$M$59)</f>
        <v>0</v>
      </c>
      <c r="S173" s="509">
        <f>SUMIF('CF.2'!$H$64:$H$97,'CF.1'!E173,'CF.2'!$J$64:$J$97)+SUMIF('CF.2'!$K$64:$K$97,'CF.1'!E173,'CF.2'!$M$64:$M$97)</f>
        <v>0</v>
      </c>
      <c r="T173" s="509">
        <f>SUMIF('CF.2'!$H$101:$H$107,'CF.1'!E173,'CF.2'!$J$101:$J$107)+SUMIF('CF.2'!$K$101:$K$107,'CF.1'!E173,'CF.2'!$M$101:$M$107)</f>
        <v>0</v>
      </c>
      <c r="U173" s="509">
        <f>SUMIF('CF.2'!$H$112:$H$120,'CF.1'!E173,'CF.2'!$J$112:$J$120)+SUMIF('CF.2'!$K$112:$K$120,'CF.1'!E173,'CF.2'!$M$112:$M$120)</f>
        <v>0</v>
      </c>
      <c r="V173" s="510">
        <f t="shared" si="21"/>
        <v>0</v>
      </c>
      <c r="X173" s="512">
        <f t="shared" si="22"/>
        <v>-96250295</v>
      </c>
    </row>
    <row r="174" spans="4:24" ht="18" customHeight="1">
      <c r="D174" s="506" t="s">
        <v>1007</v>
      </c>
      <c r="E174" s="507" t="s">
        <v>1007</v>
      </c>
      <c r="F174" s="508"/>
      <c r="G174" s="507" t="s">
        <v>1008</v>
      </c>
      <c r="H174" s="509">
        <v>0</v>
      </c>
      <c r="I174" s="509">
        <v>0</v>
      </c>
      <c r="J174" s="509">
        <v>0</v>
      </c>
      <c r="K174" s="509">
        <v>0</v>
      </c>
      <c r="L174" s="509">
        <v>0</v>
      </c>
      <c r="M174" s="509"/>
      <c r="N174" s="509">
        <v>0</v>
      </c>
      <c r="O174" s="510">
        <f t="shared" si="20"/>
        <v>0</v>
      </c>
      <c r="Q174" s="511">
        <f>SUMIF('CF.2'!$H$5:$H$24,'CF.1'!E174,'CF.2'!$J$5:$J$24)-SUMIF('CF.2'!$K$5:$K$24,'CF.1'!E174,'CF.2'!$M$5:$M$24)</f>
        <v>0</v>
      </c>
      <c r="R174" s="509">
        <f>SUMIF('CF.2'!$H$30:$H$59,'CF.1'!E174,'CF.2'!$J$30:$J$59)+SUMIF('CF.2'!$K$30:$K$59,'CF.1'!E174,'CF.2'!$M$30:$M$59)</f>
        <v>0</v>
      </c>
      <c r="S174" s="509">
        <f>SUMIF('CF.2'!$H$64:$H$97,'CF.1'!E174,'CF.2'!$J$64:$J$97)+SUMIF('CF.2'!$K$64:$K$97,'CF.1'!E174,'CF.2'!$M$64:$M$97)</f>
        <v>0</v>
      </c>
      <c r="T174" s="509">
        <f>SUMIF('CF.2'!$H$101:$H$107,'CF.1'!E174,'CF.2'!$J$101:$J$107)+SUMIF('CF.2'!$K$101:$K$107,'CF.1'!E174,'CF.2'!$M$101:$M$107)</f>
        <v>0</v>
      </c>
      <c r="U174" s="509">
        <f>SUMIF('CF.2'!$H$112:$H$120,'CF.1'!E174,'CF.2'!$J$112:$J$120)+SUMIF('CF.2'!$K$112:$K$120,'CF.1'!E174,'CF.2'!$M$112:$M$120)</f>
        <v>0</v>
      </c>
      <c r="V174" s="510">
        <f t="shared" si="21"/>
        <v>0</v>
      </c>
      <c r="X174" s="512">
        <f t="shared" si="22"/>
        <v>0</v>
      </c>
    </row>
    <row r="175" spans="4:24" ht="18" customHeight="1">
      <c r="D175" s="499" t="s">
        <v>1009</v>
      </c>
      <c r="E175" s="500" t="s">
        <v>1009</v>
      </c>
      <c r="F175" s="501"/>
      <c r="G175" s="500" t="s">
        <v>1010</v>
      </c>
      <c r="H175" s="502">
        <f t="shared" ref="H175:O175" si="23">SUM(H176:H180)</f>
        <v>1259391322</v>
      </c>
      <c r="I175" s="502">
        <f t="shared" si="23"/>
        <v>722167</v>
      </c>
      <c r="J175" s="502">
        <f t="shared" si="23"/>
        <v>-926480</v>
      </c>
      <c r="K175" s="502">
        <f t="shared" si="23"/>
        <v>-67917322</v>
      </c>
      <c r="L175" s="502">
        <f t="shared" si="23"/>
        <v>-660803621</v>
      </c>
      <c r="M175" s="502">
        <f t="shared" si="23"/>
        <v>0</v>
      </c>
      <c r="N175" s="502">
        <f t="shared" si="23"/>
        <v>2262208</v>
      </c>
      <c r="O175" s="503">
        <f t="shared" si="23"/>
        <v>532728274</v>
      </c>
      <c r="Q175" s="504">
        <f t="shared" ref="Q175:V175" si="24">SUM(Q176:Q180)</f>
        <v>0</v>
      </c>
      <c r="R175" s="502">
        <f t="shared" si="24"/>
        <v>0</v>
      </c>
      <c r="S175" s="502">
        <f t="shared" si="24"/>
        <v>0</v>
      </c>
      <c r="T175" s="502">
        <f t="shared" si="24"/>
        <v>0</v>
      </c>
      <c r="U175" s="502">
        <f t="shared" si="24"/>
        <v>0</v>
      </c>
      <c r="V175" s="503">
        <f t="shared" si="24"/>
        <v>0</v>
      </c>
      <c r="X175" s="505">
        <f t="shared" ref="X175" si="25">SUM(X176:X180)</f>
        <v>532728274</v>
      </c>
    </row>
    <row r="176" spans="4:24" ht="18" customHeight="1">
      <c r="D176" s="506" t="s">
        <v>1011</v>
      </c>
      <c r="E176" s="507" t="s">
        <v>1011</v>
      </c>
      <c r="F176" s="508"/>
      <c r="G176" s="507" t="s">
        <v>1012</v>
      </c>
      <c r="H176" s="509">
        <v>0</v>
      </c>
      <c r="I176" s="509">
        <v>0</v>
      </c>
      <c r="J176" s="509">
        <v>0</v>
      </c>
      <c r="K176" s="509">
        <v>0</v>
      </c>
      <c r="L176" s="509">
        <v>0</v>
      </c>
      <c r="M176" s="509"/>
      <c r="N176" s="509">
        <v>0</v>
      </c>
      <c r="O176" s="510">
        <f t="shared" ref="O176:O180" si="26">SUM(H176:N176)</f>
        <v>0</v>
      </c>
      <c r="Q176" s="511">
        <f>SUMIF('CF.2'!$H$5:$H$24,'CF.1'!E176,'CF.2'!$J$5:$J$24)-SUMIF('CF.2'!$K$5:$K$24,'CF.1'!E176,'CF.2'!$M$5:$M$24)</f>
        <v>0</v>
      </c>
      <c r="R176" s="509">
        <f>SUMIF('CF.2'!$H$30:$H$59,'CF.1'!E176,'CF.2'!$J$30:$J$59)+SUMIF('CF.2'!$K$30:$K$59,'CF.1'!E176,'CF.2'!$M$30:$M$59)</f>
        <v>0</v>
      </c>
      <c r="S176" s="509">
        <f>SUMIF('CF.2'!$H$64:$H$97,'CF.1'!E176,'CF.2'!$J$64:$J$97)+SUMIF('CF.2'!$K$64:$K$97,'CF.1'!E176,'CF.2'!$M$64:$M$97)</f>
        <v>0</v>
      </c>
      <c r="T176" s="509">
        <f>SUMIF('CF.2'!$H$101:$H$107,'CF.1'!E176,'CF.2'!$J$101:$J$107)+SUMIF('CF.2'!$K$101:$K$107,'CF.1'!E176,'CF.2'!$M$101:$M$107)</f>
        <v>0</v>
      </c>
      <c r="U176" s="509">
        <f>SUMIF('CF.2'!$H$112:$H$120,'CF.1'!E176,'CF.2'!$J$112:$J$120)+SUMIF('CF.2'!$K$112:$K$120,'CF.1'!E176,'CF.2'!$M$112:$M$120)</f>
        <v>0</v>
      </c>
      <c r="V176" s="510">
        <f t="shared" ref="V176:V180" si="27">SUM(Q176:U176)</f>
        <v>0</v>
      </c>
      <c r="X176" s="512">
        <f t="shared" ref="X176:X180" si="28">V176+O176</f>
        <v>0</v>
      </c>
    </row>
    <row r="177" spans="4:24" ht="18" customHeight="1">
      <c r="D177" s="506" t="s">
        <v>1013</v>
      </c>
      <c r="E177" s="507" t="s">
        <v>1013</v>
      </c>
      <c r="F177" s="508" t="s">
        <v>1014</v>
      </c>
      <c r="G177" s="507" t="s">
        <v>1014</v>
      </c>
      <c r="H177" s="509">
        <v>1430096963</v>
      </c>
      <c r="I177" s="509">
        <v>722167</v>
      </c>
      <c r="J177" s="509">
        <v>0</v>
      </c>
      <c r="K177" s="509">
        <v>44609</v>
      </c>
      <c r="L177" s="509">
        <v>1382579</v>
      </c>
      <c r="M177" s="509"/>
      <c r="N177" s="509">
        <v>17840987</v>
      </c>
      <c r="O177" s="510">
        <f t="shared" si="26"/>
        <v>1450087305</v>
      </c>
      <c r="Q177" s="511">
        <f>SUMIF('CF.2'!$H$5:$H$24,'CF.1'!E177,'CF.2'!$J$5:$J$24)-SUMIF('CF.2'!$K$5:$K$24,'CF.1'!E177,'CF.2'!$M$5:$M$24)</f>
        <v>0</v>
      </c>
      <c r="R177" s="509">
        <f>SUMIF('CF.2'!$H$30:$H$59,'CF.1'!E177,'CF.2'!$J$30:$J$59)+SUMIF('CF.2'!$K$30:$K$59,'CF.1'!E177,'CF.2'!$M$30:$M$59)</f>
        <v>0</v>
      </c>
      <c r="S177" s="509">
        <f>SUMIF('CF.2'!$H$64:$H$97,'CF.1'!E177,'CF.2'!$J$64:$J$97)+SUMIF('CF.2'!$K$64:$K$97,'CF.1'!E177,'CF.2'!$M$64:$M$97)</f>
        <v>0</v>
      </c>
      <c r="T177" s="509">
        <f>SUMIF('CF.2'!$H$101:$H$107,'CF.1'!E177,'CF.2'!$J$101:$J$107)+SUMIF('CF.2'!$K$101:$K$107,'CF.1'!E177,'CF.2'!$M$101:$M$107)</f>
        <v>0</v>
      </c>
      <c r="U177" s="509">
        <f>SUMIF('CF.2'!$H$112:$H$120,'CF.1'!E177,'CF.2'!$J$112:$J$120)+SUMIF('CF.2'!$K$112:$K$120,'CF.1'!E177,'CF.2'!$M$112:$M$120)</f>
        <v>0</v>
      </c>
      <c r="V177" s="510">
        <f t="shared" si="27"/>
        <v>0</v>
      </c>
      <c r="X177" s="512">
        <f t="shared" si="28"/>
        <v>1450087305</v>
      </c>
    </row>
    <row r="178" spans="4:24" ht="18" customHeight="1">
      <c r="D178" s="506" t="s">
        <v>1015</v>
      </c>
      <c r="E178" s="507" t="s">
        <v>1015</v>
      </c>
      <c r="F178" s="508" t="s">
        <v>1016</v>
      </c>
      <c r="G178" s="507" t="s">
        <v>1016</v>
      </c>
      <c r="H178" s="509">
        <v>-29206311</v>
      </c>
      <c r="I178" s="509">
        <v>0</v>
      </c>
      <c r="J178" s="509">
        <v>0</v>
      </c>
      <c r="K178" s="509">
        <v>-4829693</v>
      </c>
      <c r="L178" s="509">
        <v>0</v>
      </c>
      <c r="M178" s="509"/>
      <c r="N178" s="509">
        <v>-12831289</v>
      </c>
      <c r="O178" s="510">
        <f t="shared" si="26"/>
        <v>-46867293</v>
      </c>
      <c r="Q178" s="511">
        <f>SUMIF('CF.2'!$H$5:$H$24,'CF.1'!E178,'CF.2'!$J$5:$J$24)-SUMIF('CF.2'!$K$5:$K$24,'CF.1'!E178,'CF.2'!$M$5:$M$24)</f>
        <v>0</v>
      </c>
      <c r="R178" s="509">
        <f>SUMIF('CF.2'!$H$30:$H$59,'CF.1'!E178,'CF.2'!$J$30:$J$59)+SUMIF('CF.2'!$K$30:$K$59,'CF.1'!E178,'CF.2'!$M$30:$M$59)</f>
        <v>0</v>
      </c>
      <c r="S178" s="509">
        <f>SUMIF('CF.2'!$H$64:$H$97,'CF.1'!E178,'CF.2'!$J$64:$J$97)+SUMIF('CF.2'!$K$64:$K$97,'CF.1'!E178,'CF.2'!$M$64:$M$97)</f>
        <v>0</v>
      </c>
      <c r="T178" s="509">
        <f>SUMIF('CF.2'!$H$101:$H$107,'CF.1'!E178,'CF.2'!$J$101:$J$107)+SUMIF('CF.2'!$K$101:$K$107,'CF.1'!E178,'CF.2'!$M$101:$M$107)</f>
        <v>0</v>
      </c>
      <c r="U178" s="509">
        <f>SUMIF('CF.2'!$H$112:$H$120,'CF.1'!E178,'CF.2'!$J$112:$J$120)+SUMIF('CF.2'!$K$112:$K$120,'CF.1'!E178,'CF.2'!$M$112:$M$120)</f>
        <v>0</v>
      </c>
      <c r="V178" s="510">
        <f t="shared" si="27"/>
        <v>0</v>
      </c>
      <c r="X178" s="512">
        <f t="shared" si="28"/>
        <v>-46867293</v>
      </c>
    </row>
    <row r="179" spans="4:24" ht="18" customHeight="1">
      <c r="D179" s="506" t="s">
        <v>1017</v>
      </c>
      <c r="E179" s="507" t="s">
        <v>1017</v>
      </c>
      <c r="F179" s="508" t="s">
        <v>1018</v>
      </c>
      <c r="G179" s="507" t="s">
        <v>1018</v>
      </c>
      <c r="H179" s="509">
        <v>-141499330</v>
      </c>
      <c r="I179" s="509">
        <v>0</v>
      </c>
      <c r="J179" s="509">
        <v>-926480</v>
      </c>
      <c r="K179" s="509">
        <v>-63132238</v>
      </c>
      <c r="L179" s="509">
        <v>-662186200</v>
      </c>
      <c r="M179" s="509"/>
      <c r="N179" s="509">
        <v>-2747490</v>
      </c>
      <c r="O179" s="510">
        <f t="shared" si="26"/>
        <v>-870491738</v>
      </c>
      <c r="Q179" s="511">
        <f>SUMIF('CF.2'!$H$5:$H$24,'CF.1'!E179,'CF.2'!$J$5:$J$24)-SUMIF('CF.2'!$K$5:$K$24,'CF.1'!E179,'CF.2'!$M$5:$M$24)</f>
        <v>0</v>
      </c>
      <c r="R179" s="509">
        <f>SUMIF('CF.2'!$H$30:$H$59,'CF.1'!E179,'CF.2'!$J$30:$J$59)+SUMIF('CF.2'!$K$30:$K$59,'CF.1'!E179,'CF.2'!$M$30:$M$59)</f>
        <v>0</v>
      </c>
      <c r="S179" s="509">
        <f>SUMIF('CF.2'!$H$64:$H$97,'CF.1'!E179,'CF.2'!$J$64:$J$97)+SUMIF('CF.2'!$K$64:$K$97,'CF.1'!E179,'CF.2'!$M$64:$M$97)</f>
        <v>0</v>
      </c>
      <c r="T179" s="509">
        <f>SUMIF('CF.2'!$H$101:$H$107,'CF.1'!E179,'CF.2'!$J$101:$J$107)+SUMIF('CF.2'!$K$101:$K$107,'CF.1'!E179,'CF.2'!$M$101:$M$107)</f>
        <v>0</v>
      </c>
      <c r="U179" s="509">
        <f>SUMIF('CF.2'!$H$112:$H$120,'CF.1'!E179,'CF.2'!$J$112:$J$120)+SUMIF('CF.2'!$K$112:$K$120,'CF.1'!E179,'CF.2'!$M$112:$M$120)</f>
        <v>0</v>
      </c>
      <c r="V179" s="510">
        <f t="shared" si="27"/>
        <v>0</v>
      </c>
      <c r="X179" s="512">
        <f t="shared" si="28"/>
        <v>-870491738</v>
      </c>
    </row>
    <row r="180" spans="4:24" ht="18" customHeight="1">
      <c r="D180" s="506" t="s">
        <v>1019</v>
      </c>
      <c r="E180" s="507" t="s">
        <v>1019</v>
      </c>
      <c r="F180" s="508"/>
      <c r="G180" s="507" t="s">
        <v>1020</v>
      </c>
      <c r="H180" s="509">
        <v>0</v>
      </c>
      <c r="I180" s="509">
        <v>0</v>
      </c>
      <c r="J180" s="509">
        <v>0</v>
      </c>
      <c r="K180" s="509">
        <v>0</v>
      </c>
      <c r="L180" s="509">
        <v>0</v>
      </c>
      <c r="M180" s="509"/>
      <c r="N180" s="509">
        <v>0</v>
      </c>
      <c r="O180" s="510">
        <f t="shared" si="26"/>
        <v>0</v>
      </c>
      <c r="Q180" s="511">
        <f>SUMIF('CF.2'!$H$5:$H$24,'CF.1'!E180,'CF.2'!$J$5:$J$24)-SUMIF('CF.2'!$K$5:$K$24,'CF.1'!E180,'CF.2'!$M$5:$M$24)</f>
        <v>0</v>
      </c>
      <c r="R180" s="509">
        <f>SUMIF('CF.2'!$H$30:$H$59,'CF.1'!E180,'CF.2'!$J$30:$J$59)+SUMIF('CF.2'!$K$30:$K$59,'CF.1'!E180,'CF.2'!$M$30:$M$59)</f>
        <v>0</v>
      </c>
      <c r="S180" s="509">
        <f>SUMIF('CF.2'!$H$64:$H$97,'CF.1'!E180,'CF.2'!$J$64:$J$97)+SUMIF('CF.2'!$K$64:$K$97,'CF.1'!E180,'CF.2'!$M$64:$M$97)</f>
        <v>0</v>
      </c>
      <c r="T180" s="509">
        <f>SUMIF('CF.2'!$H$101:$H$107,'CF.1'!E180,'CF.2'!$J$101:$J$107)+SUMIF('CF.2'!$K$101:$K$107,'CF.1'!E180,'CF.2'!$M$101:$M$107)</f>
        <v>0</v>
      </c>
      <c r="U180" s="509">
        <f>SUMIF('CF.2'!$H$112:$H$120,'CF.1'!E180,'CF.2'!$J$112:$J$120)+SUMIF('CF.2'!$K$112:$K$120,'CF.1'!E180,'CF.2'!$M$112:$M$120)</f>
        <v>0</v>
      </c>
      <c r="V180" s="510">
        <f t="shared" si="27"/>
        <v>0</v>
      </c>
      <c r="X180" s="512">
        <f t="shared" si="28"/>
        <v>0</v>
      </c>
    </row>
    <row r="181" spans="4:24" ht="18" customHeight="1">
      <c r="D181" s="499" t="s">
        <v>1021</v>
      </c>
      <c r="E181" s="500" t="s">
        <v>1021</v>
      </c>
      <c r="F181" s="501"/>
      <c r="G181" s="500" t="s">
        <v>1022</v>
      </c>
      <c r="H181" s="502">
        <f t="shared" ref="H181:O181" si="29">H182+H241</f>
        <v>5518832554</v>
      </c>
      <c r="I181" s="502">
        <f t="shared" si="29"/>
        <v>0</v>
      </c>
      <c r="J181" s="502">
        <f t="shared" si="29"/>
        <v>0</v>
      </c>
      <c r="K181" s="502">
        <f t="shared" si="29"/>
        <v>3143493</v>
      </c>
      <c r="L181" s="502">
        <f t="shared" si="29"/>
        <v>172242881</v>
      </c>
      <c r="M181" s="502">
        <f t="shared" si="29"/>
        <v>0</v>
      </c>
      <c r="N181" s="502">
        <f t="shared" si="29"/>
        <v>-70054000</v>
      </c>
      <c r="O181" s="503">
        <f t="shared" si="29"/>
        <v>5624164928</v>
      </c>
      <c r="Q181" s="504">
        <f t="shared" ref="Q181:V181" si="30">Q182+Q241</f>
        <v>-1177863564</v>
      </c>
      <c r="R181" s="502">
        <f t="shared" si="30"/>
        <v>0</v>
      </c>
      <c r="S181" s="502">
        <f t="shared" si="30"/>
        <v>571650000</v>
      </c>
      <c r="T181" s="502">
        <f t="shared" si="30"/>
        <v>-7613941909</v>
      </c>
      <c r="U181" s="502">
        <f t="shared" si="30"/>
        <v>0</v>
      </c>
      <c r="V181" s="503">
        <f t="shared" si="30"/>
        <v>-8220155473</v>
      </c>
      <c r="X181" s="505">
        <f t="shared" ref="X181" si="31">X182+X241</f>
        <v>-2595990545</v>
      </c>
    </row>
    <row r="182" spans="4:24" ht="18" customHeight="1">
      <c r="D182" s="499" t="s">
        <v>1023</v>
      </c>
      <c r="E182" s="500" t="s">
        <v>1023</v>
      </c>
      <c r="F182" s="501"/>
      <c r="G182" s="500" t="s">
        <v>1024</v>
      </c>
      <c r="H182" s="502">
        <f t="shared" ref="H182:O182" si="32">SUM(H183:H240)</f>
        <v>13177841214</v>
      </c>
      <c r="I182" s="502">
        <f t="shared" si="32"/>
        <v>0</v>
      </c>
      <c r="J182" s="502">
        <f t="shared" si="32"/>
        <v>0</v>
      </c>
      <c r="K182" s="502">
        <f t="shared" si="32"/>
        <v>3143493</v>
      </c>
      <c r="L182" s="502">
        <f t="shared" si="32"/>
        <v>374416000</v>
      </c>
      <c r="M182" s="502">
        <f t="shared" si="32"/>
        <v>0</v>
      </c>
      <c r="N182" s="502">
        <f t="shared" si="32"/>
        <v>0</v>
      </c>
      <c r="O182" s="503">
        <f t="shared" si="32"/>
        <v>13555400707</v>
      </c>
      <c r="Q182" s="504">
        <f t="shared" ref="Q182:V182" si="33">SUM(Q183:Q240)</f>
        <v>-926599758</v>
      </c>
      <c r="R182" s="502">
        <f t="shared" si="33"/>
        <v>0</v>
      </c>
      <c r="S182" s="502">
        <f t="shared" si="33"/>
        <v>-374416000</v>
      </c>
      <c r="T182" s="502">
        <f t="shared" si="33"/>
        <v>-7613941909</v>
      </c>
      <c r="U182" s="502">
        <f t="shared" si="33"/>
        <v>0</v>
      </c>
      <c r="V182" s="503">
        <f t="shared" si="33"/>
        <v>-8914957667</v>
      </c>
      <c r="X182" s="505">
        <f t="shared" ref="X182" si="34">SUM(X183:X240)</f>
        <v>4640443040</v>
      </c>
    </row>
    <row r="183" spans="4:24" ht="18" customHeight="1">
      <c r="D183" s="506" t="s">
        <v>1025</v>
      </c>
      <c r="E183" s="507" t="s">
        <v>1025</v>
      </c>
      <c r="F183" s="508"/>
      <c r="G183" s="507" t="s">
        <v>1026</v>
      </c>
      <c r="H183" s="509">
        <v>0</v>
      </c>
      <c r="I183" s="509">
        <v>0</v>
      </c>
      <c r="J183" s="509">
        <v>0</v>
      </c>
      <c r="K183" s="509">
        <v>0</v>
      </c>
      <c r="L183" s="509">
        <v>374416000</v>
      </c>
      <c r="M183" s="509"/>
      <c r="N183" s="509">
        <v>0</v>
      </c>
      <c r="O183" s="510">
        <f t="shared" ref="O183:O240" si="35">SUM(H183:N183)</f>
        <v>374416000</v>
      </c>
      <c r="Q183" s="511">
        <f>SUMIF('CF.2'!$H$5:$H$24,'CF.1'!E183,'CF.2'!$J$5:$J$24)-SUMIF('CF.2'!$K$5:$K$24,'CF.1'!E183,'CF.2'!$M$5:$M$24)</f>
        <v>0</v>
      </c>
      <c r="R183" s="509">
        <f>SUMIF('CF.2'!$H$30:$H$59,'CF.1'!E183,'CF.2'!$J$30:$J$59)+SUMIF('CF.2'!$K$30:$K$59,'CF.1'!E183,'CF.2'!$M$30:$M$59)</f>
        <v>0</v>
      </c>
      <c r="S183" s="509">
        <f>SUMIF('CF.2'!$H$64:$H$97,'CF.1'!E183,'CF.2'!$J$64:$J$97)+SUMIF('CF.2'!$K$64:$K$97,'CF.1'!E183,'CF.2'!$M$64:$M$97)</f>
        <v>-374416000</v>
      </c>
      <c r="T183" s="509">
        <f>SUMIF('CF.2'!$H$101:$H$107,'CF.1'!E183,'CF.2'!$J$101:$J$107)+SUMIF('CF.2'!$K$101:$K$107,'CF.1'!E183,'CF.2'!$M$101:$M$107)</f>
        <v>0</v>
      </c>
      <c r="U183" s="509">
        <f>SUMIF('CF.2'!$H$112:$H$120,'CF.1'!E183,'CF.2'!$J$112:$J$120)+SUMIF('CF.2'!$K$112:$K$120,'CF.1'!E183,'CF.2'!$M$112:$M$120)</f>
        <v>0</v>
      </c>
      <c r="V183" s="510">
        <f t="shared" ref="V183:V240" si="36">SUM(Q183:U183)</f>
        <v>-374416000</v>
      </c>
      <c r="X183" s="512">
        <f t="shared" ref="X183:X240" si="37">V183+O183</f>
        <v>0</v>
      </c>
    </row>
    <row r="184" spans="4:24" ht="18" customHeight="1">
      <c r="D184" s="506" t="s">
        <v>1027</v>
      </c>
      <c r="E184" s="507" t="s">
        <v>1027</v>
      </c>
      <c r="F184" s="508" t="s">
        <v>1489</v>
      </c>
      <c r="G184" s="507" t="s">
        <v>1028</v>
      </c>
      <c r="H184" s="509">
        <v>5388699833</v>
      </c>
      <c r="I184" s="509">
        <v>0</v>
      </c>
      <c r="J184" s="509">
        <v>0</v>
      </c>
      <c r="K184" s="509">
        <v>0</v>
      </c>
      <c r="L184" s="509">
        <v>0</v>
      </c>
      <c r="M184" s="509"/>
      <c r="N184" s="509">
        <v>0</v>
      </c>
      <c r="O184" s="510">
        <f t="shared" si="35"/>
        <v>5388699833</v>
      </c>
      <c r="Q184" s="511">
        <f>SUMIF('CF.2'!$H$5:$H$24,'CF.1'!E184,'CF.2'!$J$5:$J$24)-SUMIF('CF.2'!$K$5:$K$24,'CF.1'!E184,'CF.2'!$M$5:$M$24)</f>
        <v>0</v>
      </c>
      <c r="R184" s="509">
        <f>SUMIF('CF.2'!$H$30:$H$59,'CF.1'!E184,'CF.2'!$J$30:$J$59)+SUMIF('CF.2'!$K$30:$K$59,'CF.1'!E184,'CF.2'!$M$30:$M$59)</f>
        <v>0</v>
      </c>
      <c r="S184" s="509">
        <f>SUMIF('CF.2'!$H$64:$H$97,'CF.1'!E184,'CF.2'!$J$64:$J$97)+SUMIF('CF.2'!$K$64:$K$97,'CF.1'!E184,'CF.2'!$M$64:$M$97)</f>
        <v>0</v>
      </c>
      <c r="T184" s="509">
        <f>SUMIF('CF.2'!$H$101:$H$107,'CF.1'!E184,'CF.2'!$J$101:$J$107)+SUMIF('CF.2'!$K$101:$K$107,'CF.1'!E184,'CF.2'!$M$101:$M$107)</f>
        <v>0</v>
      </c>
      <c r="U184" s="509">
        <f>SUMIF('CF.2'!$H$112:$H$120,'CF.1'!E184,'CF.2'!$J$112:$J$120)+SUMIF('CF.2'!$K$112:$K$120,'CF.1'!E184,'CF.2'!$M$112:$M$120)</f>
        <v>0</v>
      </c>
      <c r="V184" s="510">
        <f t="shared" si="36"/>
        <v>0</v>
      </c>
      <c r="X184" s="512">
        <f t="shared" si="37"/>
        <v>5388699833</v>
      </c>
    </row>
    <row r="185" spans="4:24" ht="18" customHeight="1">
      <c r="D185" s="506" t="s">
        <v>1029</v>
      </c>
      <c r="E185" s="507" t="s">
        <v>1029</v>
      </c>
      <c r="F185" s="508"/>
      <c r="G185" s="507" t="s">
        <v>1030</v>
      </c>
      <c r="H185" s="509">
        <v>0</v>
      </c>
      <c r="I185" s="509">
        <v>0</v>
      </c>
      <c r="J185" s="509">
        <v>0</v>
      </c>
      <c r="K185" s="509">
        <v>0</v>
      </c>
      <c r="L185" s="509">
        <v>0</v>
      </c>
      <c r="M185" s="509"/>
      <c r="N185" s="509">
        <v>0</v>
      </c>
      <c r="O185" s="510">
        <f t="shared" si="35"/>
        <v>0</v>
      </c>
      <c r="Q185" s="511">
        <f>SUMIF('CF.2'!$H$5:$H$24,'CF.1'!E185,'CF.2'!$J$5:$J$24)-SUMIF('CF.2'!$K$5:$K$24,'CF.1'!E185,'CF.2'!$M$5:$M$24)</f>
        <v>0</v>
      </c>
      <c r="R185" s="509">
        <f>SUMIF('CF.2'!$H$30:$H$59,'CF.1'!E185,'CF.2'!$J$30:$J$59)+SUMIF('CF.2'!$K$30:$K$59,'CF.1'!E185,'CF.2'!$M$30:$M$59)</f>
        <v>0</v>
      </c>
      <c r="S185" s="509">
        <f>SUMIF('CF.2'!$H$64:$H$97,'CF.1'!E185,'CF.2'!$J$64:$J$97)+SUMIF('CF.2'!$K$64:$K$97,'CF.1'!E185,'CF.2'!$M$64:$M$97)</f>
        <v>0</v>
      </c>
      <c r="T185" s="509">
        <f>SUMIF('CF.2'!$H$101:$H$107,'CF.1'!E185,'CF.2'!$J$101:$J$107)+SUMIF('CF.2'!$K$101:$K$107,'CF.1'!E185,'CF.2'!$M$101:$M$107)</f>
        <v>0</v>
      </c>
      <c r="U185" s="509">
        <f>SUMIF('CF.2'!$H$112:$H$120,'CF.1'!E185,'CF.2'!$J$112:$J$120)+SUMIF('CF.2'!$K$112:$K$120,'CF.1'!E185,'CF.2'!$M$112:$M$120)</f>
        <v>0</v>
      </c>
      <c r="V185" s="510">
        <f t="shared" si="36"/>
        <v>0</v>
      </c>
      <c r="X185" s="512">
        <f t="shared" si="37"/>
        <v>0</v>
      </c>
    </row>
    <row r="186" spans="4:24" ht="18" customHeight="1">
      <c r="D186" s="506" t="s">
        <v>1031</v>
      </c>
      <c r="E186" s="507" t="s">
        <v>1031</v>
      </c>
      <c r="F186" s="508"/>
      <c r="G186" s="507" t="s">
        <v>1032</v>
      </c>
      <c r="H186" s="509">
        <v>0</v>
      </c>
      <c r="I186" s="509">
        <v>0</v>
      </c>
      <c r="J186" s="509">
        <v>0</v>
      </c>
      <c r="K186" s="509">
        <v>0</v>
      </c>
      <c r="L186" s="509">
        <v>0</v>
      </c>
      <c r="M186" s="509"/>
      <c r="N186" s="509">
        <v>0</v>
      </c>
      <c r="O186" s="510">
        <f t="shared" si="35"/>
        <v>0</v>
      </c>
      <c r="Q186" s="511">
        <f>SUMIF('CF.2'!$H$5:$H$24,'CF.1'!E186,'CF.2'!$J$5:$J$24)-SUMIF('CF.2'!$K$5:$K$24,'CF.1'!E186,'CF.2'!$M$5:$M$24)</f>
        <v>0</v>
      </c>
      <c r="R186" s="509">
        <f>SUMIF('CF.2'!$H$30:$H$59,'CF.1'!E186,'CF.2'!$J$30:$J$59)+SUMIF('CF.2'!$K$30:$K$59,'CF.1'!E186,'CF.2'!$M$30:$M$59)</f>
        <v>0</v>
      </c>
      <c r="S186" s="509">
        <f>SUMIF('CF.2'!$H$64:$H$97,'CF.1'!E186,'CF.2'!$J$64:$J$97)+SUMIF('CF.2'!$K$64:$K$97,'CF.1'!E186,'CF.2'!$M$64:$M$97)</f>
        <v>0</v>
      </c>
      <c r="T186" s="509">
        <f>SUMIF('CF.2'!$H$101:$H$107,'CF.1'!E186,'CF.2'!$J$101:$J$107)+SUMIF('CF.2'!$K$101:$K$107,'CF.1'!E186,'CF.2'!$M$101:$M$107)</f>
        <v>0</v>
      </c>
      <c r="U186" s="509">
        <f>SUMIF('CF.2'!$H$112:$H$120,'CF.1'!E186,'CF.2'!$J$112:$J$120)+SUMIF('CF.2'!$K$112:$K$120,'CF.1'!E186,'CF.2'!$M$112:$M$120)</f>
        <v>0</v>
      </c>
      <c r="V186" s="510">
        <f t="shared" si="36"/>
        <v>0</v>
      </c>
      <c r="X186" s="512">
        <f t="shared" si="37"/>
        <v>0</v>
      </c>
    </row>
    <row r="187" spans="4:24" ht="18" customHeight="1">
      <c r="D187" s="506" t="s">
        <v>1033</v>
      </c>
      <c r="E187" s="507" t="s">
        <v>1033</v>
      </c>
      <c r="F187" s="508"/>
      <c r="G187" s="507" t="s">
        <v>1034</v>
      </c>
      <c r="H187" s="509">
        <v>0</v>
      </c>
      <c r="I187" s="509">
        <v>0</v>
      </c>
      <c r="J187" s="509">
        <v>0</v>
      </c>
      <c r="K187" s="509">
        <v>0</v>
      </c>
      <c r="L187" s="509">
        <v>0</v>
      </c>
      <c r="M187" s="509"/>
      <c r="N187" s="509">
        <v>0</v>
      </c>
      <c r="O187" s="510">
        <f t="shared" si="35"/>
        <v>0</v>
      </c>
      <c r="Q187" s="511">
        <f>SUMIF('CF.2'!$H$5:$H$24,'CF.1'!E187,'CF.2'!$J$5:$J$24)-SUMIF('CF.2'!$K$5:$K$24,'CF.1'!E187,'CF.2'!$M$5:$M$24)</f>
        <v>0</v>
      </c>
      <c r="R187" s="509">
        <f>SUMIF('CF.2'!$H$30:$H$59,'CF.1'!E187,'CF.2'!$J$30:$J$59)+SUMIF('CF.2'!$K$30:$K$59,'CF.1'!E187,'CF.2'!$M$30:$M$59)</f>
        <v>0</v>
      </c>
      <c r="S187" s="509">
        <f>SUMIF('CF.2'!$H$64:$H$97,'CF.1'!E187,'CF.2'!$J$64:$J$97)+SUMIF('CF.2'!$K$64:$K$97,'CF.1'!E187,'CF.2'!$M$64:$M$97)</f>
        <v>0</v>
      </c>
      <c r="T187" s="509">
        <f>SUMIF('CF.2'!$H$101:$H$107,'CF.1'!E187,'CF.2'!$J$101:$J$107)+SUMIF('CF.2'!$K$101:$K$107,'CF.1'!E187,'CF.2'!$M$101:$M$107)</f>
        <v>0</v>
      </c>
      <c r="U187" s="509">
        <f>SUMIF('CF.2'!$H$112:$H$120,'CF.1'!E187,'CF.2'!$J$112:$J$120)+SUMIF('CF.2'!$K$112:$K$120,'CF.1'!E187,'CF.2'!$M$112:$M$120)</f>
        <v>0</v>
      </c>
      <c r="V187" s="510">
        <f t="shared" si="36"/>
        <v>0</v>
      </c>
      <c r="X187" s="512">
        <f t="shared" si="37"/>
        <v>0</v>
      </c>
    </row>
    <row r="188" spans="4:24" ht="18" customHeight="1">
      <c r="D188" s="506" t="s">
        <v>1035</v>
      </c>
      <c r="E188" s="507" t="s">
        <v>1035</v>
      </c>
      <c r="F188" s="508"/>
      <c r="G188" s="507" t="s">
        <v>1036</v>
      </c>
      <c r="H188" s="509">
        <v>0</v>
      </c>
      <c r="I188" s="509">
        <v>0</v>
      </c>
      <c r="J188" s="509">
        <v>0</v>
      </c>
      <c r="K188" s="509">
        <v>0</v>
      </c>
      <c r="L188" s="509">
        <v>0</v>
      </c>
      <c r="M188" s="509"/>
      <c r="N188" s="509">
        <v>0</v>
      </c>
      <c r="O188" s="510">
        <f t="shared" si="35"/>
        <v>0</v>
      </c>
      <c r="Q188" s="511">
        <f>SUMIF('CF.2'!$H$5:$H$24,'CF.1'!E188,'CF.2'!$J$5:$J$24)-SUMIF('CF.2'!$K$5:$K$24,'CF.1'!E188,'CF.2'!$M$5:$M$24)</f>
        <v>0</v>
      </c>
      <c r="R188" s="509">
        <f>SUMIF('CF.2'!$H$30:$H$59,'CF.1'!E188,'CF.2'!$J$30:$J$59)+SUMIF('CF.2'!$K$30:$K$59,'CF.1'!E188,'CF.2'!$M$30:$M$59)</f>
        <v>0</v>
      </c>
      <c r="S188" s="509">
        <f>SUMIF('CF.2'!$H$64:$H$97,'CF.1'!E188,'CF.2'!$J$64:$J$97)+SUMIF('CF.2'!$K$64:$K$97,'CF.1'!E188,'CF.2'!$M$64:$M$97)</f>
        <v>0</v>
      </c>
      <c r="T188" s="509">
        <f>SUMIF('CF.2'!$H$101:$H$107,'CF.1'!E188,'CF.2'!$J$101:$J$107)+SUMIF('CF.2'!$K$101:$K$107,'CF.1'!E188,'CF.2'!$M$101:$M$107)</f>
        <v>0</v>
      </c>
      <c r="U188" s="509">
        <f>SUMIF('CF.2'!$H$112:$H$120,'CF.1'!E188,'CF.2'!$J$112:$J$120)+SUMIF('CF.2'!$K$112:$K$120,'CF.1'!E188,'CF.2'!$M$112:$M$120)</f>
        <v>0</v>
      </c>
      <c r="V188" s="510">
        <f t="shared" si="36"/>
        <v>0</v>
      </c>
      <c r="X188" s="512">
        <f t="shared" si="37"/>
        <v>0</v>
      </c>
    </row>
    <row r="189" spans="4:24" ht="18" customHeight="1">
      <c r="D189" s="506" t="s">
        <v>1037</v>
      </c>
      <c r="E189" s="507" t="s">
        <v>1037</v>
      </c>
      <c r="F189" s="508"/>
      <c r="G189" s="507" t="s">
        <v>1038</v>
      </c>
      <c r="H189" s="509">
        <v>0</v>
      </c>
      <c r="I189" s="509">
        <v>0</v>
      </c>
      <c r="J189" s="509">
        <v>0</v>
      </c>
      <c r="K189" s="509">
        <v>0</v>
      </c>
      <c r="L189" s="509">
        <v>0</v>
      </c>
      <c r="M189" s="509"/>
      <c r="N189" s="509">
        <v>0</v>
      </c>
      <c r="O189" s="510">
        <f t="shared" si="35"/>
        <v>0</v>
      </c>
      <c r="Q189" s="511">
        <f>SUMIF('CF.2'!$H$5:$H$24,'CF.1'!E189,'CF.2'!$J$5:$J$24)-SUMIF('CF.2'!$K$5:$K$24,'CF.1'!E189,'CF.2'!$M$5:$M$24)</f>
        <v>0</v>
      </c>
      <c r="R189" s="509">
        <f>SUMIF('CF.2'!$H$30:$H$59,'CF.1'!E189,'CF.2'!$J$30:$J$59)+SUMIF('CF.2'!$K$30:$K$59,'CF.1'!E189,'CF.2'!$M$30:$M$59)</f>
        <v>0</v>
      </c>
      <c r="S189" s="509">
        <f>SUMIF('CF.2'!$H$64:$H$97,'CF.1'!E189,'CF.2'!$J$64:$J$97)+SUMIF('CF.2'!$K$64:$K$97,'CF.1'!E189,'CF.2'!$M$64:$M$97)</f>
        <v>0</v>
      </c>
      <c r="T189" s="509">
        <f>SUMIF('CF.2'!$H$101:$H$107,'CF.1'!E189,'CF.2'!$J$101:$J$107)+SUMIF('CF.2'!$K$101:$K$107,'CF.1'!E189,'CF.2'!$M$101:$M$107)</f>
        <v>0</v>
      </c>
      <c r="U189" s="509">
        <f>SUMIF('CF.2'!$H$112:$H$120,'CF.1'!E189,'CF.2'!$J$112:$J$120)+SUMIF('CF.2'!$K$112:$K$120,'CF.1'!E189,'CF.2'!$M$112:$M$120)</f>
        <v>0</v>
      </c>
      <c r="V189" s="510">
        <f t="shared" si="36"/>
        <v>0</v>
      </c>
      <c r="X189" s="512">
        <f t="shared" si="37"/>
        <v>0</v>
      </c>
    </row>
    <row r="190" spans="4:24" ht="18" customHeight="1">
      <c r="D190" s="506" t="s">
        <v>1039</v>
      </c>
      <c r="E190" s="507" t="s">
        <v>1384</v>
      </c>
      <c r="F190" s="508" t="s">
        <v>1383</v>
      </c>
      <c r="G190" s="507" t="s">
        <v>1383</v>
      </c>
      <c r="H190" s="509">
        <v>171745000</v>
      </c>
      <c r="I190" s="509">
        <v>0</v>
      </c>
      <c r="J190" s="509">
        <v>0</v>
      </c>
      <c r="K190" s="509">
        <v>0</v>
      </c>
      <c r="L190" s="509">
        <v>0</v>
      </c>
      <c r="M190" s="509"/>
      <c r="N190" s="509">
        <v>0</v>
      </c>
      <c r="O190" s="510">
        <f t="shared" si="35"/>
        <v>171745000</v>
      </c>
      <c r="Q190" s="511">
        <f>SUMIF('CF.2'!$H$5:$H$24,'CF.1'!E190,'CF.2'!$J$5:$J$24)-SUMIF('CF.2'!$K$5:$K$24,'CF.1'!E190,'CF.2'!$M$5:$M$24)</f>
        <v>0</v>
      </c>
      <c r="R190" s="509">
        <f>SUMIF('CF.2'!$H$30:$H$59,'CF.1'!E190,'CF.2'!$J$30:$J$59)+SUMIF('CF.2'!$K$30:$K$59,'CF.1'!E190,'CF.2'!$M$30:$M$59)</f>
        <v>0</v>
      </c>
      <c r="S190" s="509">
        <f>SUMIF('CF.2'!$H$64:$H$97,'CF.1'!E190,'CF.2'!$J$64:$J$97)+SUMIF('CF.2'!$K$64:$K$97,'CF.1'!E190,'CF.2'!$M$64:$M$97)</f>
        <v>0</v>
      </c>
      <c r="T190" s="509">
        <f>SUMIF('CF.2'!$H$101:$H$107,'CF.1'!E190,'CF.2'!$J$101:$J$107)+SUMIF('CF.2'!$K$101:$K$107,'CF.1'!E190,'CF.2'!$M$101:$M$107)</f>
        <v>0</v>
      </c>
      <c r="U190" s="509">
        <f>SUMIF('CF.2'!$H$112:$H$120,'CF.1'!E190,'CF.2'!$J$112:$J$120)+SUMIF('CF.2'!$K$112:$K$120,'CF.1'!E190,'CF.2'!$M$112:$M$120)</f>
        <v>0</v>
      </c>
      <c r="V190" s="510">
        <f t="shared" si="36"/>
        <v>0</v>
      </c>
      <c r="X190" s="512">
        <f t="shared" si="37"/>
        <v>171745000</v>
      </c>
    </row>
    <row r="191" spans="4:24" ht="18" customHeight="1">
      <c r="D191" s="506" t="s">
        <v>1039</v>
      </c>
      <c r="E191" s="507" t="s">
        <v>1385</v>
      </c>
      <c r="F191" s="508" t="s">
        <v>1386</v>
      </c>
      <c r="G191" s="507" t="s">
        <v>1386</v>
      </c>
      <c r="H191" s="509">
        <v>726000</v>
      </c>
      <c r="I191" s="509">
        <v>0</v>
      </c>
      <c r="J191" s="509">
        <v>0</v>
      </c>
      <c r="K191" s="509">
        <v>0</v>
      </c>
      <c r="L191" s="509">
        <v>0</v>
      </c>
      <c r="M191" s="509"/>
      <c r="N191" s="509">
        <v>0</v>
      </c>
      <c r="O191" s="510">
        <f t="shared" si="35"/>
        <v>726000</v>
      </c>
      <c r="Q191" s="511">
        <f>SUMIF('CF.2'!$H$5:$H$24,'CF.1'!E191,'CF.2'!$J$5:$J$24)-SUMIF('CF.2'!$K$5:$K$24,'CF.1'!E191,'CF.2'!$M$5:$M$24)</f>
        <v>0</v>
      </c>
      <c r="R191" s="509">
        <f>SUMIF('CF.2'!$H$30:$H$59,'CF.1'!E191,'CF.2'!$J$30:$J$59)+SUMIF('CF.2'!$K$30:$K$59,'CF.1'!E191,'CF.2'!$M$30:$M$59)</f>
        <v>0</v>
      </c>
      <c r="S191" s="509">
        <f>SUMIF('CF.2'!$H$64:$H$97,'CF.1'!E191,'CF.2'!$J$64:$J$97)+SUMIF('CF.2'!$K$64:$K$97,'CF.1'!E191,'CF.2'!$M$64:$M$97)</f>
        <v>0</v>
      </c>
      <c r="T191" s="509">
        <f>SUMIF('CF.2'!$H$101:$H$107,'CF.1'!E191,'CF.2'!$J$101:$J$107)+SUMIF('CF.2'!$K$101:$K$107,'CF.1'!E191,'CF.2'!$M$101:$M$107)</f>
        <v>0</v>
      </c>
      <c r="U191" s="509">
        <f>SUMIF('CF.2'!$H$112:$H$120,'CF.1'!E191,'CF.2'!$J$112:$J$120)+SUMIF('CF.2'!$K$112:$K$120,'CF.1'!E191,'CF.2'!$M$112:$M$120)</f>
        <v>0</v>
      </c>
      <c r="V191" s="510">
        <f t="shared" si="36"/>
        <v>0</v>
      </c>
      <c r="X191" s="512">
        <f t="shared" si="37"/>
        <v>726000</v>
      </c>
    </row>
    <row r="192" spans="4:24" ht="18" customHeight="1">
      <c r="D192" s="506" t="s">
        <v>1041</v>
      </c>
      <c r="E192" s="507" t="s">
        <v>1041</v>
      </c>
      <c r="F192" s="508"/>
      <c r="G192" s="507" t="s">
        <v>1042</v>
      </c>
      <c r="H192" s="509">
        <v>0</v>
      </c>
      <c r="I192" s="509">
        <v>0</v>
      </c>
      <c r="J192" s="509">
        <v>0</v>
      </c>
      <c r="K192" s="509">
        <v>0</v>
      </c>
      <c r="L192" s="509">
        <v>0</v>
      </c>
      <c r="M192" s="509"/>
      <c r="N192" s="509">
        <v>0</v>
      </c>
      <c r="O192" s="510">
        <f t="shared" si="35"/>
        <v>0</v>
      </c>
      <c r="Q192" s="511">
        <f>SUMIF('CF.2'!$H$5:$H$24,'CF.1'!E192,'CF.2'!$J$5:$J$24)-SUMIF('CF.2'!$K$5:$K$24,'CF.1'!E192,'CF.2'!$M$5:$M$24)</f>
        <v>0</v>
      </c>
      <c r="R192" s="509">
        <f>SUMIF('CF.2'!$H$30:$H$59,'CF.1'!E192,'CF.2'!$J$30:$J$59)+SUMIF('CF.2'!$K$30:$K$59,'CF.1'!E192,'CF.2'!$M$30:$M$59)</f>
        <v>0</v>
      </c>
      <c r="S192" s="509">
        <f>SUMIF('CF.2'!$H$64:$H$97,'CF.1'!E192,'CF.2'!$J$64:$J$97)+SUMIF('CF.2'!$K$64:$K$97,'CF.1'!E192,'CF.2'!$M$64:$M$97)</f>
        <v>0</v>
      </c>
      <c r="T192" s="509">
        <f>SUMIF('CF.2'!$H$101:$H$107,'CF.1'!E192,'CF.2'!$J$101:$J$107)+SUMIF('CF.2'!$K$101:$K$107,'CF.1'!E192,'CF.2'!$M$101:$M$107)</f>
        <v>0</v>
      </c>
      <c r="U192" s="509">
        <f>SUMIF('CF.2'!$H$112:$H$120,'CF.1'!E192,'CF.2'!$J$112:$J$120)+SUMIF('CF.2'!$K$112:$K$120,'CF.1'!E192,'CF.2'!$M$112:$M$120)</f>
        <v>0</v>
      </c>
      <c r="V192" s="510">
        <f t="shared" si="36"/>
        <v>0</v>
      </c>
      <c r="X192" s="512">
        <f t="shared" si="37"/>
        <v>0</v>
      </c>
    </row>
    <row r="193" spans="4:24" ht="18" customHeight="1">
      <c r="D193" s="506" t="s">
        <v>1043</v>
      </c>
      <c r="E193" s="507" t="s">
        <v>1043</v>
      </c>
      <c r="F193" s="508"/>
      <c r="G193" s="507" t="s">
        <v>1044</v>
      </c>
      <c r="H193" s="509">
        <v>0</v>
      </c>
      <c r="I193" s="509">
        <v>0</v>
      </c>
      <c r="J193" s="509">
        <v>0</v>
      </c>
      <c r="K193" s="509">
        <v>0</v>
      </c>
      <c r="L193" s="509">
        <v>0</v>
      </c>
      <c r="M193" s="509"/>
      <c r="N193" s="509">
        <v>0</v>
      </c>
      <c r="O193" s="510">
        <f t="shared" si="35"/>
        <v>0</v>
      </c>
      <c r="Q193" s="511">
        <f>SUMIF('CF.2'!$H$5:$H$24,'CF.1'!E193,'CF.2'!$J$5:$J$24)-SUMIF('CF.2'!$K$5:$K$24,'CF.1'!E193,'CF.2'!$M$5:$M$24)</f>
        <v>0</v>
      </c>
      <c r="R193" s="509">
        <f>SUMIF('CF.2'!$H$30:$H$59,'CF.1'!E193,'CF.2'!$J$30:$J$59)+SUMIF('CF.2'!$K$30:$K$59,'CF.1'!E193,'CF.2'!$M$30:$M$59)</f>
        <v>0</v>
      </c>
      <c r="S193" s="509">
        <f>SUMIF('CF.2'!$H$64:$H$97,'CF.1'!E193,'CF.2'!$J$64:$J$97)+SUMIF('CF.2'!$K$64:$K$97,'CF.1'!E193,'CF.2'!$M$64:$M$97)</f>
        <v>0</v>
      </c>
      <c r="T193" s="509">
        <f>SUMIF('CF.2'!$H$101:$H$107,'CF.1'!E193,'CF.2'!$J$101:$J$107)+SUMIF('CF.2'!$K$101:$K$107,'CF.1'!E193,'CF.2'!$M$101:$M$107)</f>
        <v>0</v>
      </c>
      <c r="U193" s="509">
        <f>SUMIF('CF.2'!$H$112:$H$120,'CF.1'!E193,'CF.2'!$J$112:$J$120)+SUMIF('CF.2'!$K$112:$K$120,'CF.1'!E193,'CF.2'!$M$112:$M$120)</f>
        <v>0</v>
      </c>
      <c r="V193" s="510">
        <f t="shared" si="36"/>
        <v>0</v>
      </c>
      <c r="X193" s="512">
        <f t="shared" si="37"/>
        <v>0</v>
      </c>
    </row>
    <row r="194" spans="4:24" ht="18" customHeight="1">
      <c r="D194" s="506" t="s">
        <v>1045</v>
      </c>
      <c r="E194" s="507" t="s">
        <v>1045</v>
      </c>
      <c r="F194" s="508"/>
      <c r="G194" s="507" t="s">
        <v>1046</v>
      </c>
      <c r="H194" s="509">
        <v>0</v>
      </c>
      <c r="I194" s="509">
        <v>0</v>
      </c>
      <c r="J194" s="509">
        <v>0</v>
      </c>
      <c r="K194" s="509">
        <v>0</v>
      </c>
      <c r="L194" s="509">
        <v>0</v>
      </c>
      <c r="M194" s="509"/>
      <c r="N194" s="509">
        <v>0</v>
      </c>
      <c r="O194" s="510">
        <f t="shared" si="35"/>
        <v>0</v>
      </c>
      <c r="Q194" s="511">
        <f>SUMIF('CF.2'!$H$5:$H$24,'CF.1'!E194,'CF.2'!$J$5:$J$24)-SUMIF('CF.2'!$K$5:$K$24,'CF.1'!E194,'CF.2'!$M$5:$M$24)</f>
        <v>0</v>
      </c>
      <c r="R194" s="509">
        <f>SUMIF('CF.2'!$H$30:$H$59,'CF.1'!E194,'CF.2'!$J$30:$J$59)+SUMIF('CF.2'!$K$30:$K$59,'CF.1'!E194,'CF.2'!$M$30:$M$59)</f>
        <v>0</v>
      </c>
      <c r="S194" s="509">
        <f>SUMIF('CF.2'!$H$64:$H$97,'CF.1'!E194,'CF.2'!$J$64:$J$97)+SUMIF('CF.2'!$K$64:$K$97,'CF.1'!E194,'CF.2'!$M$64:$M$97)</f>
        <v>0</v>
      </c>
      <c r="T194" s="509">
        <f>SUMIF('CF.2'!$H$101:$H$107,'CF.1'!E194,'CF.2'!$J$101:$J$107)+SUMIF('CF.2'!$K$101:$K$107,'CF.1'!E194,'CF.2'!$M$101:$M$107)</f>
        <v>0</v>
      </c>
      <c r="U194" s="509">
        <f>SUMIF('CF.2'!$H$112:$H$120,'CF.1'!E194,'CF.2'!$J$112:$J$120)+SUMIF('CF.2'!$K$112:$K$120,'CF.1'!E194,'CF.2'!$M$112:$M$120)</f>
        <v>0</v>
      </c>
      <c r="V194" s="510">
        <f t="shared" si="36"/>
        <v>0</v>
      </c>
      <c r="X194" s="512">
        <f t="shared" si="37"/>
        <v>0</v>
      </c>
    </row>
    <row r="195" spans="4:24" ht="18" customHeight="1">
      <c r="D195" s="506" t="s">
        <v>1047</v>
      </c>
      <c r="E195" s="507" t="s">
        <v>1047</v>
      </c>
      <c r="F195" s="508"/>
      <c r="G195" s="507" t="s">
        <v>1048</v>
      </c>
      <c r="H195" s="509">
        <v>0</v>
      </c>
      <c r="I195" s="509">
        <v>0</v>
      </c>
      <c r="J195" s="509">
        <v>0</v>
      </c>
      <c r="K195" s="509">
        <v>0</v>
      </c>
      <c r="L195" s="509">
        <v>0</v>
      </c>
      <c r="M195" s="509"/>
      <c r="N195" s="509">
        <v>0</v>
      </c>
      <c r="O195" s="510">
        <f t="shared" si="35"/>
        <v>0</v>
      </c>
      <c r="Q195" s="511">
        <f>SUMIF('CF.2'!$H$5:$H$24,'CF.1'!E195,'CF.2'!$J$5:$J$24)-SUMIF('CF.2'!$K$5:$K$24,'CF.1'!E195,'CF.2'!$M$5:$M$24)</f>
        <v>0</v>
      </c>
      <c r="R195" s="509">
        <f>SUMIF('CF.2'!$H$30:$H$59,'CF.1'!E195,'CF.2'!$J$30:$J$59)+SUMIF('CF.2'!$K$30:$K$59,'CF.1'!E195,'CF.2'!$M$30:$M$59)</f>
        <v>0</v>
      </c>
      <c r="S195" s="509">
        <f>SUMIF('CF.2'!$H$64:$H$97,'CF.1'!E195,'CF.2'!$J$64:$J$97)+SUMIF('CF.2'!$K$64:$K$97,'CF.1'!E195,'CF.2'!$M$64:$M$97)</f>
        <v>0</v>
      </c>
      <c r="T195" s="509">
        <f>SUMIF('CF.2'!$H$101:$H$107,'CF.1'!E195,'CF.2'!$J$101:$J$107)+SUMIF('CF.2'!$K$101:$K$107,'CF.1'!E195,'CF.2'!$M$101:$M$107)</f>
        <v>0</v>
      </c>
      <c r="U195" s="509">
        <f>SUMIF('CF.2'!$H$112:$H$120,'CF.1'!E195,'CF.2'!$J$112:$J$120)+SUMIF('CF.2'!$K$112:$K$120,'CF.1'!E195,'CF.2'!$M$112:$M$120)</f>
        <v>0</v>
      </c>
      <c r="V195" s="510">
        <f t="shared" si="36"/>
        <v>0</v>
      </c>
      <c r="X195" s="512">
        <f t="shared" si="37"/>
        <v>0</v>
      </c>
    </row>
    <row r="196" spans="4:24" ht="18" customHeight="1">
      <c r="D196" s="506" t="s">
        <v>1049</v>
      </c>
      <c r="E196" s="507" t="s">
        <v>1049</v>
      </c>
      <c r="F196" s="508"/>
      <c r="G196" s="507" t="s">
        <v>1050</v>
      </c>
      <c r="H196" s="509">
        <v>0</v>
      </c>
      <c r="I196" s="509">
        <v>0</v>
      </c>
      <c r="J196" s="509">
        <v>0</v>
      </c>
      <c r="K196" s="509">
        <v>0</v>
      </c>
      <c r="L196" s="509">
        <v>0</v>
      </c>
      <c r="M196" s="509"/>
      <c r="N196" s="509">
        <v>0</v>
      </c>
      <c r="O196" s="510">
        <f t="shared" si="35"/>
        <v>0</v>
      </c>
      <c r="Q196" s="511">
        <f>SUMIF('CF.2'!$H$5:$H$24,'CF.1'!E196,'CF.2'!$J$5:$J$24)-SUMIF('CF.2'!$K$5:$K$24,'CF.1'!E196,'CF.2'!$M$5:$M$24)</f>
        <v>0</v>
      </c>
      <c r="R196" s="509">
        <f>SUMIF('CF.2'!$H$30:$H$59,'CF.1'!E196,'CF.2'!$J$30:$J$59)+SUMIF('CF.2'!$K$30:$K$59,'CF.1'!E196,'CF.2'!$M$30:$M$59)</f>
        <v>0</v>
      </c>
      <c r="S196" s="509">
        <f>SUMIF('CF.2'!$H$64:$H$97,'CF.1'!E196,'CF.2'!$J$64:$J$97)+SUMIF('CF.2'!$K$64:$K$97,'CF.1'!E196,'CF.2'!$M$64:$M$97)</f>
        <v>0</v>
      </c>
      <c r="T196" s="509">
        <f>SUMIF('CF.2'!$H$101:$H$107,'CF.1'!E196,'CF.2'!$J$101:$J$107)+SUMIF('CF.2'!$K$101:$K$107,'CF.1'!E196,'CF.2'!$M$101:$M$107)</f>
        <v>0</v>
      </c>
      <c r="U196" s="509">
        <f>SUMIF('CF.2'!$H$112:$H$120,'CF.1'!E196,'CF.2'!$J$112:$J$120)+SUMIF('CF.2'!$K$112:$K$120,'CF.1'!E196,'CF.2'!$M$112:$M$120)</f>
        <v>0</v>
      </c>
      <c r="V196" s="510">
        <f t="shared" si="36"/>
        <v>0</v>
      </c>
      <c r="X196" s="512">
        <f t="shared" si="37"/>
        <v>0</v>
      </c>
    </row>
    <row r="197" spans="4:24" ht="18" customHeight="1">
      <c r="D197" s="506" t="s">
        <v>1051</v>
      </c>
      <c r="E197" s="507" t="s">
        <v>1051</v>
      </c>
      <c r="F197" s="508"/>
      <c r="G197" s="507" t="s">
        <v>1052</v>
      </c>
      <c r="H197" s="509">
        <v>0</v>
      </c>
      <c r="I197" s="509">
        <v>0</v>
      </c>
      <c r="J197" s="509">
        <v>0</v>
      </c>
      <c r="K197" s="509">
        <v>0</v>
      </c>
      <c r="L197" s="509">
        <v>0</v>
      </c>
      <c r="M197" s="509"/>
      <c r="N197" s="509">
        <v>0</v>
      </c>
      <c r="O197" s="510">
        <f t="shared" si="35"/>
        <v>0</v>
      </c>
      <c r="Q197" s="511">
        <f>SUMIF('CF.2'!$H$5:$H$24,'CF.1'!E197,'CF.2'!$J$5:$J$24)-SUMIF('CF.2'!$K$5:$K$24,'CF.1'!E197,'CF.2'!$M$5:$M$24)</f>
        <v>0</v>
      </c>
      <c r="R197" s="509">
        <f>SUMIF('CF.2'!$H$30:$H$59,'CF.1'!E197,'CF.2'!$J$30:$J$59)+SUMIF('CF.2'!$K$30:$K$59,'CF.1'!E197,'CF.2'!$M$30:$M$59)</f>
        <v>0</v>
      </c>
      <c r="S197" s="509">
        <f>SUMIF('CF.2'!$H$64:$H$97,'CF.1'!E197,'CF.2'!$J$64:$J$97)+SUMIF('CF.2'!$K$64:$K$97,'CF.1'!E197,'CF.2'!$M$64:$M$97)</f>
        <v>0</v>
      </c>
      <c r="T197" s="509">
        <f>SUMIF('CF.2'!$H$101:$H$107,'CF.1'!E197,'CF.2'!$J$101:$J$107)+SUMIF('CF.2'!$K$101:$K$107,'CF.1'!E197,'CF.2'!$M$101:$M$107)</f>
        <v>0</v>
      </c>
      <c r="U197" s="509">
        <f>SUMIF('CF.2'!$H$112:$H$120,'CF.1'!E197,'CF.2'!$J$112:$J$120)+SUMIF('CF.2'!$K$112:$K$120,'CF.1'!E197,'CF.2'!$M$112:$M$120)</f>
        <v>0</v>
      </c>
      <c r="V197" s="510">
        <f t="shared" si="36"/>
        <v>0</v>
      </c>
      <c r="X197" s="512">
        <f t="shared" si="37"/>
        <v>0</v>
      </c>
    </row>
    <row r="198" spans="4:24" ht="18" customHeight="1">
      <c r="D198" s="506" t="s">
        <v>1053</v>
      </c>
      <c r="E198" s="507" t="s">
        <v>1053</v>
      </c>
      <c r="F198" s="508" t="s">
        <v>1876</v>
      </c>
      <c r="G198" s="507" t="s">
        <v>1054</v>
      </c>
      <c r="H198" s="509">
        <v>1199</v>
      </c>
      <c r="I198" s="509">
        <v>0</v>
      </c>
      <c r="J198" s="509">
        <v>0</v>
      </c>
      <c r="K198" s="509">
        <v>0</v>
      </c>
      <c r="L198" s="509">
        <v>0</v>
      </c>
      <c r="M198" s="509"/>
      <c r="N198" s="509">
        <v>0</v>
      </c>
      <c r="O198" s="510">
        <f t="shared" si="35"/>
        <v>1199</v>
      </c>
      <c r="Q198" s="511">
        <f>SUMIF('CF.2'!$H$5:$H$24,'CF.1'!E198,'CF.2'!$J$5:$J$24)-SUMIF('CF.2'!$K$5:$K$24,'CF.1'!E198,'CF.2'!$M$5:$M$24)</f>
        <v>0</v>
      </c>
      <c r="R198" s="509">
        <f>SUMIF('CF.2'!$H$30:$H$59,'CF.1'!E198,'CF.2'!$J$30:$J$59)+SUMIF('CF.2'!$K$30:$K$59,'CF.1'!E198,'CF.2'!$M$30:$M$59)</f>
        <v>0</v>
      </c>
      <c r="S198" s="509">
        <f>SUMIF('CF.2'!$H$64:$H$97,'CF.1'!E198,'CF.2'!$J$64:$J$97)+SUMIF('CF.2'!$K$64:$K$97,'CF.1'!E198,'CF.2'!$M$64:$M$97)</f>
        <v>0</v>
      </c>
      <c r="T198" s="509">
        <f>SUMIF('CF.2'!$H$101:$H$107,'CF.1'!E198,'CF.2'!$J$101:$J$107)+SUMIF('CF.2'!$K$101:$K$107,'CF.1'!E198,'CF.2'!$M$101:$M$107)</f>
        <v>0</v>
      </c>
      <c r="U198" s="509">
        <f>SUMIF('CF.2'!$H$112:$H$120,'CF.1'!E198,'CF.2'!$J$112:$J$120)+SUMIF('CF.2'!$K$112:$K$120,'CF.1'!E198,'CF.2'!$M$112:$M$120)</f>
        <v>0</v>
      </c>
      <c r="V198" s="510">
        <f t="shared" si="36"/>
        <v>0</v>
      </c>
      <c r="X198" s="512">
        <f>V198+O198</f>
        <v>1199</v>
      </c>
    </row>
    <row r="199" spans="4:24" ht="18" customHeight="1">
      <c r="D199" s="506" t="s">
        <v>1055</v>
      </c>
      <c r="E199" s="507" t="s">
        <v>1055</v>
      </c>
      <c r="F199" s="508" t="s">
        <v>1876</v>
      </c>
      <c r="G199" s="507" t="s">
        <v>1056</v>
      </c>
      <c r="H199" s="509">
        <v>0</v>
      </c>
      <c r="I199" s="509">
        <v>0</v>
      </c>
      <c r="J199" s="509">
        <v>0</v>
      </c>
      <c r="K199" s="509">
        <v>0</v>
      </c>
      <c r="L199" s="509">
        <v>0</v>
      </c>
      <c r="M199" s="509"/>
      <c r="N199" s="509">
        <v>0</v>
      </c>
      <c r="O199" s="510">
        <f t="shared" si="35"/>
        <v>0</v>
      </c>
      <c r="Q199" s="511">
        <f>SUMIF('CF.2'!$H$5:$H$24,'CF.1'!E199,'CF.2'!$J$5:$J$24)-SUMIF('CF.2'!$K$5:$K$24,'CF.1'!E199,'CF.2'!$M$5:$M$24)</f>
        <v>-926599758</v>
      </c>
      <c r="R199" s="509">
        <f>SUMIF('CF.2'!$H$30:$H$59,'CF.1'!E199,'CF.2'!$J$30:$J$59)+SUMIF('CF.2'!$K$30:$K$59,'CF.1'!E199,'CF.2'!$M$30:$M$59)</f>
        <v>0</v>
      </c>
      <c r="S199" s="509">
        <f>SUMIF('CF.2'!$H$64:$H$97,'CF.1'!E199,'CF.2'!$J$64:$J$97)+SUMIF('CF.2'!$K$64:$K$97,'CF.1'!E199,'CF.2'!$M$64:$M$97)</f>
        <v>0</v>
      </c>
      <c r="T199" s="509">
        <f>SUMIF('CF.2'!$H$101:$H$107,'CF.1'!E199,'CF.2'!$J$101:$J$107)+SUMIF('CF.2'!$K$101:$K$107,'CF.1'!E199,'CF.2'!$M$101:$M$107)</f>
        <v>0</v>
      </c>
      <c r="U199" s="509">
        <f>SUMIF('CF.2'!$H$112:$H$120,'CF.1'!E199,'CF.2'!$J$112:$J$120)+SUMIF('CF.2'!$K$112:$K$120,'CF.1'!E199,'CF.2'!$M$112:$M$120)</f>
        <v>0</v>
      </c>
      <c r="V199" s="510">
        <f t="shared" si="36"/>
        <v>-926599758</v>
      </c>
      <c r="X199" s="512">
        <f t="shared" si="37"/>
        <v>-926599758</v>
      </c>
    </row>
    <row r="200" spans="4:24" ht="18" customHeight="1">
      <c r="D200" s="506" t="s">
        <v>1057</v>
      </c>
      <c r="E200" s="507" t="s">
        <v>1057</v>
      </c>
      <c r="F200" s="508"/>
      <c r="G200" s="507" t="s">
        <v>1058</v>
      </c>
      <c r="H200" s="509">
        <v>0</v>
      </c>
      <c r="I200" s="509">
        <v>0</v>
      </c>
      <c r="J200" s="509">
        <v>0</v>
      </c>
      <c r="K200" s="509">
        <v>0</v>
      </c>
      <c r="L200" s="509">
        <v>0</v>
      </c>
      <c r="M200" s="509"/>
      <c r="N200" s="509">
        <v>0</v>
      </c>
      <c r="O200" s="510">
        <f t="shared" si="35"/>
        <v>0</v>
      </c>
      <c r="Q200" s="511">
        <f>SUMIF('CF.2'!$H$5:$H$24,'CF.1'!E200,'CF.2'!$J$5:$J$24)-SUMIF('CF.2'!$K$5:$K$24,'CF.1'!E200,'CF.2'!$M$5:$M$24)</f>
        <v>0</v>
      </c>
      <c r="R200" s="509">
        <f>SUMIF('CF.2'!$H$30:$H$59,'CF.1'!E200,'CF.2'!$J$30:$J$59)+SUMIF('CF.2'!$K$30:$K$59,'CF.1'!E200,'CF.2'!$M$30:$M$59)</f>
        <v>0</v>
      </c>
      <c r="S200" s="509">
        <f>SUMIF('CF.2'!$H$64:$H$97,'CF.1'!E200,'CF.2'!$J$64:$J$97)+SUMIF('CF.2'!$K$64:$K$97,'CF.1'!E200,'CF.2'!$M$64:$M$97)</f>
        <v>0</v>
      </c>
      <c r="T200" s="509">
        <f>SUMIF('CF.2'!$H$101:$H$107,'CF.1'!E200,'CF.2'!$J$101:$J$107)+SUMIF('CF.2'!$K$101:$K$107,'CF.1'!E200,'CF.2'!$M$101:$M$107)</f>
        <v>0</v>
      </c>
      <c r="U200" s="509">
        <f>SUMIF('CF.2'!$H$112:$H$120,'CF.1'!E200,'CF.2'!$J$112:$J$120)+SUMIF('CF.2'!$K$112:$K$120,'CF.1'!E200,'CF.2'!$M$112:$M$120)</f>
        <v>0</v>
      </c>
      <c r="V200" s="510">
        <f t="shared" si="36"/>
        <v>0</v>
      </c>
      <c r="X200" s="512">
        <f t="shared" si="37"/>
        <v>0</v>
      </c>
    </row>
    <row r="201" spans="4:24" ht="18" customHeight="1">
      <c r="D201" s="506" t="s">
        <v>1059</v>
      </c>
      <c r="E201" s="507" t="s">
        <v>1059</v>
      </c>
      <c r="F201" s="508"/>
      <c r="G201" s="507" t="s">
        <v>1060</v>
      </c>
      <c r="H201" s="509">
        <v>0</v>
      </c>
      <c r="I201" s="509">
        <v>0</v>
      </c>
      <c r="J201" s="509">
        <v>0</v>
      </c>
      <c r="K201" s="509">
        <v>0</v>
      </c>
      <c r="L201" s="509">
        <v>0</v>
      </c>
      <c r="M201" s="509"/>
      <c r="N201" s="509">
        <v>0</v>
      </c>
      <c r="O201" s="510">
        <f t="shared" si="35"/>
        <v>0</v>
      </c>
      <c r="Q201" s="511">
        <f>SUMIF('CF.2'!$H$5:$H$24,'CF.1'!E201,'CF.2'!$J$5:$J$24)-SUMIF('CF.2'!$K$5:$K$24,'CF.1'!E201,'CF.2'!$M$5:$M$24)</f>
        <v>0</v>
      </c>
      <c r="R201" s="509">
        <f>SUMIF('CF.2'!$H$30:$H$59,'CF.1'!E201,'CF.2'!$J$30:$J$59)+SUMIF('CF.2'!$K$30:$K$59,'CF.1'!E201,'CF.2'!$M$30:$M$59)</f>
        <v>0</v>
      </c>
      <c r="S201" s="509">
        <f>SUMIF('CF.2'!$H$64:$H$97,'CF.1'!E201,'CF.2'!$J$64:$J$97)+SUMIF('CF.2'!$K$64:$K$97,'CF.1'!E201,'CF.2'!$M$64:$M$97)</f>
        <v>0</v>
      </c>
      <c r="T201" s="509">
        <f>SUMIF('CF.2'!$H$101:$H$107,'CF.1'!E201,'CF.2'!$J$101:$J$107)+SUMIF('CF.2'!$K$101:$K$107,'CF.1'!E201,'CF.2'!$M$101:$M$107)</f>
        <v>0</v>
      </c>
      <c r="U201" s="509">
        <f>SUMIF('CF.2'!$H$112:$H$120,'CF.1'!E201,'CF.2'!$J$112:$J$120)+SUMIF('CF.2'!$K$112:$K$120,'CF.1'!E201,'CF.2'!$M$112:$M$120)</f>
        <v>0</v>
      </c>
      <c r="V201" s="510">
        <f t="shared" si="36"/>
        <v>0</v>
      </c>
      <c r="X201" s="512">
        <f t="shared" si="37"/>
        <v>0</v>
      </c>
    </row>
    <row r="202" spans="4:24" ht="18" customHeight="1">
      <c r="D202" s="506" t="s">
        <v>1061</v>
      </c>
      <c r="E202" s="507" t="s">
        <v>1061</v>
      </c>
      <c r="F202" s="508"/>
      <c r="G202" s="507" t="s">
        <v>1062</v>
      </c>
      <c r="H202" s="509">
        <v>0</v>
      </c>
      <c r="I202" s="509">
        <v>0</v>
      </c>
      <c r="J202" s="509">
        <v>0</v>
      </c>
      <c r="K202" s="509">
        <v>0</v>
      </c>
      <c r="L202" s="509">
        <v>0</v>
      </c>
      <c r="M202" s="509"/>
      <c r="N202" s="509">
        <v>0</v>
      </c>
      <c r="O202" s="510">
        <f t="shared" si="35"/>
        <v>0</v>
      </c>
      <c r="Q202" s="511">
        <f>SUMIF('CF.2'!$H$5:$H$24,'CF.1'!E202,'CF.2'!$J$5:$J$24)-SUMIF('CF.2'!$K$5:$K$24,'CF.1'!E202,'CF.2'!$M$5:$M$24)</f>
        <v>0</v>
      </c>
      <c r="R202" s="509">
        <f>SUMIF('CF.2'!$H$30:$H$59,'CF.1'!E202,'CF.2'!$J$30:$J$59)+SUMIF('CF.2'!$K$30:$K$59,'CF.1'!E202,'CF.2'!$M$30:$M$59)</f>
        <v>0</v>
      </c>
      <c r="S202" s="509">
        <f>SUMIF('CF.2'!$H$64:$H$97,'CF.1'!E202,'CF.2'!$J$64:$J$97)+SUMIF('CF.2'!$K$64:$K$97,'CF.1'!E202,'CF.2'!$M$64:$M$97)</f>
        <v>0</v>
      </c>
      <c r="T202" s="509">
        <f>SUMIF('CF.2'!$H$101:$H$107,'CF.1'!E202,'CF.2'!$J$101:$J$107)+SUMIF('CF.2'!$K$101:$K$107,'CF.1'!E202,'CF.2'!$M$101:$M$107)</f>
        <v>0</v>
      </c>
      <c r="U202" s="509">
        <f>SUMIF('CF.2'!$H$112:$H$120,'CF.1'!E202,'CF.2'!$J$112:$J$120)+SUMIF('CF.2'!$K$112:$K$120,'CF.1'!E202,'CF.2'!$M$112:$M$120)</f>
        <v>0</v>
      </c>
      <c r="V202" s="510">
        <f t="shared" si="36"/>
        <v>0</v>
      </c>
      <c r="X202" s="512">
        <f t="shared" si="37"/>
        <v>0</v>
      </c>
    </row>
    <row r="203" spans="4:24" ht="18" customHeight="1">
      <c r="D203" s="506" t="s">
        <v>1063</v>
      </c>
      <c r="E203" s="507" t="s">
        <v>1063</v>
      </c>
      <c r="F203" s="508"/>
      <c r="G203" s="507" t="s">
        <v>1064</v>
      </c>
      <c r="H203" s="509">
        <v>0</v>
      </c>
      <c r="I203" s="509">
        <v>0</v>
      </c>
      <c r="J203" s="509">
        <v>0</v>
      </c>
      <c r="K203" s="509">
        <v>0</v>
      </c>
      <c r="L203" s="509">
        <v>0</v>
      </c>
      <c r="M203" s="509"/>
      <c r="N203" s="509">
        <v>0</v>
      </c>
      <c r="O203" s="510">
        <f t="shared" si="35"/>
        <v>0</v>
      </c>
      <c r="Q203" s="511">
        <f>SUMIF('CF.2'!$H$5:$H$24,'CF.1'!E203,'CF.2'!$J$5:$J$24)-SUMIF('CF.2'!$K$5:$K$24,'CF.1'!E203,'CF.2'!$M$5:$M$24)</f>
        <v>0</v>
      </c>
      <c r="R203" s="509">
        <f>SUMIF('CF.2'!$H$30:$H$59,'CF.1'!E203,'CF.2'!$J$30:$J$59)+SUMIF('CF.2'!$K$30:$K$59,'CF.1'!E203,'CF.2'!$M$30:$M$59)</f>
        <v>0</v>
      </c>
      <c r="S203" s="509">
        <f>SUMIF('CF.2'!$H$64:$H$97,'CF.1'!E203,'CF.2'!$J$64:$J$97)+SUMIF('CF.2'!$K$64:$K$97,'CF.1'!E203,'CF.2'!$M$64:$M$97)</f>
        <v>0</v>
      </c>
      <c r="T203" s="509">
        <f>SUMIF('CF.2'!$H$101:$H$107,'CF.1'!E203,'CF.2'!$J$101:$J$107)+SUMIF('CF.2'!$K$101:$K$107,'CF.1'!E203,'CF.2'!$M$101:$M$107)</f>
        <v>0</v>
      </c>
      <c r="U203" s="509">
        <f>SUMIF('CF.2'!$H$112:$H$120,'CF.1'!E203,'CF.2'!$J$112:$J$120)+SUMIF('CF.2'!$K$112:$K$120,'CF.1'!E203,'CF.2'!$M$112:$M$120)</f>
        <v>0</v>
      </c>
      <c r="V203" s="510">
        <f t="shared" si="36"/>
        <v>0</v>
      </c>
      <c r="X203" s="512">
        <f t="shared" si="37"/>
        <v>0</v>
      </c>
    </row>
    <row r="204" spans="4:24" ht="18" customHeight="1">
      <c r="D204" s="506" t="s">
        <v>1065</v>
      </c>
      <c r="E204" s="507" t="s">
        <v>1065</v>
      </c>
      <c r="F204" s="508"/>
      <c r="G204" s="507" t="s">
        <v>1066</v>
      </c>
      <c r="H204" s="509">
        <v>0</v>
      </c>
      <c r="I204" s="509">
        <v>0</v>
      </c>
      <c r="J204" s="509">
        <v>0</v>
      </c>
      <c r="K204" s="509">
        <v>0</v>
      </c>
      <c r="L204" s="509">
        <v>0</v>
      </c>
      <c r="M204" s="509"/>
      <c r="N204" s="509">
        <v>0</v>
      </c>
      <c r="O204" s="510">
        <f t="shared" si="35"/>
        <v>0</v>
      </c>
      <c r="Q204" s="511">
        <f>SUMIF('CF.2'!$H$5:$H$24,'CF.1'!E204,'CF.2'!$J$5:$J$24)-SUMIF('CF.2'!$K$5:$K$24,'CF.1'!E204,'CF.2'!$M$5:$M$24)</f>
        <v>0</v>
      </c>
      <c r="R204" s="509">
        <f>SUMIF('CF.2'!$H$30:$H$59,'CF.1'!E204,'CF.2'!$J$30:$J$59)+SUMIF('CF.2'!$K$30:$K$59,'CF.1'!E204,'CF.2'!$M$30:$M$59)</f>
        <v>0</v>
      </c>
      <c r="S204" s="509">
        <f>SUMIF('CF.2'!$H$64:$H$97,'CF.1'!E204,'CF.2'!$J$64:$J$97)+SUMIF('CF.2'!$K$64:$K$97,'CF.1'!E204,'CF.2'!$M$64:$M$97)</f>
        <v>0</v>
      </c>
      <c r="T204" s="509">
        <f>SUMIF('CF.2'!$H$101:$H$107,'CF.1'!E204,'CF.2'!$J$101:$J$107)+SUMIF('CF.2'!$K$101:$K$107,'CF.1'!E204,'CF.2'!$M$101:$M$107)</f>
        <v>0</v>
      </c>
      <c r="U204" s="509">
        <f>SUMIF('CF.2'!$H$112:$H$120,'CF.1'!E204,'CF.2'!$J$112:$J$120)+SUMIF('CF.2'!$K$112:$K$120,'CF.1'!E204,'CF.2'!$M$112:$M$120)</f>
        <v>0</v>
      </c>
      <c r="V204" s="510">
        <f t="shared" si="36"/>
        <v>0</v>
      </c>
      <c r="X204" s="512">
        <f t="shared" si="37"/>
        <v>0</v>
      </c>
    </row>
    <row r="205" spans="4:24" ht="18" customHeight="1">
      <c r="D205" s="506" t="s">
        <v>1067</v>
      </c>
      <c r="E205" s="507" t="s">
        <v>1067</v>
      </c>
      <c r="F205" s="508"/>
      <c r="G205" s="507" t="s">
        <v>1068</v>
      </c>
      <c r="H205" s="509">
        <v>0</v>
      </c>
      <c r="I205" s="509">
        <v>0</v>
      </c>
      <c r="J205" s="509">
        <v>0</v>
      </c>
      <c r="K205" s="509">
        <v>0</v>
      </c>
      <c r="L205" s="509">
        <v>0</v>
      </c>
      <c r="M205" s="509"/>
      <c r="N205" s="509">
        <v>0</v>
      </c>
      <c r="O205" s="510">
        <f t="shared" si="35"/>
        <v>0</v>
      </c>
      <c r="Q205" s="511">
        <f>SUMIF('CF.2'!$H$5:$H$24,'CF.1'!E205,'CF.2'!$J$5:$J$24)-SUMIF('CF.2'!$K$5:$K$24,'CF.1'!E205,'CF.2'!$M$5:$M$24)</f>
        <v>0</v>
      </c>
      <c r="R205" s="509">
        <f>SUMIF('CF.2'!$H$30:$H$59,'CF.1'!E205,'CF.2'!$J$30:$J$59)+SUMIF('CF.2'!$K$30:$K$59,'CF.1'!E205,'CF.2'!$M$30:$M$59)</f>
        <v>0</v>
      </c>
      <c r="S205" s="509">
        <f>SUMIF('CF.2'!$H$64:$H$97,'CF.1'!E205,'CF.2'!$J$64:$J$97)+SUMIF('CF.2'!$K$64:$K$97,'CF.1'!E205,'CF.2'!$M$64:$M$97)</f>
        <v>0</v>
      </c>
      <c r="T205" s="509">
        <f>SUMIF('CF.2'!$H$101:$H$107,'CF.1'!E205,'CF.2'!$J$101:$J$107)+SUMIF('CF.2'!$K$101:$K$107,'CF.1'!E205,'CF.2'!$M$101:$M$107)</f>
        <v>0</v>
      </c>
      <c r="U205" s="509">
        <f>SUMIF('CF.2'!$H$112:$H$120,'CF.1'!E205,'CF.2'!$J$112:$J$120)+SUMIF('CF.2'!$K$112:$K$120,'CF.1'!E205,'CF.2'!$M$112:$M$120)</f>
        <v>0</v>
      </c>
      <c r="V205" s="510">
        <f t="shared" si="36"/>
        <v>0</v>
      </c>
      <c r="X205" s="512">
        <f t="shared" si="37"/>
        <v>0</v>
      </c>
    </row>
    <row r="206" spans="4:24" ht="18" customHeight="1">
      <c r="D206" s="506" t="s">
        <v>1069</v>
      </c>
      <c r="E206" s="507" t="s">
        <v>1069</v>
      </c>
      <c r="F206" s="508"/>
      <c r="G206" s="507" t="s">
        <v>1070</v>
      </c>
      <c r="H206" s="509">
        <v>0</v>
      </c>
      <c r="I206" s="509">
        <v>0</v>
      </c>
      <c r="J206" s="509">
        <v>0</v>
      </c>
      <c r="K206" s="509">
        <v>0</v>
      </c>
      <c r="L206" s="509">
        <v>0</v>
      </c>
      <c r="M206" s="509"/>
      <c r="N206" s="509">
        <v>0</v>
      </c>
      <c r="O206" s="510">
        <f t="shared" si="35"/>
        <v>0</v>
      </c>
      <c r="Q206" s="511">
        <f>SUMIF('CF.2'!$H$5:$H$24,'CF.1'!E206,'CF.2'!$J$5:$J$24)-SUMIF('CF.2'!$K$5:$K$24,'CF.1'!E206,'CF.2'!$M$5:$M$24)</f>
        <v>0</v>
      </c>
      <c r="R206" s="509">
        <f>SUMIF('CF.2'!$H$30:$H$59,'CF.1'!E206,'CF.2'!$J$30:$J$59)+SUMIF('CF.2'!$K$30:$K$59,'CF.1'!E206,'CF.2'!$M$30:$M$59)</f>
        <v>0</v>
      </c>
      <c r="S206" s="509">
        <f>SUMIF('CF.2'!$H$64:$H$97,'CF.1'!E206,'CF.2'!$J$64:$J$97)+SUMIF('CF.2'!$K$64:$K$97,'CF.1'!E206,'CF.2'!$M$64:$M$97)</f>
        <v>0</v>
      </c>
      <c r="T206" s="509">
        <f>SUMIF('CF.2'!$H$101:$H$107,'CF.1'!E206,'CF.2'!$J$101:$J$107)+SUMIF('CF.2'!$K$101:$K$107,'CF.1'!E206,'CF.2'!$M$101:$M$107)</f>
        <v>0</v>
      </c>
      <c r="U206" s="509">
        <f>SUMIF('CF.2'!$H$112:$H$120,'CF.1'!E206,'CF.2'!$J$112:$J$120)+SUMIF('CF.2'!$K$112:$K$120,'CF.1'!E206,'CF.2'!$M$112:$M$120)</f>
        <v>0</v>
      </c>
      <c r="V206" s="510">
        <f t="shared" si="36"/>
        <v>0</v>
      </c>
      <c r="X206" s="512">
        <f t="shared" si="37"/>
        <v>0</v>
      </c>
    </row>
    <row r="207" spans="4:24" ht="18" customHeight="1">
      <c r="D207" s="506" t="s">
        <v>1071</v>
      </c>
      <c r="E207" s="507" t="s">
        <v>1071</v>
      </c>
      <c r="F207" s="508"/>
      <c r="G207" s="507" t="s">
        <v>1072</v>
      </c>
      <c r="H207" s="509">
        <v>0</v>
      </c>
      <c r="I207" s="509">
        <v>0</v>
      </c>
      <c r="J207" s="509">
        <v>0</v>
      </c>
      <c r="K207" s="509">
        <v>0</v>
      </c>
      <c r="L207" s="509">
        <v>0</v>
      </c>
      <c r="M207" s="509"/>
      <c r="N207" s="509">
        <v>0</v>
      </c>
      <c r="O207" s="510">
        <f t="shared" si="35"/>
        <v>0</v>
      </c>
      <c r="Q207" s="511">
        <f>SUMIF('CF.2'!$H$5:$H$24,'CF.1'!E207,'CF.2'!$J$5:$J$24)-SUMIF('CF.2'!$K$5:$K$24,'CF.1'!E207,'CF.2'!$M$5:$M$24)</f>
        <v>0</v>
      </c>
      <c r="R207" s="509">
        <f>SUMIF('CF.2'!$H$30:$H$59,'CF.1'!E207,'CF.2'!$J$30:$J$59)+SUMIF('CF.2'!$K$30:$K$59,'CF.1'!E207,'CF.2'!$M$30:$M$59)</f>
        <v>0</v>
      </c>
      <c r="S207" s="509">
        <f>SUMIF('CF.2'!$H$64:$H$97,'CF.1'!E207,'CF.2'!$J$64:$J$97)+SUMIF('CF.2'!$K$64:$K$97,'CF.1'!E207,'CF.2'!$M$64:$M$97)</f>
        <v>0</v>
      </c>
      <c r="T207" s="509">
        <f>SUMIF('CF.2'!$H$101:$H$107,'CF.1'!E207,'CF.2'!$J$101:$J$107)+SUMIF('CF.2'!$K$101:$K$107,'CF.1'!E207,'CF.2'!$M$101:$M$107)</f>
        <v>0</v>
      </c>
      <c r="U207" s="509">
        <f>SUMIF('CF.2'!$H$112:$H$120,'CF.1'!E207,'CF.2'!$J$112:$J$120)+SUMIF('CF.2'!$K$112:$K$120,'CF.1'!E207,'CF.2'!$M$112:$M$120)</f>
        <v>0</v>
      </c>
      <c r="V207" s="510">
        <f t="shared" si="36"/>
        <v>0</v>
      </c>
      <c r="X207" s="512">
        <f t="shared" si="37"/>
        <v>0</v>
      </c>
    </row>
    <row r="208" spans="4:24" ht="18" customHeight="1">
      <c r="D208" s="506" t="s">
        <v>1073</v>
      </c>
      <c r="E208" s="507" t="s">
        <v>1073</v>
      </c>
      <c r="F208" s="508"/>
      <c r="G208" s="507" t="s">
        <v>1074</v>
      </c>
      <c r="H208" s="509">
        <v>0</v>
      </c>
      <c r="I208" s="509">
        <v>0</v>
      </c>
      <c r="J208" s="509">
        <v>0</v>
      </c>
      <c r="K208" s="509">
        <v>0</v>
      </c>
      <c r="L208" s="509">
        <v>0</v>
      </c>
      <c r="M208" s="509"/>
      <c r="N208" s="509">
        <v>0</v>
      </c>
      <c r="O208" s="510">
        <f t="shared" si="35"/>
        <v>0</v>
      </c>
      <c r="Q208" s="511">
        <f>SUMIF('CF.2'!$H$5:$H$24,'CF.1'!E208,'CF.2'!$J$5:$J$24)-SUMIF('CF.2'!$K$5:$K$24,'CF.1'!E208,'CF.2'!$M$5:$M$24)</f>
        <v>0</v>
      </c>
      <c r="R208" s="509">
        <f>SUMIF('CF.2'!$H$30:$H$59,'CF.1'!E208,'CF.2'!$J$30:$J$59)+SUMIF('CF.2'!$K$30:$K$59,'CF.1'!E208,'CF.2'!$M$30:$M$59)</f>
        <v>0</v>
      </c>
      <c r="S208" s="509">
        <f>SUMIF('CF.2'!$H$64:$H$97,'CF.1'!E208,'CF.2'!$J$64:$J$97)+SUMIF('CF.2'!$K$64:$K$97,'CF.1'!E208,'CF.2'!$M$64:$M$97)</f>
        <v>0</v>
      </c>
      <c r="T208" s="509">
        <f>SUMIF('CF.2'!$H$101:$H$107,'CF.1'!E208,'CF.2'!$J$101:$J$107)+SUMIF('CF.2'!$K$101:$K$107,'CF.1'!E208,'CF.2'!$M$101:$M$107)</f>
        <v>0</v>
      </c>
      <c r="U208" s="509">
        <f>SUMIF('CF.2'!$H$112:$H$120,'CF.1'!E208,'CF.2'!$J$112:$J$120)+SUMIF('CF.2'!$K$112:$K$120,'CF.1'!E208,'CF.2'!$M$112:$M$120)</f>
        <v>0</v>
      </c>
      <c r="V208" s="510">
        <f t="shared" si="36"/>
        <v>0</v>
      </c>
      <c r="X208" s="512">
        <f t="shared" si="37"/>
        <v>0</v>
      </c>
    </row>
    <row r="209" spans="4:24" ht="18" customHeight="1">
      <c r="D209" s="506" t="s">
        <v>1075</v>
      </c>
      <c r="E209" s="507" t="s">
        <v>1075</v>
      </c>
      <c r="F209" s="508"/>
      <c r="G209" s="507" t="s">
        <v>1076</v>
      </c>
      <c r="H209" s="509">
        <v>0</v>
      </c>
      <c r="I209" s="509">
        <v>0</v>
      </c>
      <c r="J209" s="509">
        <v>0</v>
      </c>
      <c r="K209" s="509">
        <v>0</v>
      </c>
      <c r="L209" s="509">
        <v>0</v>
      </c>
      <c r="M209" s="509"/>
      <c r="N209" s="509">
        <v>0</v>
      </c>
      <c r="O209" s="510">
        <f t="shared" si="35"/>
        <v>0</v>
      </c>
      <c r="Q209" s="511">
        <f>SUMIF('CF.2'!$H$5:$H$24,'CF.1'!E209,'CF.2'!$J$5:$J$24)-SUMIF('CF.2'!$K$5:$K$24,'CF.1'!E209,'CF.2'!$M$5:$M$24)</f>
        <v>0</v>
      </c>
      <c r="R209" s="509">
        <f>SUMIF('CF.2'!$H$30:$H$59,'CF.1'!E209,'CF.2'!$J$30:$J$59)+SUMIF('CF.2'!$K$30:$K$59,'CF.1'!E209,'CF.2'!$M$30:$M$59)</f>
        <v>0</v>
      </c>
      <c r="S209" s="509">
        <f>SUMIF('CF.2'!$H$64:$H$97,'CF.1'!E209,'CF.2'!$J$64:$J$97)+SUMIF('CF.2'!$K$64:$K$97,'CF.1'!E209,'CF.2'!$M$64:$M$97)</f>
        <v>0</v>
      </c>
      <c r="T209" s="509">
        <f>SUMIF('CF.2'!$H$101:$H$107,'CF.1'!E209,'CF.2'!$J$101:$J$107)+SUMIF('CF.2'!$K$101:$K$107,'CF.1'!E209,'CF.2'!$M$101:$M$107)</f>
        <v>0</v>
      </c>
      <c r="U209" s="509">
        <f>SUMIF('CF.2'!$H$112:$H$120,'CF.1'!E209,'CF.2'!$J$112:$J$120)+SUMIF('CF.2'!$K$112:$K$120,'CF.1'!E209,'CF.2'!$M$112:$M$120)</f>
        <v>0</v>
      </c>
      <c r="V209" s="510">
        <f t="shared" si="36"/>
        <v>0</v>
      </c>
      <c r="X209" s="512">
        <f t="shared" si="37"/>
        <v>0</v>
      </c>
    </row>
    <row r="210" spans="4:24" ht="18" customHeight="1">
      <c r="D210" s="506" t="s">
        <v>1077</v>
      </c>
      <c r="E210" s="507" t="s">
        <v>1077</v>
      </c>
      <c r="F210" s="508"/>
      <c r="G210" s="507" t="s">
        <v>1078</v>
      </c>
      <c r="H210" s="509">
        <v>0</v>
      </c>
      <c r="I210" s="509">
        <v>0</v>
      </c>
      <c r="J210" s="509">
        <v>0</v>
      </c>
      <c r="K210" s="509">
        <v>0</v>
      </c>
      <c r="L210" s="509">
        <v>0</v>
      </c>
      <c r="M210" s="509"/>
      <c r="N210" s="509">
        <v>0</v>
      </c>
      <c r="O210" s="510">
        <f t="shared" si="35"/>
        <v>0</v>
      </c>
      <c r="Q210" s="511">
        <f>SUMIF('CF.2'!$H$5:$H$24,'CF.1'!E210,'CF.2'!$J$5:$J$24)-SUMIF('CF.2'!$K$5:$K$24,'CF.1'!E210,'CF.2'!$M$5:$M$24)</f>
        <v>0</v>
      </c>
      <c r="R210" s="509">
        <f>SUMIF('CF.2'!$H$30:$H$59,'CF.1'!E210,'CF.2'!$J$30:$J$59)+SUMIF('CF.2'!$K$30:$K$59,'CF.1'!E210,'CF.2'!$M$30:$M$59)</f>
        <v>0</v>
      </c>
      <c r="S210" s="509">
        <f>SUMIF('CF.2'!$H$64:$H$97,'CF.1'!E210,'CF.2'!$J$64:$J$97)+SUMIF('CF.2'!$K$64:$K$97,'CF.1'!E210,'CF.2'!$M$64:$M$97)</f>
        <v>0</v>
      </c>
      <c r="T210" s="509">
        <f>SUMIF('CF.2'!$H$101:$H$107,'CF.1'!E210,'CF.2'!$J$101:$J$107)+SUMIF('CF.2'!$K$101:$K$107,'CF.1'!E210,'CF.2'!$M$101:$M$107)</f>
        <v>0</v>
      </c>
      <c r="U210" s="509">
        <f>SUMIF('CF.2'!$H$112:$H$120,'CF.1'!E210,'CF.2'!$J$112:$J$120)+SUMIF('CF.2'!$K$112:$K$120,'CF.1'!E210,'CF.2'!$M$112:$M$120)</f>
        <v>0</v>
      </c>
      <c r="V210" s="510">
        <f t="shared" si="36"/>
        <v>0</v>
      </c>
      <c r="X210" s="512">
        <f t="shared" si="37"/>
        <v>0</v>
      </c>
    </row>
    <row r="211" spans="4:24" ht="18" customHeight="1">
      <c r="D211" s="506" t="s">
        <v>1079</v>
      </c>
      <c r="E211" s="507" t="s">
        <v>1079</v>
      </c>
      <c r="F211" s="508"/>
      <c r="G211" s="507" t="s">
        <v>1080</v>
      </c>
      <c r="H211" s="509">
        <v>0</v>
      </c>
      <c r="I211" s="509">
        <v>0</v>
      </c>
      <c r="J211" s="509">
        <v>0</v>
      </c>
      <c r="K211" s="509">
        <v>0</v>
      </c>
      <c r="L211" s="509">
        <v>0</v>
      </c>
      <c r="M211" s="509"/>
      <c r="N211" s="509">
        <v>0</v>
      </c>
      <c r="O211" s="510">
        <f t="shared" si="35"/>
        <v>0</v>
      </c>
      <c r="Q211" s="511">
        <f>SUMIF('CF.2'!$H$5:$H$24,'CF.1'!E211,'CF.2'!$J$5:$J$24)-SUMIF('CF.2'!$K$5:$K$24,'CF.1'!E211,'CF.2'!$M$5:$M$24)</f>
        <v>0</v>
      </c>
      <c r="R211" s="509">
        <f>SUMIF('CF.2'!$H$30:$H$59,'CF.1'!E211,'CF.2'!$J$30:$J$59)+SUMIF('CF.2'!$K$30:$K$59,'CF.1'!E211,'CF.2'!$M$30:$M$59)</f>
        <v>0</v>
      </c>
      <c r="S211" s="509">
        <f>SUMIF('CF.2'!$H$64:$H$97,'CF.1'!E211,'CF.2'!$J$64:$J$97)+SUMIF('CF.2'!$K$64:$K$97,'CF.1'!E211,'CF.2'!$M$64:$M$97)</f>
        <v>0</v>
      </c>
      <c r="T211" s="509">
        <f>SUMIF('CF.2'!$H$101:$H$107,'CF.1'!E211,'CF.2'!$J$101:$J$107)+SUMIF('CF.2'!$K$101:$K$107,'CF.1'!E211,'CF.2'!$M$101:$M$107)</f>
        <v>0</v>
      </c>
      <c r="U211" s="509">
        <f>SUMIF('CF.2'!$H$112:$H$120,'CF.1'!E211,'CF.2'!$J$112:$J$120)+SUMIF('CF.2'!$K$112:$K$120,'CF.1'!E211,'CF.2'!$M$112:$M$120)</f>
        <v>0</v>
      </c>
      <c r="V211" s="510">
        <f t="shared" si="36"/>
        <v>0</v>
      </c>
      <c r="X211" s="512">
        <f t="shared" si="37"/>
        <v>0</v>
      </c>
    </row>
    <row r="212" spans="4:24" ht="18" customHeight="1">
      <c r="D212" s="506" t="s">
        <v>1081</v>
      </c>
      <c r="E212" s="507" t="s">
        <v>1390</v>
      </c>
      <c r="F212" s="508" t="s">
        <v>1490</v>
      </c>
      <c r="G212" s="507" t="s">
        <v>1387</v>
      </c>
      <c r="H212" s="509">
        <v>2727273</v>
      </c>
      <c r="I212" s="509">
        <v>0</v>
      </c>
      <c r="J212" s="509">
        <v>0</v>
      </c>
      <c r="K212" s="509">
        <v>0</v>
      </c>
      <c r="L212" s="509">
        <v>0</v>
      </c>
      <c r="M212" s="509"/>
      <c r="N212" s="509">
        <v>0</v>
      </c>
      <c r="O212" s="510">
        <f t="shared" si="35"/>
        <v>2727273</v>
      </c>
      <c r="Q212" s="511">
        <f>SUMIF('CF.2'!$H$5:$H$24,'CF.1'!E212,'CF.2'!$J$5:$J$24)-SUMIF('CF.2'!$K$5:$K$24,'CF.1'!E212,'CF.2'!$M$5:$M$24)</f>
        <v>0</v>
      </c>
      <c r="R212" s="509">
        <f>SUMIF('CF.2'!$H$30:$H$59,'CF.1'!E212,'CF.2'!$J$30:$J$59)+SUMIF('CF.2'!$K$30:$K$59,'CF.1'!E212,'CF.2'!$M$30:$M$59)</f>
        <v>0</v>
      </c>
      <c r="S212" s="509">
        <f>SUMIF('CF.2'!$H$64:$H$97,'CF.1'!E212,'CF.2'!$J$64:$J$97)+SUMIF('CF.2'!$K$64:$K$97,'CF.1'!E212,'CF.2'!$M$64:$M$97)</f>
        <v>0</v>
      </c>
      <c r="T212" s="509">
        <f>SUMIF('CF.2'!$H$101:$H$107,'CF.1'!E212,'CF.2'!$J$101:$J$107)+SUMIF('CF.2'!$K$101:$K$107,'CF.1'!E212,'CF.2'!$M$101:$M$107)</f>
        <v>0</v>
      </c>
      <c r="U212" s="509">
        <f>SUMIF('CF.2'!$H$112:$H$120,'CF.1'!E212,'CF.2'!$J$112:$J$120)+SUMIF('CF.2'!$K$112:$K$120,'CF.1'!E212,'CF.2'!$M$112:$M$120)</f>
        <v>0</v>
      </c>
      <c r="V212" s="510">
        <f t="shared" si="36"/>
        <v>0</v>
      </c>
      <c r="X212" s="512">
        <f t="shared" si="37"/>
        <v>2727273</v>
      </c>
    </row>
    <row r="213" spans="4:24" ht="18" customHeight="1">
      <c r="D213" s="506" t="s">
        <v>1081</v>
      </c>
      <c r="E213" s="507" t="s">
        <v>1391</v>
      </c>
      <c r="F213" s="508" t="s">
        <v>1490</v>
      </c>
      <c r="G213" s="507" t="s">
        <v>1388</v>
      </c>
      <c r="H213" s="509">
        <v>0</v>
      </c>
      <c r="I213" s="509">
        <v>0</v>
      </c>
      <c r="J213" s="509">
        <v>0</v>
      </c>
      <c r="K213" s="509">
        <v>3143493</v>
      </c>
      <c r="L213" s="509">
        <v>0</v>
      </c>
      <c r="M213" s="509"/>
      <c r="N213" s="509">
        <v>0</v>
      </c>
      <c r="O213" s="510">
        <f t="shared" si="35"/>
        <v>3143493</v>
      </c>
      <c r="Q213" s="511">
        <f>SUMIF('CF.2'!$H$5:$H$24,'CF.1'!E213,'CF.2'!$J$5:$J$24)-SUMIF('CF.2'!$K$5:$K$24,'CF.1'!E213,'CF.2'!$M$5:$M$24)</f>
        <v>0</v>
      </c>
      <c r="R213" s="509">
        <f>SUMIF('CF.2'!$H$30:$H$59,'CF.1'!E213,'CF.2'!$J$30:$J$59)+SUMIF('CF.2'!$K$30:$K$59,'CF.1'!E213,'CF.2'!$M$30:$M$59)</f>
        <v>0</v>
      </c>
      <c r="S213" s="509">
        <f>SUMIF('CF.2'!$H$64:$H$97,'CF.1'!E213,'CF.2'!$J$64:$J$97)+SUMIF('CF.2'!$K$64:$K$97,'CF.1'!E213,'CF.2'!$M$64:$M$97)</f>
        <v>0</v>
      </c>
      <c r="T213" s="509">
        <f>SUMIF('CF.2'!$H$101:$H$107,'CF.1'!E213,'CF.2'!$J$101:$J$107)+SUMIF('CF.2'!$K$101:$K$107,'CF.1'!E213,'CF.2'!$M$101:$M$107)</f>
        <v>0</v>
      </c>
      <c r="U213" s="509">
        <f>SUMIF('CF.2'!$H$112:$H$120,'CF.1'!E213,'CF.2'!$J$112:$J$120)+SUMIF('CF.2'!$K$112:$K$120,'CF.1'!E213,'CF.2'!$M$112:$M$120)</f>
        <v>0</v>
      </c>
      <c r="V213" s="510">
        <f t="shared" si="36"/>
        <v>0</v>
      </c>
      <c r="X213" s="512">
        <f t="shared" si="37"/>
        <v>3143493</v>
      </c>
    </row>
    <row r="214" spans="4:24" ht="18" customHeight="1">
      <c r="D214" s="506" t="s">
        <v>1081</v>
      </c>
      <c r="E214" s="507" t="s">
        <v>1392</v>
      </c>
      <c r="F214" s="508"/>
      <c r="G214" s="507" t="s">
        <v>1389</v>
      </c>
      <c r="H214" s="509">
        <v>0</v>
      </c>
      <c r="I214" s="509">
        <v>0</v>
      </c>
      <c r="J214" s="509">
        <v>0</v>
      </c>
      <c r="K214" s="509">
        <v>0</v>
      </c>
      <c r="L214" s="509">
        <v>0</v>
      </c>
      <c r="M214" s="509"/>
      <c r="N214" s="509">
        <v>0</v>
      </c>
      <c r="O214" s="510">
        <f t="shared" si="35"/>
        <v>0</v>
      </c>
      <c r="Q214" s="511">
        <f>SUMIF('CF.2'!$H$5:$H$24,'CF.1'!E214,'CF.2'!$J$5:$J$24)-SUMIF('CF.2'!$K$5:$K$24,'CF.1'!E214,'CF.2'!$M$5:$M$24)</f>
        <v>0</v>
      </c>
      <c r="R214" s="509">
        <f>SUMIF('CF.2'!$H$30:$H$59,'CF.1'!E214,'CF.2'!$J$30:$J$59)+SUMIF('CF.2'!$K$30:$K$59,'CF.1'!E214,'CF.2'!$M$30:$M$59)</f>
        <v>0</v>
      </c>
      <c r="S214" s="509">
        <f>SUMIF('CF.2'!$H$64:$H$97,'CF.1'!E214,'CF.2'!$J$64:$J$97)+SUMIF('CF.2'!$K$64:$K$97,'CF.1'!E214,'CF.2'!$M$64:$M$97)</f>
        <v>0</v>
      </c>
      <c r="T214" s="509">
        <f>SUMIF('CF.2'!$H$101:$H$107,'CF.1'!E214,'CF.2'!$J$101:$J$107)+SUMIF('CF.2'!$K$101:$K$107,'CF.1'!E214,'CF.2'!$M$101:$M$107)</f>
        <v>0</v>
      </c>
      <c r="U214" s="509">
        <f>SUMIF('CF.2'!$H$112:$H$120,'CF.1'!E214,'CF.2'!$J$112:$J$120)+SUMIF('CF.2'!$K$112:$K$120,'CF.1'!E214,'CF.2'!$M$112:$M$120)</f>
        <v>0</v>
      </c>
      <c r="V214" s="510">
        <f t="shared" si="36"/>
        <v>0</v>
      </c>
      <c r="X214" s="512">
        <f t="shared" si="37"/>
        <v>0</v>
      </c>
    </row>
    <row r="215" spans="4:24" ht="18" customHeight="1">
      <c r="D215" s="506" t="s">
        <v>1082</v>
      </c>
      <c r="E215" s="507" t="s">
        <v>1082</v>
      </c>
      <c r="F215" s="508"/>
      <c r="G215" s="507" t="s">
        <v>1083</v>
      </c>
      <c r="H215" s="509">
        <v>0</v>
      </c>
      <c r="I215" s="509">
        <v>0</v>
      </c>
      <c r="J215" s="509">
        <v>0</v>
      </c>
      <c r="K215" s="509">
        <v>0</v>
      </c>
      <c r="L215" s="509">
        <v>0</v>
      </c>
      <c r="M215" s="509"/>
      <c r="N215" s="509">
        <v>0</v>
      </c>
      <c r="O215" s="510">
        <f t="shared" si="35"/>
        <v>0</v>
      </c>
      <c r="Q215" s="511">
        <f>SUMIF('CF.2'!$H$5:$H$24,'CF.1'!E215,'CF.2'!$J$5:$J$24)-SUMIF('CF.2'!$K$5:$K$24,'CF.1'!E215,'CF.2'!$M$5:$M$24)</f>
        <v>0</v>
      </c>
      <c r="R215" s="509">
        <f>SUMIF('CF.2'!$H$30:$H$59,'CF.1'!E215,'CF.2'!$J$30:$J$59)+SUMIF('CF.2'!$K$30:$K$59,'CF.1'!E215,'CF.2'!$M$30:$M$59)</f>
        <v>0</v>
      </c>
      <c r="S215" s="509">
        <f>SUMIF('CF.2'!$H$64:$H$97,'CF.1'!E215,'CF.2'!$J$64:$J$97)+SUMIF('CF.2'!$K$64:$K$97,'CF.1'!E215,'CF.2'!$M$64:$M$97)</f>
        <v>0</v>
      </c>
      <c r="T215" s="509">
        <f>SUMIF('CF.2'!$H$101:$H$107,'CF.1'!E215,'CF.2'!$J$101:$J$107)+SUMIF('CF.2'!$K$101:$K$107,'CF.1'!E215,'CF.2'!$M$101:$M$107)</f>
        <v>0</v>
      </c>
      <c r="U215" s="509">
        <f>SUMIF('CF.2'!$H$112:$H$120,'CF.1'!E215,'CF.2'!$J$112:$J$120)+SUMIF('CF.2'!$K$112:$K$120,'CF.1'!E215,'CF.2'!$M$112:$M$120)</f>
        <v>0</v>
      </c>
      <c r="V215" s="510">
        <f t="shared" si="36"/>
        <v>0</v>
      </c>
      <c r="X215" s="512">
        <f t="shared" si="37"/>
        <v>0</v>
      </c>
    </row>
    <row r="216" spans="4:24" ht="18" customHeight="1">
      <c r="D216" s="506" t="s">
        <v>1084</v>
      </c>
      <c r="E216" s="507" t="s">
        <v>1084</v>
      </c>
      <c r="F216" s="508"/>
      <c r="G216" s="507" t="s">
        <v>1085</v>
      </c>
      <c r="H216" s="509">
        <v>0</v>
      </c>
      <c r="I216" s="509">
        <v>0</v>
      </c>
      <c r="J216" s="509">
        <v>0</v>
      </c>
      <c r="K216" s="509">
        <v>0</v>
      </c>
      <c r="L216" s="509">
        <v>0</v>
      </c>
      <c r="M216" s="509"/>
      <c r="N216" s="509">
        <v>0</v>
      </c>
      <c r="O216" s="510">
        <f t="shared" si="35"/>
        <v>0</v>
      </c>
      <c r="Q216" s="511">
        <f>SUMIF('CF.2'!$H$5:$H$24,'CF.1'!E216,'CF.2'!$J$5:$J$24)-SUMIF('CF.2'!$K$5:$K$24,'CF.1'!E216,'CF.2'!$M$5:$M$24)</f>
        <v>0</v>
      </c>
      <c r="R216" s="509">
        <f>SUMIF('CF.2'!$H$30:$H$59,'CF.1'!E216,'CF.2'!$J$30:$J$59)+SUMIF('CF.2'!$K$30:$K$59,'CF.1'!E216,'CF.2'!$M$30:$M$59)</f>
        <v>0</v>
      </c>
      <c r="S216" s="509">
        <f>SUMIF('CF.2'!$H$64:$H$97,'CF.1'!E216,'CF.2'!$J$64:$J$97)+SUMIF('CF.2'!$K$64:$K$97,'CF.1'!E216,'CF.2'!$M$64:$M$97)</f>
        <v>0</v>
      </c>
      <c r="T216" s="509">
        <f>SUMIF('CF.2'!$H$101:$H$107,'CF.1'!E216,'CF.2'!$J$101:$J$107)+SUMIF('CF.2'!$K$101:$K$107,'CF.1'!E216,'CF.2'!$M$101:$M$107)</f>
        <v>0</v>
      </c>
      <c r="U216" s="509">
        <f>SUMIF('CF.2'!$H$112:$H$120,'CF.1'!E216,'CF.2'!$J$112:$J$120)+SUMIF('CF.2'!$K$112:$K$120,'CF.1'!E216,'CF.2'!$M$112:$M$120)</f>
        <v>0</v>
      </c>
      <c r="V216" s="510">
        <f t="shared" si="36"/>
        <v>0</v>
      </c>
      <c r="X216" s="512">
        <f t="shared" si="37"/>
        <v>0</v>
      </c>
    </row>
    <row r="217" spans="4:24" ht="18" customHeight="1">
      <c r="D217" s="506" t="s">
        <v>1086</v>
      </c>
      <c r="E217" s="507" t="s">
        <v>1086</v>
      </c>
      <c r="F217" s="508"/>
      <c r="G217" s="507" t="s">
        <v>1087</v>
      </c>
      <c r="H217" s="509">
        <v>0</v>
      </c>
      <c r="I217" s="509">
        <v>0</v>
      </c>
      <c r="J217" s="509">
        <v>0</v>
      </c>
      <c r="K217" s="509">
        <v>0</v>
      </c>
      <c r="L217" s="509">
        <v>0</v>
      </c>
      <c r="M217" s="509"/>
      <c r="N217" s="509">
        <v>0</v>
      </c>
      <c r="O217" s="510">
        <f t="shared" si="35"/>
        <v>0</v>
      </c>
      <c r="Q217" s="511">
        <f>SUMIF('CF.2'!$H$5:$H$24,'CF.1'!E217,'CF.2'!$J$5:$J$24)-SUMIF('CF.2'!$K$5:$K$24,'CF.1'!E217,'CF.2'!$M$5:$M$24)</f>
        <v>0</v>
      </c>
      <c r="R217" s="509">
        <f>SUMIF('CF.2'!$H$30:$H$59,'CF.1'!E217,'CF.2'!$J$30:$J$59)+SUMIF('CF.2'!$K$30:$K$59,'CF.1'!E217,'CF.2'!$M$30:$M$59)</f>
        <v>0</v>
      </c>
      <c r="S217" s="509">
        <f>SUMIF('CF.2'!$H$64:$H$97,'CF.1'!E217,'CF.2'!$J$64:$J$97)+SUMIF('CF.2'!$K$64:$K$97,'CF.1'!E217,'CF.2'!$M$64:$M$97)</f>
        <v>0</v>
      </c>
      <c r="T217" s="509">
        <f>SUMIF('CF.2'!$H$101:$H$107,'CF.1'!E217,'CF.2'!$J$101:$J$107)+SUMIF('CF.2'!$K$101:$K$107,'CF.1'!E217,'CF.2'!$M$101:$M$107)</f>
        <v>0</v>
      </c>
      <c r="U217" s="509">
        <f>SUMIF('CF.2'!$H$112:$H$120,'CF.1'!E217,'CF.2'!$J$112:$J$120)+SUMIF('CF.2'!$K$112:$K$120,'CF.1'!E217,'CF.2'!$M$112:$M$120)</f>
        <v>0</v>
      </c>
      <c r="V217" s="510">
        <f t="shared" si="36"/>
        <v>0</v>
      </c>
      <c r="X217" s="512">
        <f t="shared" si="37"/>
        <v>0</v>
      </c>
    </row>
    <row r="218" spans="4:24" ht="18" customHeight="1">
      <c r="D218" s="506" t="s">
        <v>1088</v>
      </c>
      <c r="E218" s="507" t="s">
        <v>1088</v>
      </c>
      <c r="F218" s="508" t="s">
        <v>1490</v>
      </c>
      <c r="G218" s="507" t="s">
        <v>1089</v>
      </c>
      <c r="H218" s="509">
        <v>0</v>
      </c>
      <c r="I218" s="509">
        <v>0</v>
      </c>
      <c r="J218" s="509">
        <v>0</v>
      </c>
      <c r="K218" s="509">
        <v>0</v>
      </c>
      <c r="L218" s="509">
        <v>0</v>
      </c>
      <c r="M218" s="509"/>
      <c r="N218" s="509">
        <v>0</v>
      </c>
      <c r="O218" s="510">
        <f t="shared" si="35"/>
        <v>0</v>
      </c>
      <c r="Q218" s="511">
        <f>SUMIF('CF.2'!$H$5:$H$24,'CF.1'!E218,'CF.2'!$J$5:$J$24)-SUMIF('CF.2'!$K$5:$K$24,'CF.1'!E218,'CF.2'!$M$5:$M$24)</f>
        <v>0</v>
      </c>
      <c r="R218" s="509">
        <f>SUMIF('CF.2'!$H$30:$H$59,'CF.1'!E218,'CF.2'!$J$30:$J$59)+SUMIF('CF.2'!$K$30:$K$59,'CF.1'!E218,'CF.2'!$M$30:$M$59)</f>
        <v>0</v>
      </c>
      <c r="S218" s="509">
        <f>SUMIF('CF.2'!$H$64:$H$97,'CF.1'!E218,'CF.2'!$J$64:$J$97)+SUMIF('CF.2'!$K$64:$K$97,'CF.1'!E218,'CF.2'!$M$64:$M$97)</f>
        <v>0</v>
      </c>
      <c r="T218" s="509">
        <f>SUMIF('CF.2'!$H$101:$H$107,'CF.1'!E218,'CF.2'!$J$101:$J$107)+SUMIF('CF.2'!$K$101:$K$107,'CF.1'!E218,'CF.2'!$M$101:$M$107)</f>
        <v>0</v>
      </c>
      <c r="U218" s="509">
        <f>SUMIF('CF.2'!$H$112:$H$120,'CF.1'!E218,'CF.2'!$J$112:$J$120)+SUMIF('CF.2'!$K$112:$K$120,'CF.1'!E218,'CF.2'!$M$112:$M$120)</f>
        <v>0</v>
      </c>
      <c r="V218" s="510">
        <f t="shared" si="36"/>
        <v>0</v>
      </c>
      <c r="X218" s="512">
        <f t="shared" si="37"/>
        <v>0</v>
      </c>
    </row>
    <row r="219" spans="4:24" ht="18" customHeight="1">
      <c r="D219" s="506" t="s">
        <v>1090</v>
      </c>
      <c r="E219" s="507" t="s">
        <v>1090</v>
      </c>
      <c r="F219" s="508"/>
      <c r="G219" s="507" t="s">
        <v>1091</v>
      </c>
      <c r="H219" s="509">
        <v>0</v>
      </c>
      <c r="I219" s="509">
        <v>0</v>
      </c>
      <c r="J219" s="509">
        <v>0</v>
      </c>
      <c r="K219" s="509">
        <v>0</v>
      </c>
      <c r="L219" s="509">
        <v>0</v>
      </c>
      <c r="M219" s="509"/>
      <c r="N219" s="509">
        <v>0</v>
      </c>
      <c r="O219" s="510">
        <f t="shared" si="35"/>
        <v>0</v>
      </c>
      <c r="Q219" s="511">
        <f>SUMIF('CF.2'!$H$5:$H$24,'CF.1'!E219,'CF.2'!$J$5:$J$24)-SUMIF('CF.2'!$K$5:$K$24,'CF.1'!E219,'CF.2'!$M$5:$M$24)</f>
        <v>0</v>
      </c>
      <c r="R219" s="509">
        <f>SUMIF('CF.2'!$H$30:$H$59,'CF.1'!E219,'CF.2'!$J$30:$J$59)+SUMIF('CF.2'!$K$30:$K$59,'CF.1'!E219,'CF.2'!$M$30:$M$59)</f>
        <v>0</v>
      </c>
      <c r="S219" s="509">
        <f>SUMIF('CF.2'!$H$64:$H$97,'CF.1'!E219,'CF.2'!$J$64:$J$97)+SUMIF('CF.2'!$K$64:$K$97,'CF.1'!E219,'CF.2'!$M$64:$M$97)</f>
        <v>0</v>
      </c>
      <c r="T219" s="509">
        <f>SUMIF('CF.2'!$H$101:$H$107,'CF.1'!E219,'CF.2'!$J$101:$J$107)+SUMIF('CF.2'!$K$101:$K$107,'CF.1'!E219,'CF.2'!$M$101:$M$107)</f>
        <v>0</v>
      </c>
      <c r="U219" s="509">
        <f>SUMIF('CF.2'!$H$112:$H$120,'CF.1'!E219,'CF.2'!$J$112:$J$120)+SUMIF('CF.2'!$K$112:$K$120,'CF.1'!E219,'CF.2'!$M$112:$M$120)</f>
        <v>0</v>
      </c>
      <c r="V219" s="510">
        <f t="shared" si="36"/>
        <v>0</v>
      </c>
      <c r="X219" s="512">
        <f t="shared" si="37"/>
        <v>0</v>
      </c>
    </row>
    <row r="220" spans="4:24" ht="18" customHeight="1">
      <c r="D220" s="506" t="s">
        <v>1092</v>
      </c>
      <c r="E220" s="507" t="s">
        <v>1092</v>
      </c>
      <c r="F220" s="508"/>
      <c r="G220" s="507" t="s">
        <v>1093</v>
      </c>
      <c r="H220" s="509">
        <v>0</v>
      </c>
      <c r="I220" s="509">
        <v>0</v>
      </c>
      <c r="J220" s="509">
        <v>0</v>
      </c>
      <c r="K220" s="509">
        <v>0</v>
      </c>
      <c r="L220" s="509">
        <v>0</v>
      </c>
      <c r="M220" s="509"/>
      <c r="N220" s="509">
        <v>0</v>
      </c>
      <c r="O220" s="510">
        <f t="shared" si="35"/>
        <v>0</v>
      </c>
      <c r="Q220" s="511">
        <f>SUMIF('CF.2'!$H$5:$H$24,'CF.1'!E220,'CF.2'!$J$5:$J$24)-SUMIF('CF.2'!$K$5:$K$24,'CF.1'!E220,'CF.2'!$M$5:$M$24)</f>
        <v>0</v>
      </c>
      <c r="R220" s="509">
        <f>SUMIF('CF.2'!$H$30:$H$59,'CF.1'!E220,'CF.2'!$J$30:$J$59)+SUMIF('CF.2'!$K$30:$K$59,'CF.1'!E220,'CF.2'!$M$30:$M$59)</f>
        <v>0</v>
      </c>
      <c r="S220" s="509">
        <f>SUMIF('CF.2'!$H$64:$H$97,'CF.1'!E220,'CF.2'!$J$64:$J$97)+SUMIF('CF.2'!$K$64:$K$97,'CF.1'!E220,'CF.2'!$M$64:$M$97)</f>
        <v>0</v>
      </c>
      <c r="T220" s="509">
        <f>SUMIF('CF.2'!$H$101:$H$107,'CF.1'!E220,'CF.2'!$J$101:$J$107)+SUMIF('CF.2'!$K$101:$K$107,'CF.1'!E220,'CF.2'!$M$101:$M$107)</f>
        <v>0</v>
      </c>
      <c r="U220" s="509">
        <f>SUMIF('CF.2'!$H$112:$H$120,'CF.1'!E220,'CF.2'!$J$112:$J$120)+SUMIF('CF.2'!$K$112:$K$120,'CF.1'!E220,'CF.2'!$M$112:$M$120)</f>
        <v>0</v>
      </c>
      <c r="V220" s="510">
        <f t="shared" si="36"/>
        <v>0</v>
      </c>
      <c r="X220" s="512">
        <f t="shared" si="37"/>
        <v>0</v>
      </c>
    </row>
    <row r="221" spans="4:24" ht="18" customHeight="1">
      <c r="D221" s="506" t="s">
        <v>1094</v>
      </c>
      <c r="E221" s="507" t="s">
        <v>1094</v>
      </c>
      <c r="F221" s="508" t="s">
        <v>1491</v>
      </c>
      <c r="G221" s="507" t="s">
        <v>1095</v>
      </c>
      <c r="H221" s="509">
        <v>0</v>
      </c>
      <c r="I221" s="509">
        <v>0</v>
      </c>
      <c r="J221" s="509">
        <v>0</v>
      </c>
      <c r="K221" s="509">
        <v>0</v>
      </c>
      <c r="L221" s="509">
        <v>0</v>
      </c>
      <c r="M221" s="509"/>
      <c r="N221" s="509">
        <v>0</v>
      </c>
      <c r="O221" s="510">
        <f t="shared" si="35"/>
        <v>0</v>
      </c>
      <c r="Q221" s="511">
        <f>SUMIF('CF.2'!$H$5:$H$24,'CF.1'!E221,'CF.2'!$J$5:$J$24)-SUMIF('CF.2'!$K$5:$K$24,'CF.1'!E221,'CF.2'!$M$5:$M$24)</f>
        <v>0</v>
      </c>
      <c r="R221" s="509">
        <f>SUMIF('CF.2'!$H$30:$H$59,'CF.1'!E221,'CF.2'!$J$30:$J$59)+SUMIF('CF.2'!$K$30:$K$59,'CF.1'!E221,'CF.2'!$M$30:$M$59)</f>
        <v>0</v>
      </c>
      <c r="S221" s="509">
        <f>SUMIF('CF.2'!$H$64:$H$97,'CF.1'!E221,'CF.2'!$J$64:$J$97)+SUMIF('CF.2'!$K$64:$K$97,'CF.1'!E221,'CF.2'!$M$64:$M$97)</f>
        <v>0</v>
      </c>
      <c r="T221" s="509">
        <f>SUMIF('CF.2'!$H$101:$H$107,'CF.1'!E221,'CF.2'!$J$101:$J$107)+SUMIF('CF.2'!$K$101:$K$107,'CF.1'!E221,'CF.2'!$M$101:$M$107)</f>
        <v>0</v>
      </c>
      <c r="U221" s="509">
        <f>SUMIF('CF.2'!$H$112:$H$120,'CF.1'!E221,'CF.2'!$J$112:$J$120)+SUMIF('CF.2'!$K$112:$K$120,'CF.1'!E221,'CF.2'!$M$112:$M$120)</f>
        <v>0</v>
      </c>
      <c r="V221" s="510">
        <f t="shared" si="36"/>
        <v>0</v>
      </c>
      <c r="X221" s="512">
        <f t="shared" si="37"/>
        <v>0</v>
      </c>
    </row>
    <row r="222" spans="4:24" ht="18" customHeight="1">
      <c r="D222" s="506" t="s">
        <v>1096</v>
      </c>
      <c r="E222" s="507" t="s">
        <v>1096</v>
      </c>
      <c r="F222" s="508"/>
      <c r="G222" s="507" t="s">
        <v>1097</v>
      </c>
      <c r="H222" s="509">
        <v>0</v>
      </c>
      <c r="I222" s="509">
        <v>0</v>
      </c>
      <c r="J222" s="509">
        <v>0</v>
      </c>
      <c r="K222" s="509">
        <v>0</v>
      </c>
      <c r="L222" s="509">
        <v>0</v>
      </c>
      <c r="M222" s="509"/>
      <c r="N222" s="509">
        <v>0</v>
      </c>
      <c r="O222" s="510">
        <f t="shared" si="35"/>
        <v>0</v>
      </c>
      <c r="Q222" s="511">
        <f>SUMIF('CF.2'!$H$5:$H$24,'CF.1'!E222,'CF.2'!$J$5:$J$24)-SUMIF('CF.2'!$K$5:$K$24,'CF.1'!E222,'CF.2'!$M$5:$M$24)</f>
        <v>0</v>
      </c>
      <c r="R222" s="509">
        <f>SUMIF('CF.2'!$H$30:$H$59,'CF.1'!E222,'CF.2'!$J$30:$J$59)+SUMIF('CF.2'!$K$30:$K$59,'CF.1'!E222,'CF.2'!$M$30:$M$59)</f>
        <v>0</v>
      </c>
      <c r="S222" s="509">
        <f>SUMIF('CF.2'!$H$64:$H$97,'CF.1'!E222,'CF.2'!$J$64:$J$97)+SUMIF('CF.2'!$K$64:$K$97,'CF.1'!E222,'CF.2'!$M$64:$M$97)</f>
        <v>0</v>
      </c>
      <c r="T222" s="509">
        <f>SUMIF('CF.2'!$H$101:$H$107,'CF.1'!E222,'CF.2'!$J$101:$J$107)+SUMIF('CF.2'!$K$101:$K$107,'CF.1'!E222,'CF.2'!$M$101:$M$107)</f>
        <v>0</v>
      </c>
      <c r="U222" s="509">
        <f>SUMIF('CF.2'!$H$112:$H$120,'CF.1'!E222,'CF.2'!$J$112:$J$120)+SUMIF('CF.2'!$K$112:$K$120,'CF.1'!E222,'CF.2'!$M$112:$M$120)</f>
        <v>0</v>
      </c>
      <c r="V222" s="510">
        <f t="shared" si="36"/>
        <v>0</v>
      </c>
      <c r="X222" s="512">
        <f t="shared" si="37"/>
        <v>0</v>
      </c>
    </row>
    <row r="223" spans="4:24" ht="18" customHeight="1">
      <c r="D223" s="506" t="s">
        <v>1098</v>
      </c>
      <c r="E223" s="507" t="s">
        <v>1098</v>
      </c>
      <c r="F223" s="508"/>
      <c r="G223" s="507" t="s">
        <v>1099</v>
      </c>
      <c r="H223" s="509">
        <v>0</v>
      </c>
      <c r="I223" s="509">
        <v>0</v>
      </c>
      <c r="J223" s="509">
        <v>0</v>
      </c>
      <c r="K223" s="509">
        <v>0</v>
      </c>
      <c r="L223" s="509">
        <v>0</v>
      </c>
      <c r="M223" s="509"/>
      <c r="N223" s="509">
        <v>0</v>
      </c>
      <c r="O223" s="510">
        <f t="shared" si="35"/>
        <v>0</v>
      </c>
      <c r="Q223" s="511">
        <f>SUMIF('CF.2'!$H$5:$H$24,'CF.1'!E223,'CF.2'!$J$5:$J$24)-SUMIF('CF.2'!$K$5:$K$24,'CF.1'!E223,'CF.2'!$M$5:$M$24)</f>
        <v>0</v>
      </c>
      <c r="R223" s="509">
        <f>SUMIF('CF.2'!$H$30:$H$59,'CF.1'!E223,'CF.2'!$J$30:$J$59)+SUMIF('CF.2'!$K$30:$K$59,'CF.1'!E223,'CF.2'!$M$30:$M$59)</f>
        <v>0</v>
      </c>
      <c r="S223" s="509">
        <f>SUMIF('CF.2'!$H$64:$H$97,'CF.1'!E223,'CF.2'!$J$64:$J$97)+SUMIF('CF.2'!$K$64:$K$97,'CF.1'!E223,'CF.2'!$M$64:$M$97)</f>
        <v>0</v>
      </c>
      <c r="T223" s="509">
        <f>SUMIF('CF.2'!$H$101:$H$107,'CF.1'!E223,'CF.2'!$J$101:$J$107)+SUMIF('CF.2'!$K$101:$K$107,'CF.1'!E223,'CF.2'!$M$101:$M$107)</f>
        <v>0</v>
      </c>
      <c r="U223" s="509">
        <f>SUMIF('CF.2'!$H$112:$H$120,'CF.1'!E223,'CF.2'!$J$112:$J$120)+SUMIF('CF.2'!$K$112:$K$120,'CF.1'!E223,'CF.2'!$M$112:$M$120)</f>
        <v>0</v>
      </c>
      <c r="V223" s="510">
        <f t="shared" si="36"/>
        <v>0</v>
      </c>
      <c r="X223" s="512">
        <f t="shared" si="37"/>
        <v>0</v>
      </c>
    </row>
    <row r="224" spans="4:24" ht="18" customHeight="1">
      <c r="D224" s="506" t="s">
        <v>1100</v>
      </c>
      <c r="E224" s="507" t="s">
        <v>1100</v>
      </c>
      <c r="F224" s="508"/>
      <c r="G224" s="507" t="s">
        <v>1101</v>
      </c>
      <c r="H224" s="509">
        <v>0</v>
      </c>
      <c r="I224" s="509">
        <v>0</v>
      </c>
      <c r="J224" s="509">
        <v>0</v>
      </c>
      <c r="K224" s="509">
        <v>0</v>
      </c>
      <c r="L224" s="509">
        <v>0</v>
      </c>
      <c r="M224" s="509"/>
      <c r="N224" s="509">
        <v>0</v>
      </c>
      <c r="O224" s="510">
        <f t="shared" si="35"/>
        <v>0</v>
      </c>
      <c r="Q224" s="511">
        <f>SUMIF('CF.2'!$H$5:$H$24,'CF.1'!E224,'CF.2'!$J$5:$J$24)-SUMIF('CF.2'!$K$5:$K$24,'CF.1'!E224,'CF.2'!$M$5:$M$24)</f>
        <v>0</v>
      </c>
      <c r="R224" s="509">
        <f>SUMIF('CF.2'!$H$30:$H$59,'CF.1'!E224,'CF.2'!$J$30:$J$59)+SUMIF('CF.2'!$K$30:$K$59,'CF.1'!E224,'CF.2'!$M$30:$M$59)</f>
        <v>0</v>
      </c>
      <c r="S224" s="509">
        <f>SUMIF('CF.2'!$H$64:$H$97,'CF.1'!E224,'CF.2'!$J$64:$J$97)+SUMIF('CF.2'!$K$64:$K$97,'CF.1'!E224,'CF.2'!$M$64:$M$97)</f>
        <v>0</v>
      </c>
      <c r="T224" s="509">
        <f>SUMIF('CF.2'!$H$101:$H$107,'CF.1'!E224,'CF.2'!$J$101:$J$107)+SUMIF('CF.2'!$K$101:$K$107,'CF.1'!E224,'CF.2'!$M$101:$M$107)</f>
        <v>0</v>
      </c>
      <c r="U224" s="509">
        <f>SUMIF('CF.2'!$H$112:$H$120,'CF.1'!E224,'CF.2'!$J$112:$J$120)+SUMIF('CF.2'!$K$112:$K$120,'CF.1'!E224,'CF.2'!$M$112:$M$120)</f>
        <v>0</v>
      </c>
      <c r="V224" s="510">
        <f t="shared" si="36"/>
        <v>0</v>
      </c>
      <c r="X224" s="512">
        <f t="shared" si="37"/>
        <v>0</v>
      </c>
    </row>
    <row r="225" spans="4:24" ht="18" customHeight="1">
      <c r="D225" s="506" t="s">
        <v>1102</v>
      </c>
      <c r="E225" s="507" t="s">
        <v>1394</v>
      </c>
      <c r="F225" s="508"/>
      <c r="G225" s="507" t="s">
        <v>1393</v>
      </c>
      <c r="H225" s="509">
        <v>0</v>
      </c>
      <c r="I225" s="509">
        <v>0</v>
      </c>
      <c r="J225" s="509">
        <v>0</v>
      </c>
      <c r="K225" s="509">
        <v>0</v>
      </c>
      <c r="L225" s="509">
        <v>0</v>
      </c>
      <c r="M225" s="509"/>
      <c r="N225" s="509">
        <v>0</v>
      </c>
      <c r="O225" s="510">
        <f t="shared" si="35"/>
        <v>0</v>
      </c>
      <c r="Q225" s="511">
        <f>SUMIF('CF.2'!$H$5:$H$24,'CF.1'!E225,'CF.2'!$J$5:$J$24)-SUMIF('CF.2'!$K$5:$K$24,'CF.1'!E225,'CF.2'!$M$5:$M$24)</f>
        <v>0</v>
      </c>
      <c r="R225" s="509">
        <f>SUMIF('CF.2'!$H$30:$H$59,'CF.1'!E225,'CF.2'!$J$30:$J$59)+SUMIF('CF.2'!$K$30:$K$59,'CF.1'!E225,'CF.2'!$M$30:$M$59)</f>
        <v>0</v>
      </c>
      <c r="S225" s="509">
        <f>SUMIF('CF.2'!$H$64:$H$97,'CF.1'!E225,'CF.2'!$J$64:$J$97)+SUMIF('CF.2'!$K$64:$K$97,'CF.1'!E225,'CF.2'!$M$64:$M$97)</f>
        <v>0</v>
      </c>
      <c r="T225" s="509">
        <f>SUMIF('CF.2'!$H$101:$H$107,'CF.1'!E225,'CF.2'!$J$101:$J$107)+SUMIF('CF.2'!$K$101:$K$107,'CF.1'!E225,'CF.2'!$M$101:$M$107)</f>
        <v>0</v>
      </c>
      <c r="U225" s="509">
        <f>SUMIF('CF.2'!$H$112:$H$120,'CF.1'!E225,'CF.2'!$J$112:$J$120)+SUMIF('CF.2'!$K$112:$K$120,'CF.1'!E225,'CF.2'!$M$112:$M$120)</f>
        <v>0</v>
      </c>
      <c r="V225" s="510">
        <f t="shared" si="36"/>
        <v>0</v>
      </c>
      <c r="X225" s="512">
        <f t="shared" si="37"/>
        <v>0</v>
      </c>
    </row>
    <row r="226" spans="4:24" ht="18" customHeight="1">
      <c r="D226" s="506" t="s">
        <v>1102</v>
      </c>
      <c r="E226" s="507" t="s">
        <v>1395</v>
      </c>
      <c r="F226" s="508"/>
      <c r="G226" s="507" t="s">
        <v>1103</v>
      </c>
      <c r="H226" s="509">
        <v>0</v>
      </c>
      <c r="I226" s="509">
        <v>0</v>
      </c>
      <c r="J226" s="509">
        <v>0</v>
      </c>
      <c r="K226" s="509">
        <v>0</v>
      </c>
      <c r="L226" s="509">
        <v>0</v>
      </c>
      <c r="M226" s="509"/>
      <c r="N226" s="509">
        <v>0</v>
      </c>
      <c r="O226" s="510">
        <f t="shared" si="35"/>
        <v>0</v>
      </c>
      <c r="Q226" s="511">
        <f>SUMIF('CF.2'!$H$5:$H$24,'CF.1'!E226,'CF.2'!$J$5:$J$24)-SUMIF('CF.2'!$K$5:$K$24,'CF.1'!E226,'CF.2'!$M$5:$M$24)</f>
        <v>0</v>
      </c>
      <c r="R226" s="509">
        <f>SUMIF('CF.2'!$H$30:$H$59,'CF.1'!E226,'CF.2'!$J$30:$J$59)+SUMIF('CF.2'!$K$30:$K$59,'CF.1'!E226,'CF.2'!$M$30:$M$59)</f>
        <v>0</v>
      </c>
      <c r="S226" s="509">
        <f>SUMIF('CF.2'!$H$64:$H$97,'CF.1'!E226,'CF.2'!$J$64:$J$97)+SUMIF('CF.2'!$K$64:$K$97,'CF.1'!E226,'CF.2'!$M$64:$M$97)</f>
        <v>0</v>
      </c>
      <c r="T226" s="509">
        <f>SUMIF('CF.2'!$H$101:$H$107,'CF.1'!E226,'CF.2'!$J$101:$J$107)+SUMIF('CF.2'!$K$101:$K$107,'CF.1'!E226,'CF.2'!$M$101:$M$107)</f>
        <v>0</v>
      </c>
      <c r="U226" s="509">
        <f>SUMIF('CF.2'!$H$112:$H$120,'CF.1'!E226,'CF.2'!$J$112:$J$120)+SUMIF('CF.2'!$K$112:$K$120,'CF.1'!E226,'CF.2'!$M$112:$M$120)</f>
        <v>0</v>
      </c>
      <c r="V226" s="510">
        <f t="shared" si="36"/>
        <v>0</v>
      </c>
      <c r="X226" s="512">
        <f t="shared" si="37"/>
        <v>0</v>
      </c>
    </row>
    <row r="227" spans="4:24" ht="18" customHeight="1">
      <c r="D227" s="506" t="s">
        <v>1104</v>
      </c>
      <c r="E227" s="507" t="s">
        <v>1104</v>
      </c>
      <c r="F227" s="508"/>
      <c r="G227" s="507" t="s">
        <v>1105</v>
      </c>
      <c r="H227" s="509">
        <v>0</v>
      </c>
      <c r="I227" s="509">
        <v>0</v>
      </c>
      <c r="J227" s="509">
        <v>0</v>
      </c>
      <c r="K227" s="509">
        <v>0</v>
      </c>
      <c r="L227" s="509">
        <v>0</v>
      </c>
      <c r="M227" s="509"/>
      <c r="N227" s="509">
        <v>0</v>
      </c>
      <c r="O227" s="510">
        <f t="shared" si="35"/>
        <v>0</v>
      </c>
      <c r="Q227" s="511">
        <f>SUMIF('CF.2'!$H$5:$H$24,'CF.1'!E227,'CF.2'!$J$5:$J$24)-SUMIF('CF.2'!$K$5:$K$24,'CF.1'!E227,'CF.2'!$M$5:$M$24)</f>
        <v>0</v>
      </c>
      <c r="R227" s="509">
        <f>SUMIF('CF.2'!$H$30:$H$59,'CF.1'!E227,'CF.2'!$J$30:$J$59)+SUMIF('CF.2'!$K$30:$K$59,'CF.1'!E227,'CF.2'!$M$30:$M$59)</f>
        <v>0</v>
      </c>
      <c r="S227" s="509">
        <f>SUMIF('CF.2'!$H$64:$H$97,'CF.1'!E227,'CF.2'!$J$64:$J$97)+SUMIF('CF.2'!$K$64:$K$97,'CF.1'!E227,'CF.2'!$M$64:$M$97)</f>
        <v>0</v>
      </c>
      <c r="T227" s="509">
        <f>SUMIF('CF.2'!$H$101:$H$107,'CF.1'!E227,'CF.2'!$J$101:$J$107)+SUMIF('CF.2'!$K$101:$K$107,'CF.1'!E227,'CF.2'!$M$101:$M$107)</f>
        <v>0</v>
      </c>
      <c r="U227" s="509">
        <f>SUMIF('CF.2'!$H$112:$H$120,'CF.1'!E227,'CF.2'!$J$112:$J$120)+SUMIF('CF.2'!$K$112:$K$120,'CF.1'!E227,'CF.2'!$M$112:$M$120)</f>
        <v>0</v>
      </c>
      <c r="V227" s="510">
        <f t="shared" si="36"/>
        <v>0</v>
      </c>
      <c r="X227" s="512">
        <f t="shared" si="37"/>
        <v>0</v>
      </c>
    </row>
    <row r="228" spans="4:24" ht="18" customHeight="1">
      <c r="D228" s="506" t="s">
        <v>1106</v>
      </c>
      <c r="E228" s="507" t="s">
        <v>1106</v>
      </c>
      <c r="F228" s="508"/>
      <c r="G228" s="507" t="s">
        <v>1107</v>
      </c>
      <c r="H228" s="509">
        <v>0</v>
      </c>
      <c r="I228" s="509">
        <v>0</v>
      </c>
      <c r="J228" s="509">
        <v>0</v>
      </c>
      <c r="K228" s="509">
        <v>0</v>
      </c>
      <c r="L228" s="509">
        <v>0</v>
      </c>
      <c r="M228" s="509"/>
      <c r="N228" s="509">
        <v>0</v>
      </c>
      <c r="O228" s="510">
        <f t="shared" si="35"/>
        <v>0</v>
      </c>
      <c r="Q228" s="511">
        <f>SUMIF('CF.2'!$H$5:$H$24,'CF.1'!E228,'CF.2'!$J$5:$J$24)-SUMIF('CF.2'!$K$5:$K$24,'CF.1'!E228,'CF.2'!$M$5:$M$24)</f>
        <v>0</v>
      </c>
      <c r="R228" s="509">
        <f>SUMIF('CF.2'!$H$30:$H$59,'CF.1'!E228,'CF.2'!$J$30:$J$59)+SUMIF('CF.2'!$K$30:$K$59,'CF.1'!E228,'CF.2'!$M$30:$M$59)</f>
        <v>0</v>
      </c>
      <c r="S228" s="509">
        <f>SUMIF('CF.2'!$H$64:$H$97,'CF.1'!E228,'CF.2'!$J$64:$J$97)+SUMIF('CF.2'!$K$64:$K$97,'CF.1'!E228,'CF.2'!$M$64:$M$97)</f>
        <v>0</v>
      </c>
      <c r="T228" s="509">
        <f>SUMIF('CF.2'!$H$101:$H$107,'CF.1'!E228,'CF.2'!$J$101:$J$107)+SUMIF('CF.2'!$K$101:$K$107,'CF.1'!E228,'CF.2'!$M$101:$M$107)</f>
        <v>0</v>
      </c>
      <c r="U228" s="509">
        <f>SUMIF('CF.2'!$H$112:$H$120,'CF.1'!E228,'CF.2'!$J$112:$J$120)+SUMIF('CF.2'!$K$112:$K$120,'CF.1'!E228,'CF.2'!$M$112:$M$120)</f>
        <v>0</v>
      </c>
      <c r="V228" s="510">
        <f t="shared" si="36"/>
        <v>0</v>
      </c>
      <c r="X228" s="512">
        <f t="shared" si="37"/>
        <v>0</v>
      </c>
    </row>
    <row r="229" spans="4:24" ht="18" customHeight="1">
      <c r="D229" s="506" t="s">
        <v>1108</v>
      </c>
      <c r="E229" s="507" t="s">
        <v>1108</v>
      </c>
      <c r="F229" s="508"/>
      <c r="G229" s="507" t="s">
        <v>1109</v>
      </c>
      <c r="H229" s="509">
        <v>0</v>
      </c>
      <c r="I229" s="509">
        <v>0</v>
      </c>
      <c r="J229" s="509">
        <v>0</v>
      </c>
      <c r="K229" s="509">
        <v>0</v>
      </c>
      <c r="L229" s="509">
        <v>0</v>
      </c>
      <c r="M229" s="509"/>
      <c r="N229" s="509">
        <v>0</v>
      </c>
      <c r="O229" s="510">
        <f t="shared" si="35"/>
        <v>0</v>
      </c>
      <c r="Q229" s="511">
        <f>SUMIF('CF.2'!$H$5:$H$24,'CF.1'!E229,'CF.2'!$J$5:$J$24)-SUMIF('CF.2'!$K$5:$K$24,'CF.1'!E229,'CF.2'!$M$5:$M$24)</f>
        <v>0</v>
      </c>
      <c r="R229" s="509">
        <f>SUMIF('CF.2'!$H$30:$H$59,'CF.1'!E229,'CF.2'!$J$30:$J$59)+SUMIF('CF.2'!$K$30:$K$59,'CF.1'!E229,'CF.2'!$M$30:$M$59)</f>
        <v>0</v>
      </c>
      <c r="S229" s="509">
        <f>SUMIF('CF.2'!$H$64:$H$97,'CF.1'!E229,'CF.2'!$J$64:$J$97)+SUMIF('CF.2'!$K$64:$K$97,'CF.1'!E229,'CF.2'!$M$64:$M$97)</f>
        <v>0</v>
      </c>
      <c r="T229" s="509">
        <f>SUMIF('CF.2'!$H$101:$H$107,'CF.1'!E229,'CF.2'!$J$101:$J$107)+SUMIF('CF.2'!$K$101:$K$107,'CF.1'!E229,'CF.2'!$M$101:$M$107)</f>
        <v>0</v>
      </c>
      <c r="U229" s="509">
        <f>SUMIF('CF.2'!$H$112:$H$120,'CF.1'!E229,'CF.2'!$J$112:$J$120)+SUMIF('CF.2'!$K$112:$K$120,'CF.1'!E229,'CF.2'!$M$112:$M$120)</f>
        <v>0</v>
      </c>
      <c r="V229" s="510">
        <f t="shared" si="36"/>
        <v>0</v>
      </c>
      <c r="X229" s="512">
        <f t="shared" si="37"/>
        <v>0</v>
      </c>
    </row>
    <row r="230" spans="4:24" ht="18" customHeight="1">
      <c r="D230" s="506" t="s">
        <v>1110</v>
      </c>
      <c r="E230" s="507" t="s">
        <v>1110</v>
      </c>
      <c r="F230" s="508"/>
      <c r="G230" s="507" t="s">
        <v>1111</v>
      </c>
      <c r="H230" s="509">
        <v>0</v>
      </c>
      <c r="I230" s="509">
        <v>0</v>
      </c>
      <c r="J230" s="509">
        <v>0</v>
      </c>
      <c r="K230" s="509">
        <v>0</v>
      </c>
      <c r="L230" s="509">
        <v>0</v>
      </c>
      <c r="M230" s="509"/>
      <c r="N230" s="509">
        <v>0</v>
      </c>
      <c r="O230" s="510">
        <f t="shared" si="35"/>
        <v>0</v>
      </c>
      <c r="Q230" s="511">
        <f>SUMIF('CF.2'!$H$5:$H$24,'CF.1'!E230,'CF.2'!$J$5:$J$24)-SUMIF('CF.2'!$K$5:$K$24,'CF.1'!E230,'CF.2'!$M$5:$M$24)</f>
        <v>0</v>
      </c>
      <c r="R230" s="509">
        <f>SUMIF('CF.2'!$H$30:$H$59,'CF.1'!E230,'CF.2'!$J$30:$J$59)+SUMIF('CF.2'!$K$30:$K$59,'CF.1'!E230,'CF.2'!$M$30:$M$59)</f>
        <v>0</v>
      </c>
      <c r="S230" s="509">
        <f>SUMIF('CF.2'!$H$64:$H$97,'CF.1'!E230,'CF.2'!$J$64:$J$97)+SUMIF('CF.2'!$K$64:$K$97,'CF.1'!E230,'CF.2'!$M$64:$M$97)</f>
        <v>0</v>
      </c>
      <c r="T230" s="509">
        <f>SUMIF('CF.2'!$H$101:$H$107,'CF.1'!E230,'CF.2'!$J$101:$J$107)+SUMIF('CF.2'!$K$101:$K$107,'CF.1'!E230,'CF.2'!$M$101:$M$107)</f>
        <v>0</v>
      </c>
      <c r="U230" s="509">
        <f>SUMIF('CF.2'!$H$112:$H$120,'CF.1'!E230,'CF.2'!$J$112:$J$120)+SUMIF('CF.2'!$K$112:$K$120,'CF.1'!E230,'CF.2'!$M$112:$M$120)</f>
        <v>0</v>
      </c>
      <c r="V230" s="510">
        <f t="shared" si="36"/>
        <v>0</v>
      </c>
      <c r="X230" s="512">
        <f t="shared" si="37"/>
        <v>0</v>
      </c>
    </row>
    <row r="231" spans="4:24" ht="18" customHeight="1">
      <c r="D231" s="506" t="s">
        <v>1112</v>
      </c>
      <c r="E231" s="507" t="s">
        <v>1112</v>
      </c>
      <c r="F231" s="508"/>
      <c r="G231" s="507" t="s">
        <v>1113</v>
      </c>
      <c r="H231" s="509">
        <v>0</v>
      </c>
      <c r="I231" s="509">
        <v>0</v>
      </c>
      <c r="J231" s="509">
        <v>0</v>
      </c>
      <c r="K231" s="509">
        <v>0</v>
      </c>
      <c r="L231" s="509">
        <v>0</v>
      </c>
      <c r="M231" s="509"/>
      <c r="N231" s="509">
        <v>0</v>
      </c>
      <c r="O231" s="510">
        <f t="shared" si="35"/>
        <v>0</v>
      </c>
      <c r="Q231" s="511">
        <f>SUMIF('CF.2'!$H$5:$H$24,'CF.1'!E231,'CF.2'!$J$5:$J$24)-SUMIF('CF.2'!$K$5:$K$24,'CF.1'!E231,'CF.2'!$M$5:$M$24)</f>
        <v>0</v>
      </c>
      <c r="R231" s="509">
        <f>SUMIF('CF.2'!$H$30:$H$59,'CF.1'!E231,'CF.2'!$J$30:$J$59)+SUMIF('CF.2'!$K$30:$K$59,'CF.1'!E231,'CF.2'!$M$30:$M$59)</f>
        <v>0</v>
      </c>
      <c r="S231" s="509">
        <f>SUMIF('CF.2'!$H$64:$H$97,'CF.1'!E231,'CF.2'!$J$64:$J$97)+SUMIF('CF.2'!$K$64:$K$97,'CF.1'!E231,'CF.2'!$M$64:$M$97)</f>
        <v>0</v>
      </c>
      <c r="T231" s="509">
        <f>SUMIF('CF.2'!$H$101:$H$107,'CF.1'!E231,'CF.2'!$J$101:$J$107)+SUMIF('CF.2'!$K$101:$K$107,'CF.1'!E231,'CF.2'!$M$101:$M$107)</f>
        <v>0</v>
      </c>
      <c r="U231" s="509">
        <f>SUMIF('CF.2'!$H$112:$H$120,'CF.1'!E231,'CF.2'!$J$112:$J$120)+SUMIF('CF.2'!$K$112:$K$120,'CF.1'!E231,'CF.2'!$M$112:$M$120)</f>
        <v>0</v>
      </c>
      <c r="V231" s="510">
        <f t="shared" si="36"/>
        <v>0</v>
      </c>
      <c r="X231" s="512">
        <f t="shared" si="37"/>
        <v>0</v>
      </c>
    </row>
    <row r="232" spans="4:24" ht="18" customHeight="1">
      <c r="D232" s="506" t="s">
        <v>1114</v>
      </c>
      <c r="E232" s="507" t="s">
        <v>1114</v>
      </c>
      <c r="F232" s="508"/>
      <c r="G232" s="507" t="s">
        <v>1115</v>
      </c>
      <c r="H232" s="509">
        <v>0</v>
      </c>
      <c r="I232" s="509">
        <v>0</v>
      </c>
      <c r="J232" s="509">
        <v>0</v>
      </c>
      <c r="K232" s="509">
        <v>0</v>
      </c>
      <c r="L232" s="509">
        <v>0</v>
      </c>
      <c r="M232" s="509"/>
      <c r="N232" s="509">
        <v>0</v>
      </c>
      <c r="O232" s="510">
        <f t="shared" si="35"/>
        <v>0</v>
      </c>
      <c r="Q232" s="511">
        <f>SUMIF('CF.2'!$H$5:$H$24,'CF.1'!E232,'CF.2'!$J$5:$J$24)-SUMIF('CF.2'!$K$5:$K$24,'CF.1'!E232,'CF.2'!$M$5:$M$24)</f>
        <v>0</v>
      </c>
      <c r="R232" s="509">
        <f>SUMIF('CF.2'!$H$30:$H$59,'CF.1'!E232,'CF.2'!$J$30:$J$59)+SUMIF('CF.2'!$K$30:$K$59,'CF.1'!E232,'CF.2'!$M$30:$M$59)</f>
        <v>0</v>
      </c>
      <c r="S232" s="509">
        <f>SUMIF('CF.2'!$H$64:$H$97,'CF.1'!E232,'CF.2'!$J$64:$J$97)+SUMIF('CF.2'!$K$64:$K$97,'CF.1'!E232,'CF.2'!$M$64:$M$97)</f>
        <v>0</v>
      </c>
      <c r="T232" s="509">
        <f>SUMIF('CF.2'!$H$101:$H$107,'CF.1'!E232,'CF.2'!$J$101:$J$107)+SUMIF('CF.2'!$K$101:$K$107,'CF.1'!E232,'CF.2'!$M$101:$M$107)</f>
        <v>0</v>
      </c>
      <c r="U232" s="509">
        <f>SUMIF('CF.2'!$H$112:$H$120,'CF.1'!E232,'CF.2'!$J$112:$J$120)+SUMIF('CF.2'!$K$112:$K$120,'CF.1'!E232,'CF.2'!$M$112:$M$120)</f>
        <v>0</v>
      </c>
      <c r="V232" s="510">
        <f t="shared" si="36"/>
        <v>0</v>
      </c>
      <c r="X232" s="512">
        <f t="shared" si="37"/>
        <v>0</v>
      </c>
    </row>
    <row r="233" spans="4:24" ht="18" customHeight="1">
      <c r="D233" s="506" t="s">
        <v>1116</v>
      </c>
      <c r="E233" s="507" t="s">
        <v>1116</v>
      </c>
      <c r="F233" s="508"/>
      <c r="G233" s="507" t="s">
        <v>1117</v>
      </c>
      <c r="H233" s="509">
        <v>0</v>
      </c>
      <c r="I233" s="509">
        <v>0</v>
      </c>
      <c r="J233" s="509">
        <v>0</v>
      </c>
      <c r="K233" s="509">
        <v>0</v>
      </c>
      <c r="L233" s="509">
        <v>0</v>
      </c>
      <c r="M233" s="509"/>
      <c r="N233" s="509">
        <v>0</v>
      </c>
      <c r="O233" s="510">
        <f t="shared" si="35"/>
        <v>0</v>
      </c>
      <c r="Q233" s="511">
        <f>SUMIF('CF.2'!$H$5:$H$24,'CF.1'!E233,'CF.2'!$J$5:$J$24)-SUMIF('CF.2'!$K$5:$K$24,'CF.1'!E233,'CF.2'!$M$5:$M$24)</f>
        <v>0</v>
      </c>
      <c r="R233" s="509">
        <f>SUMIF('CF.2'!$H$30:$H$59,'CF.1'!E233,'CF.2'!$J$30:$J$59)+SUMIF('CF.2'!$K$30:$K$59,'CF.1'!E233,'CF.2'!$M$30:$M$59)</f>
        <v>0</v>
      </c>
      <c r="S233" s="509">
        <f>SUMIF('CF.2'!$H$64:$H$97,'CF.1'!E233,'CF.2'!$J$64:$J$97)+SUMIF('CF.2'!$K$64:$K$97,'CF.1'!E233,'CF.2'!$M$64:$M$97)</f>
        <v>0</v>
      </c>
      <c r="T233" s="509">
        <f>SUMIF('CF.2'!$H$101:$H$107,'CF.1'!E233,'CF.2'!$J$101:$J$107)+SUMIF('CF.2'!$K$101:$K$107,'CF.1'!E233,'CF.2'!$M$101:$M$107)</f>
        <v>0</v>
      </c>
      <c r="U233" s="509">
        <f>SUMIF('CF.2'!$H$112:$H$120,'CF.1'!E233,'CF.2'!$J$112:$J$120)+SUMIF('CF.2'!$K$112:$K$120,'CF.1'!E233,'CF.2'!$M$112:$M$120)</f>
        <v>0</v>
      </c>
      <c r="V233" s="510">
        <f t="shared" si="36"/>
        <v>0</v>
      </c>
      <c r="X233" s="512">
        <f t="shared" si="37"/>
        <v>0</v>
      </c>
    </row>
    <row r="234" spans="4:24" ht="18" customHeight="1">
      <c r="D234" s="506" t="s">
        <v>1118</v>
      </c>
      <c r="E234" s="507" t="s">
        <v>1118</v>
      </c>
      <c r="F234" s="508"/>
      <c r="G234" s="507" t="s">
        <v>1119</v>
      </c>
      <c r="H234" s="509">
        <v>0</v>
      </c>
      <c r="I234" s="509">
        <v>0</v>
      </c>
      <c r="J234" s="509">
        <v>0</v>
      </c>
      <c r="K234" s="509">
        <v>0</v>
      </c>
      <c r="L234" s="509">
        <v>0</v>
      </c>
      <c r="M234" s="509"/>
      <c r="N234" s="509">
        <v>0</v>
      </c>
      <c r="O234" s="510">
        <f t="shared" si="35"/>
        <v>0</v>
      </c>
      <c r="Q234" s="511">
        <f>SUMIF('CF.2'!$H$5:$H$24,'CF.1'!E234,'CF.2'!$J$5:$J$24)-SUMIF('CF.2'!$K$5:$K$24,'CF.1'!E234,'CF.2'!$M$5:$M$24)</f>
        <v>0</v>
      </c>
      <c r="R234" s="509">
        <f>SUMIF('CF.2'!$H$30:$H$59,'CF.1'!E234,'CF.2'!$J$30:$J$59)+SUMIF('CF.2'!$K$30:$K$59,'CF.1'!E234,'CF.2'!$M$30:$M$59)</f>
        <v>0</v>
      </c>
      <c r="S234" s="509">
        <f>SUMIF('CF.2'!$H$64:$H$97,'CF.1'!E234,'CF.2'!$J$64:$J$97)+SUMIF('CF.2'!$K$64:$K$97,'CF.1'!E234,'CF.2'!$M$64:$M$97)</f>
        <v>0</v>
      </c>
      <c r="T234" s="509">
        <f>SUMIF('CF.2'!$H$101:$H$107,'CF.1'!E234,'CF.2'!$J$101:$J$107)+SUMIF('CF.2'!$K$101:$K$107,'CF.1'!E234,'CF.2'!$M$101:$M$107)</f>
        <v>0</v>
      </c>
      <c r="U234" s="509">
        <f>SUMIF('CF.2'!$H$112:$H$120,'CF.1'!E234,'CF.2'!$J$112:$J$120)+SUMIF('CF.2'!$K$112:$K$120,'CF.1'!E234,'CF.2'!$M$112:$M$120)</f>
        <v>0</v>
      </c>
      <c r="V234" s="510">
        <f t="shared" si="36"/>
        <v>0</v>
      </c>
      <c r="X234" s="512">
        <f t="shared" si="37"/>
        <v>0</v>
      </c>
    </row>
    <row r="235" spans="4:24" ht="18" customHeight="1">
      <c r="D235" s="506" t="s">
        <v>1120</v>
      </c>
      <c r="E235" s="507" t="s">
        <v>1120</v>
      </c>
      <c r="F235" s="508"/>
      <c r="G235" s="507" t="s">
        <v>1121</v>
      </c>
      <c r="H235" s="509">
        <v>0</v>
      </c>
      <c r="I235" s="509">
        <v>0</v>
      </c>
      <c r="J235" s="509">
        <v>0</v>
      </c>
      <c r="K235" s="509">
        <v>0</v>
      </c>
      <c r="L235" s="509">
        <v>0</v>
      </c>
      <c r="M235" s="509"/>
      <c r="N235" s="509">
        <v>0</v>
      </c>
      <c r="O235" s="510">
        <f t="shared" si="35"/>
        <v>0</v>
      </c>
      <c r="Q235" s="511">
        <f>SUMIF('CF.2'!$H$5:$H$24,'CF.1'!E235,'CF.2'!$J$5:$J$24)-SUMIF('CF.2'!$K$5:$K$24,'CF.1'!E235,'CF.2'!$M$5:$M$24)</f>
        <v>0</v>
      </c>
      <c r="R235" s="509">
        <f>SUMIF('CF.2'!$H$30:$H$59,'CF.1'!E235,'CF.2'!$J$30:$J$59)+SUMIF('CF.2'!$K$30:$K$59,'CF.1'!E235,'CF.2'!$M$30:$M$59)</f>
        <v>0</v>
      </c>
      <c r="S235" s="509">
        <f>SUMIF('CF.2'!$H$64:$H$97,'CF.1'!E235,'CF.2'!$J$64:$J$97)+SUMIF('CF.2'!$K$64:$K$97,'CF.1'!E235,'CF.2'!$M$64:$M$97)</f>
        <v>0</v>
      </c>
      <c r="T235" s="509">
        <f>SUMIF('CF.2'!$H$101:$H$107,'CF.1'!E235,'CF.2'!$J$101:$J$107)+SUMIF('CF.2'!$K$101:$K$107,'CF.1'!E235,'CF.2'!$M$101:$M$107)</f>
        <v>0</v>
      </c>
      <c r="U235" s="509">
        <f>SUMIF('CF.2'!$H$112:$H$120,'CF.1'!E235,'CF.2'!$J$112:$J$120)+SUMIF('CF.2'!$K$112:$K$120,'CF.1'!E235,'CF.2'!$M$112:$M$120)</f>
        <v>0</v>
      </c>
      <c r="V235" s="510">
        <f t="shared" si="36"/>
        <v>0</v>
      </c>
      <c r="X235" s="512">
        <f t="shared" si="37"/>
        <v>0</v>
      </c>
    </row>
    <row r="236" spans="4:24" ht="18" customHeight="1">
      <c r="D236" s="506" t="s">
        <v>1122</v>
      </c>
      <c r="E236" s="507" t="s">
        <v>1122</v>
      </c>
      <c r="F236" s="508"/>
      <c r="G236" s="507" t="s">
        <v>1123</v>
      </c>
      <c r="H236" s="509">
        <v>0</v>
      </c>
      <c r="I236" s="509">
        <v>0</v>
      </c>
      <c r="J236" s="509">
        <v>0</v>
      </c>
      <c r="K236" s="509">
        <v>0</v>
      </c>
      <c r="L236" s="509">
        <v>0</v>
      </c>
      <c r="M236" s="509"/>
      <c r="N236" s="509">
        <v>0</v>
      </c>
      <c r="O236" s="510">
        <f t="shared" si="35"/>
        <v>0</v>
      </c>
      <c r="Q236" s="511">
        <f>SUMIF('CF.2'!$H$5:$H$24,'CF.1'!E236,'CF.2'!$J$5:$J$24)-SUMIF('CF.2'!$K$5:$K$24,'CF.1'!E236,'CF.2'!$M$5:$M$24)</f>
        <v>0</v>
      </c>
      <c r="R236" s="509">
        <f>SUMIF('CF.2'!$H$30:$H$59,'CF.1'!E236,'CF.2'!$J$30:$J$59)+SUMIF('CF.2'!$K$30:$K$59,'CF.1'!E236,'CF.2'!$M$30:$M$59)</f>
        <v>0</v>
      </c>
      <c r="S236" s="509">
        <f>SUMIF('CF.2'!$H$64:$H$97,'CF.1'!E236,'CF.2'!$J$64:$J$97)+SUMIF('CF.2'!$K$64:$K$97,'CF.1'!E236,'CF.2'!$M$64:$M$97)</f>
        <v>0</v>
      </c>
      <c r="T236" s="509">
        <f>SUMIF('CF.2'!$H$101:$H$107,'CF.1'!E236,'CF.2'!$J$101:$J$107)+SUMIF('CF.2'!$K$101:$K$107,'CF.1'!E236,'CF.2'!$M$101:$M$107)</f>
        <v>0</v>
      </c>
      <c r="U236" s="509">
        <f>SUMIF('CF.2'!$H$112:$H$120,'CF.1'!E236,'CF.2'!$J$112:$J$120)+SUMIF('CF.2'!$K$112:$K$120,'CF.1'!E236,'CF.2'!$M$112:$M$120)</f>
        <v>0</v>
      </c>
      <c r="V236" s="510">
        <f t="shared" si="36"/>
        <v>0</v>
      </c>
      <c r="X236" s="512">
        <f t="shared" si="37"/>
        <v>0</v>
      </c>
    </row>
    <row r="237" spans="4:24" ht="18" customHeight="1">
      <c r="D237" s="506" t="s">
        <v>1124</v>
      </c>
      <c r="E237" s="507" t="s">
        <v>1124</v>
      </c>
      <c r="F237" s="508"/>
      <c r="G237" s="507" t="s">
        <v>1125</v>
      </c>
      <c r="H237" s="509">
        <v>0</v>
      </c>
      <c r="I237" s="509">
        <v>0</v>
      </c>
      <c r="J237" s="509">
        <v>0</v>
      </c>
      <c r="K237" s="509">
        <v>0</v>
      </c>
      <c r="L237" s="509">
        <v>0</v>
      </c>
      <c r="M237" s="509"/>
      <c r="N237" s="509">
        <v>0</v>
      </c>
      <c r="O237" s="510">
        <f t="shared" si="35"/>
        <v>0</v>
      </c>
      <c r="Q237" s="511">
        <f>SUMIF('CF.2'!$H$5:$H$24,'CF.1'!E237,'CF.2'!$J$5:$J$24)-SUMIF('CF.2'!$K$5:$K$24,'CF.1'!E237,'CF.2'!$M$5:$M$24)</f>
        <v>0</v>
      </c>
      <c r="R237" s="509">
        <f>SUMIF('CF.2'!$H$30:$H$59,'CF.1'!E237,'CF.2'!$J$30:$J$59)+SUMIF('CF.2'!$K$30:$K$59,'CF.1'!E237,'CF.2'!$M$30:$M$59)</f>
        <v>0</v>
      </c>
      <c r="S237" s="509">
        <f>SUMIF('CF.2'!$H$64:$H$97,'CF.1'!E237,'CF.2'!$J$64:$J$97)+SUMIF('CF.2'!$K$64:$K$97,'CF.1'!E237,'CF.2'!$M$64:$M$97)</f>
        <v>0</v>
      </c>
      <c r="T237" s="509">
        <f>SUMIF('CF.2'!$H$101:$H$107,'CF.1'!E237,'CF.2'!$J$101:$J$107)+SUMIF('CF.2'!$K$101:$K$107,'CF.1'!E237,'CF.2'!$M$101:$M$107)</f>
        <v>0</v>
      </c>
      <c r="U237" s="509">
        <f>SUMIF('CF.2'!$H$112:$H$120,'CF.1'!E237,'CF.2'!$J$112:$J$120)+SUMIF('CF.2'!$K$112:$K$120,'CF.1'!E237,'CF.2'!$M$112:$M$120)</f>
        <v>0</v>
      </c>
      <c r="V237" s="510">
        <f t="shared" si="36"/>
        <v>0</v>
      </c>
      <c r="X237" s="512">
        <f t="shared" si="37"/>
        <v>0</v>
      </c>
    </row>
    <row r="238" spans="4:24" ht="18" customHeight="1">
      <c r="D238" s="506" t="s">
        <v>1126</v>
      </c>
      <c r="E238" s="507" t="s">
        <v>1126</v>
      </c>
      <c r="F238" s="508"/>
      <c r="G238" s="507" t="s">
        <v>1127</v>
      </c>
      <c r="H238" s="509">
        <v>0</v>
      </c>
      <c r="I238" s="509">
        <v>0</v>
      </c>
      <c r="J238" s="509">
        <v>0</v>
      </c>
      <c r="K238" s="509">
        <v>0</v>
      </c>
      <c r="L238" s="509">
        <v>0</v>
      </c>
      <c r="M238" s="509"/>
      <c r="N238" s="509">
        <v>0</v>
      </c>
      <c r="O238" s="510">
        <f t="shared" si="35"/>
        <v>0</v>
      </c>
      <c r="Q238" s="511">
        <f>SUMIF('CF.2'!$H$5:$H$24,'CF.1'!E238,'CF.2'!$J$5:$J$24)-SUMIF('CF.2'!$K$5:$K$24,'CF.1'!E238,'CF.2'!$M$5:$M$24)</f>
        <v>0</v>
      </c>
      <c r="R238" s="509">
        <f>SUMIF('CF.2'!$H$30:$H$59,'CF.1'!E238,'CF.2'!$J$30:$J$59)+SUMIF('CF.2'!$K$30:$K$59,'CF.1'!E238,'CF.2'!$M$30:$M$59)</f>
        <v>0</v>
      </c>
      <c r="S238" s="509">
        <f>SUMIF('CF.2'!$H$64:$H$97,'CF.1'!E238,'CF.2'!$J$64:$J$97)+SUMIF('CF.2'!$K$64:$K$97,'CF.1'!E238,'CF.2'!$M$64:$M$97)</f>
        <v>0</v>
      </c>
      <c r="T238" s="509">
        <f>SUMIF('CF.2'!$H$101:$H$107,'CF.1'!E238,'CF.2'!$J$101:$J$107)+SUMIF('CF.2'!$K$101:$K$107,'CF.1'!E238,'CF.2'!$M$101:$M$107)</f>
        <v>0</v>
      </c>
      <c r="U238" s="509">
        <f>SUMIF('CF.2'!$H$112:$H$120,'CF.1'!E238,'CF.2'!$J$112:$J$120)+SUMIF('CF.2'!$K$112:$K$120,'CF.1'!E238,'CF.2'!$M$112:$M$120)</f>
        <v>0</v>
      </c>
      <c r="V238" s="510">
        <f t="shared" si="36"/>
        <v>0</v>
      </c>
      <c r="X238" s="512">
        <f t="shared" si="37"/>
        <v>0</v>
      </c>
    </row>
    <row r="239" spans="4:24" ht="18" customHeight="1">
      <c r="D239" s="506" t="s">
        <v>1128</v>
      </c>
      <c r="E239" s="507" t="s">
        <v>1128</v>
      </c>
      <c r="F239" s="508"/>
      <c r="G239" s="507" t="s">
        <v>1129</v>
      </c>
      <c r="H239" s="509">
        <v>0</v>
      </c>
      <c r="I239" s="509">
        <v>0</v>
      </c>
      <c r="J239" s="509">
        <v>0</v>
      </c>
      <c r="K239" s="509">
        <v>0</v>
      </c>
      <c r="L239" s="509">
        <v>0</v>
      </c>
      <c r="M239" s="509"/>
      <c r="N239" s="509">
        <v>0</v>
      </c>
      <c r="O239" s="510">
        <f t="shared" si="35"/>
        <v>0</v>
      </c>
      <c r="Q239" s="511">
        <f>SUMIF('CF.2'!$H$5:$H$24,'CF.1'!E239,'CF.2'!$J$5:$J$24)-SUMIF('CF.2'!$K$5:$K$24,'CF.1'!E239,'CF.2'!$M$5:$M$24)</f>
        <v>0</v>
      </c>
      <c r="R239" s="509">
        <f>SUMIF('CF.2'!$H$30:$H$59,'CF.1'!E239,'CF.2'!$J$30:$J$59)+SUMIF('CF.2'!$K$30:$K$59,'CF.1'!E239,'CF.2'!$M$30:$M$59)</f>
        <v>0</v>
      </c>
      <c r="S239" s="509">
        <f>SUMIF('CF.2'!$H$64:$H$97,'CF.1'!E239,'CF.2'!$J$64:$J$97)+SUMIF('CF.2'!$K$64:$K$97,'CF.1'!E239,'CF.2'!$M$64:$M$97)</f>
        <v>0</v>
      </c>
      <c r="T239" s="509">
        <f>SUMIF('CF.2'!$H$101:$H$107,'CF.1'!E239,'CF.2'!$J$101:$J$107)+SUMIF('CF.2'!$K$101:$K$107,'CF.1'!E239,'CF.2'!$M$101:$M$107)</f>
        <v>0</v>
      </c>
      <c r="U239" s="509">
        <f>SUMIF('CF.2'!$H$112:$H$120,'CF.1'!E239,'CF.2'!$J$112:$J$120)+SUMIF('CF.2'!$K$112:$K$120,'CF.1'!E239,'CF.2'!$M$112:$M$120)</f>
        <v>0</v>
      </c>
      <c r="V239" s="510">
        <f t="shared" si="36"/>
        <v>0</v>
      </c>
      <c r="X239" s="512">
        <f t="shared" si="37"/>
        <v>0</v>
      </c>
    </row>
    <row r="240" spans="4:24" ht="18" customHeight="1">
      <c r="D240" s="506" t="s">
        <v>1130</v>
      </c>
      <c r="E240" s="507" t="s">
        <v>1130</v>
      </c>
      <c r="F240" s="508"/>
      <c r="G240" s="507" t="s">
        <v>1131</v>
      </c>
      <c r="H240" s="509">
        <v>7613941909</v>
      </c>
      <c r="I240" s="509">
        <v>0</v>
      </c>
      <c r="J240" s="509">
        <v>0</v>
      </c>
      <c r="K240" s="509">
        <v>0</v>
      </c>
      <c r="L240" s="509">
        <v>0</v>
      </c>
      <c r="M240" s="509"/>
      <c r="N240" s="509">
        <v>0</v>
      </c>
      <c r="O240" s="510">
        <f t="shared" si="35"/>
        <v>7613941909</v>
      </c>
      <c r="Q240" s="511">
        <f>SUMIF('CF.2'!$H$5:$H$24,'CF.1'!E240,'CF.2'!$J$5:$J$24)-SUMIF('CF.2'!$K$5:$K$24,'CF.1'!E240,'CF.2'!$M$5:$M$24)</f>
        <v>0</v>
      </c>
      <c r="R240" s="509">
        <f>SUMIF('CF.2'!$H$30:$H$59,'CF.1'!E240,'CF.2'!$J$30:$J$59)+SUMIF('CF.2'!$K$30:$K$59,'CF.1'!E240,'CF.2'!$M$30:$M$59)</f>
        <v>0</v>
      </c>
      <c r="S240" s="509">
        <f>SUMIF('CF.2'!$H$64:$H$97,'CF.1'!E240,'CF.2'!$J$64:$J$97)+SUMIF('CF.2'!$K$64:$K$97,'CF.1'!E240,'CF.2'!$M$64:$M$97)</f>
        <v>0</v>
      </c>
      <c r="T240" s="509">
        <f>SUMIF('CF.2'!$H$101:$H$107,'CF.1'!E240,'CF.2'!$J$101:$J$107)+SUMIF('CF.2'!$K$101:$K$107,'CF.1'!E240,'CF.2'!$M$101:$M$107)</f>
        <v>-7613941909</v>
      </c>
      <c r="U240" s="509">
        <f>SUMIF('CF.2'!$H$112:$H$120,'CF.1'!E240,'CF.2'!$J$112:$J$120)+SUMIF('CF.2'!$K$112:$K$120,'CF.1'!E240,'CF.2'!$M$112:$M$120)</f>
        <v>0</v>
      </c>
      <c r="V240" s="510">
        <f t="shared" si="36"/>
        <v>-7613941909</v>
      </c>
      <c r="X240" s="512">
        <f t="shared" si="37"/>
        <v>0</v>
      </c>
    </row>
    <row r="241" spans="4:26" ht="18" customHeight="1">
      <c r="D241" s="499" t="s">
        <v>1132</v>
      </c>
      <c r="E241" s="500" t="s">
        <v>1132</v>
      </c>
      <c r="F241" s="501"/>
      <c r="G241" s="500" t="s">
        <v>1133</v>
      </c>
      <c r="H241" s="502">
        <f t="shared" ref="H241:O241" si="38">SUM(H242:H299)</f>
        <v>-7659008660</v>
      </c>
      <c r="I241" s="502">
        <f t="shared" si="38"/>
        <v>0</v>
      </c>
      <c r="J241" s="502">
        <f t="shared" si="38"/>
        <v>0</v>
      </c>
      <c r="K241" s="502">
        <f t="shared" si="38"/>
        <v>0</v>
      </c>
      <c r="L241" s="502">
        <f t="shared" si="38"/>
        <v>-202173119</v>
      </c>
      <c r="M241" s="502">
        <f t="shared" si="38"/>
        <v>0</v>
      </c>
      <c r="N241" s="502">
        <f t="shared" si="38"/>
        <v>-70054000</v>
      </c>
      <c r="O241" s="503">
        <f t="shared" si="38"/>
        <v>-7931235779</v>
      </c>
      <c r="Q241" s="504">
        <f t="shared" ref="Q241:V241" si="39">SUM(Q242:Q299)</f>
        <v>-251263806</v>
      </c>
      <c r="R241" s="502">
        <f t="shared" si="39"/>
        <v>0</v>
      </c>
      <c r="S241" s="502">
        <f t="shared" si="39"/>
        <v>946066000</v>
      </c>
      <c r="T241" s="502">
        <f t="shared" si="39"/>
        <v>0</v>
      </c>
      <c r="U241" s="502">
        <f t="shared" si="39"/>
        <v>0</v>
      </c>
      <c r="V241" s="503">
        <f t="shared" si="39"/>
        <v>694802194</v>
      </c>
      <c r="X241" s="505">
        <f t="shared" ref="X241" si="40">SUM(X242:X299)</f>
        <v>-7236433585</v>
      </c>
    </row>
    <row r="242" spans="4:26" ht="18" customHeight="1">
      <c r="D242" s="506" t="s">
        <v>1134</v>
      </c>
      <c r="E242" s="507" t="s">
        <v>1134</v>
      </c>
      <c r="F242" s="508"/>
      <c r="G242" s="507" t="s">
        <v>1135</v>
      </c>
      <c r="H242" s="509">
        <v>-571650000</v>
      </c>
      <c r="I242" s="509">
        <v>0</v>
      </c>
      <c r="J242" s="509">
        <v>0</v>
      </c>
      <c r="K242" s="509">
        <v>0</v>
      </c>
      <c r="L242" s="509">
        <v>-374416000</v>
      </c>
      <c r="M242" s="509"/>
      <c r="N242" s="509">
        <v>0</v>
      </c>
      <c r="O242" s="510">
        <f t="shared" ref="O242:O299" si="41">SUM(H242:N242)</f>
        <v>-946066000</v>
      </c>
      <c r="Q242" s="511">
        <f>SUMIF('CF.2'!$H$5:$H$24,'CF.1'!E242,'CF.2'!$J$5:$J$24)-SUMIF('CF.2'!$K$5:$K$24,'CF.1'!E242,'CF.2'!$M$5:$M$24)</f>
        <v>0</v>
      </c>
      <c r="R242" s="509">
        <f>SUMIF('CF.2'!$H$30:$H$59,'CF.1'!E242,'CF.2'!$J$30:$J$59)+SUMIF('CF.2'!$K$30:$K$59,'CF.1'!E242,'CF.2'!$M$30:$M$59)</f>
        <v>0</v>
      </c>
      <c r="S242" s="509">
        <f>SUMIF('CF.2'!$H$64:$H$97,'CF.1'!E242,'CF.2'!$J$64:$J$97)+SUMIF('CF.2'!$K$64:$K$97,'CF.1'!E242,'CF.2'!$M$64:$M$97)</f>
        <v>946066000</v>
      </c>
      <c r="T242" s="509">
        <f>SUMIF('CF.2'!$H$101:$H$107,'CF.1'!E242,'CF.2'!$J$101:$J$107)+SUMIF('CF.2'!$K$101:$K$107,'CF.1'!E242,'CF.2'!$M$101:$M$107)</f>
        <v>0</v>
      </c>
      <c r="U242" s="509">
        <f>SUMIF('CF.2'!$H$112:$H$120,'CF.1'!E242,'CF.2'!$J$112:$J$120)+SUMIF('CF.2'!$K$112:$K$120,'CF.1'!E242,'CF.2'!$M$112:$M$120)</f>
        <v>0</v>
      </c>
      <c r="V242" s="510">
        <f>SUM(Q242:U242)</f>
        <v>946066000</v>
      </c>
      <c r="X242" s="512">
        <f t="shared" ref="X242:X299" si="42">V242+O242</f>
        <v>0</v>
      </c>
    </row>
    <row r="243" spans="4:26" ht="18" customHeight="1">
      <c r="D243" s="506" t="s">
        <v>1136</v>
      </c>
      <c r="E243" s="507" t="s">
        <v>1136</v>
      </c>
      <c r="F243" s="508" t="s">
        <v>1495</v>
      </c>
      <c r="G243" s="507" t="s">
        <v>1137</v>
      </c>
      <c r="H243" s="509">
        <v>0</v>
      </c>
      <c r="I243" s="509">
        <v>0</v>
      </c>
      <c r="J243" s="509">
        <v>0</v>
      </c>
      <c r="K243" s="509">
        <v>0</v>
      </c>
      <c r="L243" s="509">
        <v>0</v>
      </c>
      <c r="M243" s="509"/>
      <c r="N243" s="509">
        <v>0</v>
      </c>
      <c r="O243" s="510">
        <f t="shared" si="41"/>
        <v>0</v>
      </c>
      <c r="Q243" s="511">
        <f>SUMIF('CF.2'!$H$5:$H$24,'CF.1'!E243,'CF.2'!$J$5:$J$24)-SUMIF('CF.2'!$K$5:$K$24,'CF.1'!E243,'CF.2'!$M$5:$M$24)</f>
        <v>0</v>
      </c>
      <c r="R243" s="509">
        <f>SUMIF('CF.2'!$H$30:$H$59,'CF.1'!E243,'CF.2'!$J$30:$J$59)+SUMIF('CF.2'!$K$30:$K$59,'CF.1'!E243,'CF.2'!$M$30:$M$59)</f>
        <v>0</v>
      </c>
      <c r="S243" s="509">
        <f>SUMIF('CF.2'!$H$64:$H$97,'CF.1'!E243,'CF.2'!$J$64:$J$97)+SUMIF('CF.2'!$K$64:$K$97,'CF.1'!E243,'CF.2'!$M$64:$M$97)</f>
        <v>0</v>
      </c>
      <c r="T243" s="509">
        <f>SUMIF('CF.2'!$H$101:$H$107,'CF.1'!E243,'CF.2'!$J$101:$J$107)+SUMIF('CF.2'!$K$101:$K$107,'CF.1'!E243,'CF.2'!$M$101:$M$107)</f>
        <v>0</v>
      </c>
      <c r="U243" s="509">
        <f>SUMIF('CF.2'!$H$112:$H$120,'CF.1'!E243,'CF.2'!$J$112:$J$120)+SUMIF('CF.2'!$K$112:$K$120,'CF.1'!E243,'CF.2'!$M$112:$M$120)</f>
        <v>0</v>
      </c>
      <c r="V243" s="510">
        <f t="shared" ref="V243:V299" si="43">SUM(Q243:U243)</f>
        <v>0</v>
      </c>
      <c r="X243" s="512">
        <f t="shared" si="42"/>
        <v>0</v>
      </c>
    </row>
    <row r="244" spans="4:26" ht="18" customHeight="1">
      <c r="D244" s="506" t="s">
        <v>1138</v>
      </c>
      <c r="E244" s="507" t="s">
        <v>1138</v>
      </c>
      <c r="F244" s="508"/>
      <c r="G244" s="507" t="s">
        <v>1139</v>
      </c>
      <c r="H244" s="509">
        <v>0</v>
      </c>
      <c r="I244" s="509">
        <v>0</v>
      </c>
      <c r="J244" s="509">
        <v>0</v>
      </c>
      <c r="K244" s="509">
        <v>0</v>
      </c>
      <c r="L244" s="509">
        <v>0</v>
      </c>
      <c r="M244" s="509"/>
      <c r="N244" s="509">
        <v>0</v>
      </c>
      <c r="O244" s="510">
        <f t="shared" si="41"/>
        <v>0</v>
      </c>
      <c r="Q244" s="511">
        <f>SUMIF('CF.2'!$H$5:$H$24,'CF.1'!E244,'CF.2'!$J$5:$J$24)-SUMIF('CF.2'!$K$5:$K$24,'CF.1'!E244,'CF.2'!$M$5:$M$24)</f>
        <v>0</v>
      </c>
      <c r="R244" s="509">
        <f>SUMIF('CF.2'!$H$30:$H$59,'CF.1'!E244,'CF.2'!$J$30:$J$59)+SUMIF('CF.2'!$K$30:$K$59,'CF.1'!E244,'CF.2'!$M$30:$M$59)</f>
        <v>0</v>
      </c>
      <c r="S244" s="509">
        <f>SUMIF('CF.2'!$H$64:$H$97,'CF.1'!E244,'CF.2'!$J$64:$J$97)+SUMIF('CF.2'!$K$64:$K$97,'CF.1'!E244,'CF.2'!$M$64:$M$97)</f>
        <v>0</v>
      </c>
      <c r="T244" s="509">
        <f>SUMIF('CF.2'!$H$101:$H$107,'CF.1'!E244,'CF.2'!$J$101:$J$107)+SUMIF('CF.2'!$K$101:$K$107,'CF.1'!E244,'CF.2'!$M$101:$M$107)</f>
        <v>0</v>
      </c>
      <c r="U244" s="509">
        <f>SUMIF('CF.2'!$H$112:$H$120,'CF.1'!E244,'CF.2'!$J$112:$J$120)+SUMIF('CF.2'!$K$112:$K$120,'CF.1'!E244,'CF.2'!$M$112:$M$120)</f>
        <v>0</v>
      </c>
      <c r="V244" s="510">
        <f t="shared" si="43"/>
        <v>0</v>
      </c>
      <c r="X244" s="512">
        <f t="shared" si="42"/>
        <v>0</v>
      </c>
    </row>
    <row r="245" spans="4:26" ht="18" customHeight="1">
      <c r="D245" s="506" t="s">
        <v>1140</v>
      </c>
      <c r="E245" s="507" t="s">
        <v>1140</v>
      </c>
      <c r="F245" s="508"/>
      <c r="G245" s="507" t="s">
        <v>1141</v>
      </c>
      <c r="H245" s="509">
        <v>0</v>
      </c>
      <c r="I245" s="509">
        <v>0</v>
      </c>
      <c r="J245" s="509">
        <v>0</v>
      </c>
      <c r="K245" s="509">
        <v>0</v>
      </c>
      <c r="L245" s="509">
        <v>0</v>
      </c>
      <c r="M245" s="509"/>
      <c r="N245" s="509">
        <v>0</v>
      </c>
      <c r="O245" s="510">
        <f t="shared" si="41"/>
        <v>0</v>
      </c>
      <c r="Q245" s="511">
        <f>SUMIF('CF.2'!$H$5:$H$24,'CF.1'!E245,'CF.2'!$J$5:$J$24)-SUMIF('CF.2'!$K$5:$K$24,'CF.1'!E245,'CF.2'!$M$5:$M$24)</f>
        <v>0</v>
      </c>
      <c r="R245" s="509">
        <f>SUMIF('CF.2'!$H$30:$H$59,'CF.1'!E245,'CF.2'!$J$30:$J$59)+SUMIF('CF.2'!$K$30:$K$59,'CF.1'!E245,'CF.2'!$M$30:$M$59)</f>
        <v>0</v>
      </c>
      <c r="S245" s="509">
        <f>SUMIF('CF.2'!$H$64:$H$97,'CF.1'!E245,'CF.2'!$J$64:$J$97)+SUMIF('CF.2'!$K$64:$K$97,'CF.1'!E245,'CF.2'!$M$64:$M$97)</f>
        <v>0</v>
      </c>
      <c r="T245" s="509">
        <f>SUMIF('CF.2'!$H$101:$H$107,'CF.1'!E245,'CF.2'!$J$101:$J$107)+SUMIF('CF.2'!$K$101:$K$107,'CF.1'!E245,'CF.2'!$M$101:$M$107)</f>
        <v>0</v>
      </c>
      <c r="U245" s="509">
        <f>SUMIF('CF.2'!$H$112:$H$120,'CF.1'!E245,'CF.2'!$J$112:$J$120)+SUMIF('CF.2'!$K$112:$K$120,'CF.1'!E245,'CF.2'!$M$112:$M$120)</f>
        <v>0</v>
      </c>
      <c r="V245" s="510">
        <f t="shared" si="43"/>
        <v>0</v>
      </c>
      <c r="X245" s="512">
        <f t="shared" si="42"/>
        <v>0</v>
      </c>
    </row>
    <row r="246" spans="4:26" ht="18" customHeight="1">
      <c r="D246" s="506" t="s">
        <v>1142</v>
      </c>
      <c r="E246" s="507" t="s">
        <v>1142</v>
      </c>
      <c r="F246" s="508" t="s">
        <v>1143</v>
      </c>
      <c r="G246" s="507" t="s">
        <v>1143</v>
      </c>
      <c r="H246" s="509">
        <v>-352599000</v>
      </c>
      <c r="I246" s="509">
        <v>0</v>
      </c>
      <c r="J246" s="509">
        <v>0</v>
      </c>
      <c r="K246" s="509">
        <v>0</v>
      </c>
      <c r="L246" s="509">
        <v>0</v>
      </c>
      <c r="M246" s="509"/>
      <c r="N246" s="509">
        <v>0</v>
      </c>
      <c r="O246" s="510">
        <f t="shared" si="41"/>
        <v>-352599000</v>
      </c>
      <c r="Q246" s="511">
        <f>SUMIF('CF.2'!$H$5:$H$24,'CF.1'!E246,'CF.2'!$J$5:$J$24)-SUMIF('CF.2'!$K$5:$K$24,'CF.1'!E246,'CF.2'!$M$5:$M$24)</f>
        <v>0</v>
      </c>
      <c r="R246" s="509">
        <f>SUMIF('CF.2'!$H$30:$H$59,'CF.1'!E246,'CF.2'!$J$30:$J$59)+SUMIF('CF.2'!$K$30:$K$59,'CF.1'!E246,'CF.2'!$M$30:$M$59)</f>
        <v>0</v>
      </c>
      <c r="S246" s="509">
        <f>SUMIF('CF.2'!$H$64:$H$97,'CF.1'!E246,'CF.2'!$J$64:$J$97)+SUMIF('CF.2'!$K$64:$K$97,'CF.1'!E246,'CF.2'!$M$64:$M$97)</f>
        <v>0</v>
      </c>
      <c r="T246" s="509">
        <f>SUMIF('CF.2'!$H$101:$H$107,'CF.1'!E246,'CF.2'!$J$101:$J$107)+SUMIF('CF.2'!$K$101:$K$107,'CF.1'!E246,'CF.2'!$M$101:$M$107)</f>
        <v>0</v>
      </c>
      <c r="U246" s="509">
        <f>SUMIF('CF.2'!$H$112:$H$120,'CF.1'!E246,'CF.2'!$J$112:$J$120)+SUMIF('CF.2'!$K$112:$K$120,'CF.1'!E246,'CF.2'!$M$112:$M$120)</f>
        <v>0</v>
      </c>
      <c r="V246" s="510">
        <f t="shared" si="43"/>
        <v>0</v>
      </c>
      <c r="X246" s="512">
        <f t="shared" si="42"/>
        <v>-352599000</v>
      </c>
      <c r="Z246" s="164" t="b">
        <f>X246=H246</f>
        <v>1</v>
      </c>
    </row>
    <row r="247" spans="4:26" ht="18" customHeight="1">
      <c r="D247" s="506" t="s">
        <v>1144</v>
      </c>
      <c r="E247" s="507" t="s">
        <v>1144</v>
      </c>
      <c r="F247" s="508"/>
      <c r="G247" s="507" t="s">
        <v>1145</v>
      </c>
      <c r="H247" s="509">
        <v>0</v>
      </c>
      <c r="I247" s="509">
        <v>0</v>
      </c>
      <c r="J247" s="509">
        <v>0</v>
      </c>
      <c r="K247" s="509">
        <v>0</v>
      </c>
      <c r="L247" s="509">
        <v>0</v>
      </c>
      <c r="M247" s="509"/>
      <c r="N247" s="509">
        <v>0</v>
      </c>
      <c r="O247" s="510">
        <f t="shared" si="41"/>
        <v>0</v>
      </c>
      <c r="Q247" s="511">
        <f>SUMIF('CF.2'!$H$5:$H$24,'CF.1'!E247,'CF.2'!$J$5:$J$24)-SUMIF('CF.2'!$K$5:$K$24,'CF.1'!E247,'CF.2'!$M$5:$M$24)</f>
        <v>0</v>
      </c>
      <c r="R247" s="509">
        <f>SUMIF('CF.2'!$H$30:$H$59,'CF.1'!E247,'CF.2'!$J$30:$J$59)+SUMIF('CF.2'!$K$30:$K$59,'CF.1'!E247,'CF.2'!$M$30:$M$59)</f>
        <v>0</v>
      </c>
      <c r="S247" s="509">
        <f>SUMIF('CF.2'!$H$64:$H$97,'CF.1'!E247,'CF.2'!$J$64:$J$97)+SUMIF('CF.2'!$K$64:$K$97,'CF.1'!E247,'CF.2'!$M$64:$M$97)</f>
        <v>0</v>
      </c>
      <c r="T247" s="509">
        <f>SUMIF('CF.2'!$H$101:$H$107,'CF.1'!E247,'CF.2'!$J$101:$J$107)+SUMIF('CF.2'!$K$101:$K$107,'CF.1'!E247,'CF.2'!$M$101:$M$107)</f>
        <v>0</v>
      </c>
      <c r="U247" s="509">
        <f>SUMIF('CF.2'!$H$112:$H$120,'CF.1'!E247,'CF.2'!$J$112:$J$120)+SUMIF('CF.2'!$K$112:$K$120,'CF.1'!E247,'CF.2'!$M$112:$M$120)</f>
        <v>0</v>
      </c>
      <c r="V247" s="510">
        <f t="shared" si="43"/>
        <v>0</v>
      </c>
      <c r="X247" s="512">
        <f t="shared" si="42"/>
        <v>0</v>
      </c>
    </row>
    <row r="248" spans="4:26" ht="18" customHeight="1">
      <c r="D248" s="506" t="s">
        <v>1146</v>
      </c>
      <c r="E248" s="507" t="s">
        <v>1146</v>
      </c>
      <c r="F248" s="508" t="s">
        <v>1826</v>
      </c>
      <c r="G248" s="507" t="s">
        <v>1147</v>
      </c>
      <c r="H248" s="509">
        <v>0</v>
      </c>
      <c r="I248" s="509">
        <v>0</v>
      </c>
      <c r="J248" s="509">
        <v>0</v>
      </c>
      <c r="K248" s="509">
        <v>0</v>
      </c>
      <c r="L248" s="509">
        <v>0</v>
      </c>
      <c r="M248" s="509"/>
      <c r="N248" s="509">
        <v>0</v>
      </c>
      <c r="O248" s="510">
        <f t="shared" si="41"/>
        <v>0</v>
      </c>
      <c r="Q248" s="511">
        <f>SUMIF('CF.2'!$H$5:$H$24,'CF.1'!E248,'CF.2'!$J$5:$J$24)-SUMIF('CF.2'!$K$5:$K$24,'CF.1'!E248,'CF.2'!$M$5:$M$24)</f>
        <v>0</v>
      </c>
      <c r="R248" s="509">
        <f>SUMIF('CF.2'!$H$30:$H$59,'CF.1'!E248,'CF.2'!$J$30:$J$59)+SUMIF('CF.2'!$K$30:$K$59,'CF.1'!E248,'CF.2'!$M$30:$M$59)</f>
        <v>0</v>
      </c>
      <c r="S248" s="509">
        <f>SUMIF('CF.2'!$H$64:$H$97,'CF.1'!E248,'CF.2'!$J$64:$J$97)+SUMIF('CF.2'!$K$64:$K$97,'CF.1'!E248,'CF.2'!$M$64:$M$97)</f>
        <v>0</v>
      </c>
      <c r="T248" s="509">
        <f>SUMIF('CF.2'!$H$101:$H$107,'CF.1'!E248,'CF.2'!$J$101:$J$107)+SUMIF('CF.2'!$K$101:$K$107,'CF.1'!E248,'CF.2'!$M$101:$M$107)</f>
        <v>0</v>
      </c>
      <c r="U248" s="509">
        <f>SUMIF('CF.2'!$H$112:$H$120,'CF.1'!E248,'CF.2'!$J$112:$J$120)+SUMIF('CF.2'!$K$112:$K$120,'CF.1'!E248,'CF.2'!$M$112:$M$120)</f>
        <v>0</v>
      </c>
      <c r="V248" s="510">
        <f t="shared" si="43"/>
        <v>0</v>
      </c>
      <c r="X248" s="512">
        <f t="shared" si="42"/>
        <v>0</v>
      </c>
    </row>
    <row r="249" spans="4:26" ht="18" customHeight="1">
      <c r="D249" s="506" t="s">
        <v>1148</v>
      </c>
      <c r="E249" s="507" t="s">
        <v>1148</v>
      </c>
      <c r="F249" s="508" t="s">
        <v>1382</v>
      </c>
      <c r="G249" s="507" t="s">
        <v>1149</v>
      </c>
      <c r="H249" s="509">
        <v>-317188000</v>
      </c>
      <c r="I249" s="509">
        <v>0</v>
      </c>
      <c r="J249" s="509">
        <v>0</v>
      </c>
      <c r="K249" s="509">
        <v>0</v>
      </c>
      <c r="L249" s="509">
        <v>0</v>
      </c>
      <c r="M249" s="509"/>
      <c r="N249" s="509">
        <v>0</v>
      </c>
      <c r="O249" s="510">
        <f t="shared" si="41"/>
        <v>-317188000</v>
      </c>
      <c r="Q249" s="511">
        <f>SUMIF('CF.2'!$H$5:$H$24,'CF.1'!E249,'CF.2'!$J$5:$J$24)-SUMIF('CF.2'!$K$5:$K$24,'CF.1'!E249,'CF.2'!$M$5:$M$24)</f>
        <v>0</v>
      </c>
      <c r="R249" s="509">
        <f>SUMIF('CF.2'!$H$30:$H$59,'CF.1'!E249,'CF.2'!$J$30:$J$59)+SUMIF('CF.2'!$K$30:$K$59,'CF.1'!E249,'CF.2'!$M$30:$M$59)</f>
        <v>0</v>
      </c>
      <c r="S249" s="509">
        <f>SUMIF('CF.2'!$H$64:$H$97,'CF.1'!E249,'CF.2'!$J$64:$J$97)+SUMIF('CF.2'!$K$64:$K$97,'CF.1'!E249,'CF.2'!$M$64:$M$97)</f>
        <v>0</v>
      </c>
      <c r="T249" s="509">
        <f>SUMIF('CF.2'!$H$101:$H$107,'CF.1'!E249,'CF.2'!$J$101:$J$107)+SUMIF('CF.2'!$K$101:$K$107,'CF.1'!E249,'CF.2'!$M$101:$M$107)</f>
        <v>0</v>
      </c>
      <c r="U249" s="509">
        <f>SUMIF('CF.2'!$H$112:$H$120,'CF.1'!E249,'CF.2'!$J$112:$J$120)+SUMIF('CF.2'!$K$112:$K$120,'CF.1'!E249,'CF.2'!$M$112:$M$120)</f>
        <v>0</v>
      </c>
      <c r="V249" s="510">
        <f t="shared" si="43"/>
        <v>0</v>
      </c>
      <c r="X249" s="512">
        <f t="shared" si="42"/>
        <v>-317188000</v>
      </c>
    </row>
    <row r="250" spans="4:26" ht="18" customHeight="1">
      <c r="D250" s="506" t="s">
        <v>1148</v>
      </c>
      <c r="E250" s="507" t="s">
        <v>1825</v>
      </c>
      <c r="F250" s="508" t="s">
        <v>1533</v>
      </c>
      <c r="G250" s="507" t="s">
        <v>1149</v>
      </c>
      <c r="H250" s="509">
        <v>-105000000</v>
      </c>
      <c r="I250" s="509">
        <v>0</v>
      </c>
      <c r="J250" s="509">
        <v>0</v>
      </c>
      <c r="K250" s="509">
        <v>0</v>
      </c>
      <c r="L250" s="509">
        <v>0</v>
      </c>
      <c r="M250" s="509"/>
      <c r="N250" s="509">
        <v>0</v>
      </c>
      <c r="O250" s="510">
        <f t="shared" si="41"/>
        <v>-105000000</v>
      </c>
      <c r="Q250" s="511"/>
      <c r="R250" s="509"/>
      <c r="S250" s="509"/>
      <c r="T250" s="509"/>
      <c r="U250" s="509"/>
      <c r="V250" s="510">
        <f t="shared" si="43"/>
        <v>0</v>
      </c>
      <c r="X250" s="512">
        <f t="shared" si="42"/>
        <v>-105000000</v>
      </c>
    </row>
    <row r="251" spans="4:26" ht="18" customHeight="1">
      <c r="D251" s="506" t="s">
        <v>1150</v>
      </c>
      <c r="E251" s="507" t="s">
        <v>1150</v>
      </c>
      <c r="F251" s="508"/>
      <c r="G251" s="507" t="s">
        <v>1151</v>
      </c>
      <c r="H251" s="509">
        <v>0</v>
      </c>
      <c r="I251" s="509">
        <v>0</v>
      </c>
      <c r="J251" s="509">
        <v>0</v>
      </c>
      <c r="K251" s="509">
        <v>0</v>
      </c>
      <c r="L251" s="509">
        <v>0</v>
      </c>
      <c r="M251" s="509"/>
      <c r="N251" s="509">
        <v>0</v>
      </c>
      <c r="O251" s="510">
        <f t="shared" si="41"/>
        <v>0</v>
      </c>
      <c r="Q251" s="511">
        <f>SUMIF('CF.2'!$H$5:$H$24,'CF.1'!E251,'CF.2'!$J$5:$J$24)-SUMIF('CF.2'!$K$5:$K$24,'CF.1'!E251,'CF.2'!$M$5:$M$24)</f>
        <v>0</v>
      </c>
      <c r="R251" s="509">
        <f>SUMIF('CF.2'!$H$30:$H$59,'CF.1'!E251,'CF.2'!$J$30:$J$59)+SUMIF('CF.2'!$K$30:$K$59,'CF.1'!E251,'CF.2'!$M$30:$M$59)</f>
        <v>0</v>
      </c>
      <c r="S251" s="509">
        <f>SUMIF('CF.2'!$H$64:$H$97,'CF.1'!E251,'CF.2'!$J$64:$J$97)+SUMIF('CF.2'!$K$64:$K$97,'CF.1'!E251,'CF.2'!$M$64:$M$97)</f>
        <v>0</v>
      </c>
      <c r="T251" s="509">
        <f>SUMIF('CF.2'!$H$101:$H$107,'CF.1'!E251,'CF.2'!$J$101:$J$107)+SUMIF('CF.2'!$K$101:$K$107,'CF.1'!E251,'CF.2'!$M$101:$M$107)</f>
        <v>0</v>
      </c>
      <c r="U251" s="509">
        <f>SUMIF('CF.2'!$H$112:$H$120,'CF.1'!E251,'CF.2'!$J$112:$J$120)+SUMIF('CF.2'!$K$112:$K$120,'CF.1'!E251,'CF.2'!$M$112:$M$120)</f>
        <v>0</v>
      </c>
      <c r="V251" s="510">
        <f t="shared" si="43"/>
        <v>0</v>
      </c>
      <c r="X251" s="512">
        <f t="shared" si="42"/>
        <v>0</v>
      </c>
    </row>
    <row r="252" spans="4:26" ht="18" customHeight="1">
      <c r="D252" s="506" t="s">
        <v>1152</v>
      </c>
      <c r="E252" s="507" t="s">
        <v>1152</v>
      </c>
      <c r="F252" s="508"/>
      <c r="G252" s="507" t="s">
        <v>1153</v>
      </c>
      <c r="H252" s="509">
        <v>0</v>
      </c>
      <c r="I252" s="509">
        <v>0</v>
      </c>
      <c r="J252" s="509">
        <v>0</v>
      </c>
      <c r="K252" s="509">
        <v>0</v>
      </c>
      <c r="L252" s="509">
        <v>0</v>
      </c>
      <c r="M252" s="509"/>
      <c r="N252" s="509">
        <v>0</v>
      </c>
      <c r="O252" s="510">
        <f t="shared" si="41"/>
        <v>0</v>
      </c>
      <c r="Q252" s="511">
        <f>SUMIF('CF.2'!$H$5:$H$24,'CF.1'!E252,'CF.2'!$J$5:$J$24)-SUMIF('CF.2'!$K$5:$K$24,'CF.1'!E252,'CF.2'!$M$5:$M$24)</f>
        <v>0</v>
      </c>
      <c r="R252" s="509">
        <f>SUMIF('CF.2'!$H$30:$H$59,'CF.1'!E252,'CF.2'!$J$30:$J$59)+SUMIF('CF.2'!$K$30:$K$59,'CF.1'!E252,'CF.2'!$M$30:$M$59)</f>
        <v>0</v>
      </c>
      <c r="S252" s="509">
        <f>SUMIF('CF.2'!$H$64:$H$97,'CF.1'!E252,'CF.2'!$J$64:$J$97)+SUMIF('CF.2'!$K$64:$K$97,'CF.1'!E252,'CF.2'!$M$64:$M$97)</f>
        <v>0</v>
      </c>
      <c r="T252" s="509">
        <f>SUMIF('CF.2'!$H$101:$H$107,'CF.1'!E252,'CF.2'!$J$101:$J$107)+SUMIF('CF.2'!$K$101:$K$107,'CF.1'!E252,'CF.2'!$M$101:$M$107)</f>
        <v>0</v>
      </c>
      <c r="U252" s="509">
        <f>SUMIF('CF.2'!$H$112:$H$120,'CF.1'!E252,'CF.2'!$J$112:$J$120)+SUMIF('CF.2'!$K$112:$K$120,'CF.1'!E252,'CF.2'!$M$112:$M$120)</f>
        <v>0</v>
      </c>
      <c r="V252" s="510">
        <f t="shared" si="43"/>
        <v>0</v>
      </c>
      <c r="X252" s="512">
        <f t="shared" si="42"/>
        <v>0</v>
      </c>
    </row>
    <row r="253" spans="4:26" ht="18" customHeight="1">
      <c r="D253" s="506" t="s">
        <v>1154</v>
      </c>
      <c r="E253" s="507" t="s">
        <v>1154</v>
      </c>
      <c r="F253" s="508"/>
      <c r="G253" s="507" t="s">
        <v>1155</v>
      </c>
      <c r="H253" s="509">
        <v>0</v>
      </c>
      <c r="I253" s="509">
        <v>0</v>
      </c>
      <c r="J253" s="509">
        <v>0</v>
      </c>
      <c r="K253" s="509">
        <v>0</v>
      </c>
      <c r="L253" s="509">
        <v>0</v>
      </c>
      <c r="M253" s="509"/>
      <c r="N253" s="509">
        <v>0</v>
      </c>
      <c r="O253" s="510">
        <f t="shared" si="41"/>
        <v>0</v>
      </c>
      <c r="Q253" s="511">
        <f>SUMIF('CF.2'!$H$5:$H$24,'CF.1'!E253,'CF.2'!$J$5:$J$24)-SUMIF('CF.2'!$K$5:$K$24,'CF.1'!E253,'CF.2'!$M$5:$M$24)</f>
        <v>0</v>
      </c>
      <c r="R253" s="509">
        <f>SUMIF('CF.2'!$H$30:$H$59,'CF.1'!E253,'CF.2'!$J$30:$J$59)+SUMIF('CF.2'!$K$30:$K$59,'CF.1'!E253,'CF.2'!$M$30:$M$59)</f>
        <v>0</v>
      </c>
      <c r="S253" s="509">
        <f>SUMIF('CF.2'!$H$64:$H$97,'CF.1'!E253,'CF.2'!$J$64:$J$97)+SUMIF('CF.2'!$K$64:$K$97,'CF.1'!E253,'CF.2'!$M$64:$M$97)</f>
        <v>0</v>
      </c>
      <c r="T253" s="509">
        <f>SUMIF('CF.2'!$H$101:$H$107,'CF.1'!E253,'CF.2'!$J$101:$J$107)+SUMIF('CF.2'!$K$101:$K$107,'CF.1'!E253,'CF.2'!$M$101:$M$107)</f>
        <v>0</v>
      </c>
      <c r="U253" s="509">
        <f>SUMIF('CF.2'!$H$112:$H$120,'CF.1'!E253,'CF.2'!$J$112:$J$120)+SUMIF('CF.2'!$K$112:$K$120,'CF.1'!E253,'CF.2'!$M$112:$M$120)</f>
        <v>0</v>
      </c>
      <c r="V253" s="510">
        <f t="shared" si="43"/>
        <v>0</v>
      </c>
      <c r="X253" s="512">
        <f t="shared" si="42"/>
        <v>0</v>
      </c>
    </row>
    <row r="254" spans="4:26" ht="18" customHeight="1">
      <c r="D254" s="506" t="s">
        <v>1156</v>
      </c>
      <c r="E254" s="507" t="s">
        <v>1156</v>
      </c>
      <c r="F254" s="508"/>
      <c r="G254" s="507" t="s">
        <v>1157</v>
      </c>
      <c r="H254" s="509">
        <v>0</v>
      </c>
      <c r="I254" s="509">
        <v>0</v>
      </c>
      <c r="J254" s="509">
        <v>0</v>
      </c>
      <c r="K254" s="509">
        <v>0</v>
      </c>
      <c r="L254" s="509">
        <v>0</v>
      </c>
      <c r="M254" s="509"/>
      <c r="N254" s="509">
        <v>0</v>
      </c>
      <c r="O254" s="510">
        <f t="shared" si="41"/>
        <v>0</v>
      </c>
      <c r="Q254" s="511">
        <f>SUMIF('CF.2'!$H$5:$H$24,'CF.1'!E254,'CF.2'!$J$5:$J$24)-SUMIF('CF.2'!$K$5:$K$24,'CF.1'!E254,'CF.2'!$M$5:$M$24)</f>
        <v>0</v>
      </c>
      <c r="R254" s="509">
        <f>SUMIF('CF.2'!$H$30:$H$59,'CF.1'!E254,'CF.2'!$J$30:$J$59)+SUMIF('CF.2'!$K$30:$K$59,'CF.1'!E254,'CF.2'!$M$30:$M$59)</f>
        <v>0</v>
      </c>
      <c r="S254" s="509">
        <f>SUMIF('CF.2'!$H$64:$H$97,'CF.1'!E254,'CF.2'!$J$64:$J$97)+SUMIF('CF.2'!$K$64:$K$97,'CF.1'!E254,'CF.2'!$M$64:$M$97)</f>
        <v>0</v>
      </c>
      <c r="T254" s="509">
        <f>SUMIF('CF.2'!$H$101:$H$107,'CF.1'!E254,'CF.2'!$J$101:$J$107)+SUMIF('CF.2'!$K$101:$K$107,'CF.1'!E254,'CF.2'!$M$101:$M$107)</f>
        <v>0</v>
      </c>
      <c r="U254" s="509">
        <f>SUMIF('CF.2'!$H$112:$H$120,'CF.1'!E254,'CF.2'!$J$112:$J$120)+SUMIF('CF.2'!$K$112:$K$120,'CF.1'!E254,'CF.2'!$M$112:$M$120)</f>
        <v>0</v>
      </c>
      <c r="V254" s="510">
        <f t="shared" si="43"/>
        <v>0</v>
      </c>
      <c r="X254" s="512">
        <f t="shared" si="42"/>
        <v>0</v>
      </c>
    </row>
    <row r="255" spans="4:26" ht="18" customHeight="1">
      <c r="D255" s="506" t="s">
        <v>1158</v>
      </c>
      <c r="E255" s="507" t="s">
        <v>1158</v>
      </c>
      <c r="F255" s="508"/>
      <c r="G255" s="507" t="s">
        <v>1159</v>
      </c>
      <c r="H255" s="509">
        <v>0</v>
      </c>
      <c r="I255" s="509">
        <v>0</v>
      </c>
      <c r="J255" s="509">
        <v>0</v>
      </c>
      <c r="K255" s="509">
        <v>0</v>
      </c>
      <c r="L255" s="509">
        <v>0</v>
      </c>
      <c r="M255" s="509"/>
      <c r="N255" s="509">
        <v>0</v>
      </c>
      <c r="O255" s="510">
        <f t="shared" si="41"/>
        <v>0</v>
      </c>
      <c r="Q255" s="511">
        <f>SUMIF('CF.2'!$H$5:$H$24,'CF.1'!E255,'CF.2'!$J$5:$J$24)-SUMIF('CF.2'!$K$5:$K$24,'CF.1'!E255,'CF.2'!$M$5:$M$24)</f>
        <v>0</v>
      </c>
      <c r="R255" s="509">
        <f>SUMIF('CF.2'!$H$30:$H$59,'CF.1'!E255,'CF.2'!$J$30:$J$59)+SUMIF('CF.2'!$K$30:$K$59,'CF.1'!E255,'CF.2'!$M$30:$M$59)</f>
        <v>0</v>
      </c>
      <c r="S255" s="509">
        <f>SUMIF('CF.2'!$H$64:$H$97,'CF.1'!E255,'CF.2'!$J$64:$J$97)+SUMIF('CF.2'!$K$64:$K$97,'CF.1'!E255,'CF.2'!$M$64:$M$97)</f>
        <v>0</v>
      </c>
      <c r="T255" s="509">
        <f>SUMIF('CF.2'!$H$101:$H$107,'CF.1'!E255,'CF.2'!$J$101:$J$107)+SUMIF('CF.2'!$K$101:$K$107,'CF.1'!E255,'CF.2'!$M$101:$M$107)</f>
        <v>0</v>
      </c>
      <c r="U255" s="509">
        <f>SUMIF('CF.2'!$H$112:$H$120,'CF.1'!E255,'CF.2'!$J$112:$J$120)+SUMIF('CF.2'!$K$112:$K$120,'CF.1'!E255,'CF.2'!$M$112:$M$120)</f>
        <v>0</v>
      </c>
      <c r="V255" s="510">
        <f t="shared" si="43"/>
        <v>0</v>
      </c>
      <c r="X255" s="512">
        <f t="shared" si="42"/>
        <v>0</v>
      </c>
    </row>
    <row r="256" spans="4:26" ht="18" customHeight="1">
      <c r="D256" s="506" t="s">
        <v>1160</v>
      </c>
      <c r="E256" s="507" t="s">
        <v>1160</v>
      </c>
      <c r="F256" s="508" t="s">
        <v>1537</v>
      </c>
      <c r="G256" s="507" t="s">
        <v>1161</v>
      </c>
      <c r="H256" s="509">
        <v>0</v>
      </c>
      <c r="I256" s="509">
        <v>0</v>
      </c>
      <c r="J256" s="509">
        <v>0</v>
      </c>
      <c r="K256" s="509">
        <v>0</v>
      </c>
      <c r="L256" s="509">
        <v>0</v>
      </c>
      <c r="M256" s="509"/>
      <c r="N256" s="509">
        <v>0</v>
      </c>
      <c r="O256" s="510">
        <f t="shared" si="41"/>
        <v>0</v>
      </c>
      <c r="Q256" s="511">
        <f>SUMIF('CF.2'!$H$5:$H$24,'CF.1'!E256,'CF.2'!$J$5:$J$24)-SUMIF('CF.2'!$K$5:$K$24,'CF.1'!E256,'CF.2'!$M$5:$M$24)</f>
        <v>0</v>
      </c>
      <c r="R256" s="509">
        <f>SUMIF('CF.2'!$H$30:$H$59,'CF.1'!E256,'CF.2'!$J$30:$J$59)+SUMIF('CF.2'!$K$30:$K$59,'CF.1'!E256,'CF.2'!$M$30:$M$59)</f>
        <v>0</v>
      </c>
      <c r="S256" s="509">
        <f>SUMIF('CF.2'!$H$64:$H$97,'CF.1'!E256,'CF.2'!$J$64:$J$97)+SUMIF('CF.2'!$K$64:$K$97,'CF.1'!E256,'CF.2'!$M$64:$M$97)</f>
        <v>0</v>
      </c>
      <c r="T256" s="509">
        <f>SUMIF('CF.2'!$H$101:$H$107,'CF.1'!E256,'CF.2'!$J$101:$J$107)+SUMIF('CF.2'!$K$101:$K$107,'CF.1'!E256,'CF.2'!$M$101:$M$107)</f>
        <v>0</v>
      </c>
      <c r="U256" s="509">
        <f>SUMIF('CF.2'!$H$112:$H$120,'CF.1'!E256,'CF.2'!$J$112:$J$120)+SUMIF('CF.2'!$K$112:$K$120,'CF.1'!E256,'CF.2'!$M$112:$M$120)</f>
        <v>0</v>
      </c>
      <c r="V256" s="510">
        <f t="shared" si="43"/>
        <v>0</v>
      </c>
      <c r="X256" s="512">
        <f t="shared" si="42"/>
        <v>0</v>
      </c>
    </row>
    <row r="257" spans="4:24" ht="18" customHeight="1">
      <c r="D257" s="506" t="s">
        <v>1162</v>
      </c>
      <c r="E257" s="507" t="s">
        <v>1162</v>
      </c>
      <c r="F257" s="508"/>
      <c r="G257" s="507" t="s">
        <v>1163</v>
      </c>
      <c r="H257" s="509">
        <v>0</v>
      </c>
      <c r="I257" s="509">
        <v>0</v>
      </c>
      <c r="J257" s="509">
        <v>0</v>
      </c>
      <c r="K257" s="509">
        <v>0</v>
      </c>
      <c r="L257" s="509">
        <v>0</v>
      </c>
      <c r="M257" s="509"/>
      <c r="N257" s="509">
        <v>0</v>
      </c>
      <c r="O257" s="510">
        <f t="shared" si="41"/>
        <v>0</v>
      </c>
      <c r="Q257" s="511">
        <f>SUMIF('CF.2'!$H$5:$H$24,'CF.1'!E257,'CF.2'!$J$5:$J$24)-SUMIF('CF.2'!$K$5:$K$24,'CF.1'!E257,'CF.2'!$M$5:$M$24)</f>
        <v>0</v>
      </c>
      <c r="R257" s="509">
        <f>SUMIF('CF.2'!$H$30:$H$59,'CF.1'!E257,'CF.2'!$J$30:$J$59)+SUMIF('CF.2'!$K$30:$K$59,'CF.1'!E257,'CF.2'!$M$30:$M$59)</f>
        <v>0</v>
      </c>
      <c r="S257" s="509">
        <f>SUMIF('CF.2'!$H$64:$H$97,'CF.1'!E257,'CF.2'!$J$64:$J$97)+SUMIF('CF.2'!$K$64:$K$97,'CF.1'!E257,'CF.2'!$M$64:$M$97)</f>
        <v>0</v>
      </c>
      <c r="T257" s="509">
        <f>SUMIF('CF.2'!$H$101:$H$107,'CF.1'!E257,'CF.2'!$J$101:$J$107)+SUMIF('CF.2'!$K$101:$K$107,'CF.1'!E257,'CF.2'!$M$101:$M$107)</f>
        <v>0</v>
      </c>
      <c r="U257" s="509">
        <f>SUMIF('CF.2'!$H$112:$H$120,'CF.1'!E257,'CF.2'!$J$112:$J$120)+SUMIF('CF.2'!$K$112:$K$120,'CF.1'!E257,'CF.2'!$M$112:$M$120)</f>
        <v>0</v>
      </c>
      <c r="V257" s="510">
        <f t="shared" si="43"/>
        <v>0</v>
      </c>
      <c r="X257" s="512">
        <f t="shared" si="42"/>
        <v>0</v>
      </c>
    </row>
    <row r="258" spans="4:24" ht="18" customHeight="1">
      <c r="D258" s="506" t="s">
        <v>1164</v>
      </c>
      <c r="E258" s="507" t="s">
        <v>1164</v>
      </c>
      <c r="F258" s="508" t="s">
        <v>1537</v>
      </c>
      <c r="G258" s="507" t="s">
        <v>1165</v>
      </c>
      <c r="H258" s="509">
        <v>0</v>
      </c>
      <c r="I258" s="509">
        <v>0</v>
      </c>
      <c r="J258" s="509">
        <v>0</v>
      </c>
      <c r="K258" s="509">
        <v>0</v>
      </c>
      <c r="L258" s="509">
        <v>0</v>
      </c>
      <c r="M258" s="509"/>
      <c r="N258" s="509">
        <v>0</v>
      </c>
      <c r="O258" s="510">
        <f t="shared" si="41"/>
        <v>0</v>
      </c>
      <c r="Q258" s="511">
        <f>SUMIF('CF.2'!$H$5:$H$24,'CF.1'!E258,'CF.2'!$J$5:$J$24)-SUMIF('CF.2'!$K$5:$K$24,'CF.1'!E258,'CF.2'!$M$5:$M$24)</f>
        <v>0</v>
      </c>
      <c r="R258" s="509">
        <f>SUMIF('CF.2'!$H$30:$H$59,'CF.1'!E258,'CF.2'!$J$30:$J$59)+SUMIF('CF.2'!$K$30:$K$59,'CF.1'!E258,'CF.2'!$M$30:$M$59)</f>
        <v>0</v>
      </c>
      <c r="S258" s="509">
        <f>SUMIF('CF.2'!$H$64:$H$97,'CF.1'!E258,'CF.2'!$J$64:$J$97)+SUMIF('CF.2'!$K$64:$K$97,'CF.1'!E258,'CF.2'!$M$64:$M$97)</f>
        <v>0</v>
      </c>
      <c r="T258" s="509">
        <f>SUMIF('CF.2'!$H$101:$H$107,'CF.1'!E258,'CF.2'!$J$101:$J$107)+SUMIF('CF.2'!$K$101:$K$107,'CF.1'!E258,'CF.2'!$M$101:$M$107)</f>
        <v>0</v>
      </c>
      <c r="U258" s="509">
        <f>SUMIF('CF.2'!$H$112:$H$120,'CF.1'!E258,'CF.2'!$J$112:$J$120)+SUMIF('CF.2'!$K$112:$K$120,'CF.1'!E258,'CF.2'!$M$112:$M$120)</f>
        <v>0</v>
      </c>
      <c r="V258" s="510">
        <f t="shared" si="43"/>
        <v>0</v>
      </c>
      <c r="X258" s="512">
        <f t="shared" si="42"/>
        <v>0</v>
      </c>
    </row>
    <row r="259" spans="4:24" ht="18" customHeight="1">
      <c r="D259" s="506" t="s">
        <v>1166</v>
      </c>
      <c r="E259" s="507" t="s">
        <v>1166</v>
      </c>
      <c r="F259" s="508"/>
      <c r="G259" s="507" t="s">
        <v>1167</v>
      </c>
      <c r="H259" s="509">
        <v>0</v>
      </c>
      <c r="I259" s="509">
        <v>0</v>
      </c>
      <c r="J259" s="509">
        <v>0</v>
      </c>
      <c r="K259" s="509">
        <v>0</v>
      </c>
      <c r="L259" s="509">
        <v>0</v>
      </c>
      <c r="M259" s="509"/>
      <c r="N259" s="509">
        <v>0</v>
      </c>
      <c r="O259" s="510">
        <f t="shared" si="41"/>
        <v>0</v>
      </c>
      <c r="Q259" s="511">
        <f>SUMIF('CF.2'!$H$5:$H$24,'CF.1'!E259,'CF.2'!$J$5:$J$24)-SUMIF('CF.2'!$K$5:$K$24,'CF.1'!E259,'CF.2'!$M$5:$M$24)</f>
        <v>0</v>
      </c>
      <c r="R259" s="509">
        <f>SUMIF('CF.2'!$H$30:$H$59,'CF.1'!E259,'CF.2'!$J$30:$J$59)+SUMIF('CF.2'!$K$30:$K$59,'CF.1'!E259,'CF.2'!$M$30:$M$59)</f>
        <v>0</v>
      </c>
      <c r="S259" s="509">
        <f>SUMIF('CF.2'!$H$64:$H$97,'CF.1'!E259,'CF.2'!$J$64:$J$97)+SUMIF('CF.2'!$K$64:$K$97,'CF.1'!E259,'CF.2'!$M$64:$M$97)</f>
        <v>0</v>
      </c>
      <c r="T259" s="509">
        <f>SUMIF('CF.2'!$H$101:$H$107,'CF.1'!E259,'CF.2'!$J$101:$J$107)+SUMIF('CF.2'!$K$101:$K$107,'CF.1'!E259,'CF.2'!$M$101:$M$107)</f>
        <v>0</v>
      </c>
      <c r="U259" s="509">
        <f>SUMIF('CF.2'!$H$112:$H$120,'CF.1'!E259,'CF.2'!$J$112:$J$120)+SUMIF('CF.2'!$K$112:$K$120,'CF.1'!E259,'CF.2'!$M$112:$M$120)</f>
        <v>0</v>
      </c>
      <c r="V259" s="510">
        <f t="shared" si="43"/>
        <v>0</v>
      </c>
      <c r="X259" s="512">
        <f t="shared" si="42"/>
        <v>0</v>
      </c>
    </row>
    <row r="260" spans="4:24" ht="18" customHeight="1">
      <c r="D260" s="506" t="s">
        <v>1168</v>
      </c>
      <c r="E260" s="507" t="s">
        <v>1168</v>
      </c>
      <c r="F260" s="508"/>
      <c r="G260" s="507" t="s">
        <v>1169</v>
      </c>
      <c r="H260" s="509">
        <v>0</v>
      </c>
      <c r="I260" s="509">
        <v>0</v>
      </c>
      <c r="J260" s="509">
        <v>0</v>
      </c>
      <c r="K260" s="509">
        <v>0</v>
      </c>
      <c r="L260" s="509">
        <v>0</v>
      </c>
      <c r="M260" s="509"/>
      <c r="N260" s="509">
        <v>0</v>
      </c>
      <c r="O260" s="510">
        <f t="shared" si="41"/>
        <v>0</v>
      </c>
      <c r="Q260" s="511">
        <f>SUMIF('CF.2'!$H$5:$H$24,'CF.1'!E260,'CF.2'!$J$5:$J$24)-SUMIF('CF.2'!$K$5:$K$24,'CF.1'!E260,'CF.2'!$M$5:$M$24)</f>
        <v>0</v>
      </c>
      <c r="R260" s="509">
        <f>SUMIF('CF.2'!$H$30:$H$59,'CF.1'!E260,'CF.2'!$J$30:$J$59)+SUMIF('CF.2'!$K$30:$K$59,'CF.1'!E260,'CF.2'!$M$30:$M$59)</f>
        <v>0</v>
      </c>
      <c r="S260" s="509">
        <f>SUMIF('CF.2'!$H$64:$H$97,'CF.1'!E260,'CF.2'!$J$64:$J$97)+SUMIF('CF.2'!$K$64:$K$97,'CF.1'!E260,'CF.2'!$M$64:$M$97)</f>
        <v>0</v>
      </c>
      <c r="T260" s="509">
        <f>SUMIF('CF.2'!$H$101:$H$107,'CF.1'!E260,'CF.2'!$J$101:$J$107)+SUMIF('CF.2'!$K$101:$K$107,'CF.1'!E260,'CF.2'!$M$101:$M$107)</f>
        <v>0</v>
      </c>
      <c r="U260" s="509">
        <f>SUMIF('CF.2'!$H$112:$H$120,'CF.1'!E260,'CF.2'!$J$112:$J$120)+SUMIF('CF.2'!$K$112:$K$120,'CF.1'!E260,'CF.2'!$M$112:$M$120)</f>
        <v>0</v>
      </c>
      <c r="V260" s="510">
        <f t="shared" si="43"/>
        <v>0</v>
      </c>
      <c r="X260" s="512">
        <f t="shared" si="42"/>
        <v>0</v>
      </c>
    </row>
    <row r="261" spans="4:24" ht="18" customHeight="1">
      <c r="D261" s="506" t="s">
        <v>1170</v>
      </c>
      <c r="E261" s="507" t="s">
        <v>1170</v>
      </c>
      <c r="F261" s="508"/>
      <c r="G261" s="507" t="s">
        <v>1171</v>
      </c>
      <c r="H261" s="509">
        <v>0</v>
      </c>
      <c r="I261" s="509">
        <v>0</v>
      </c>
      <c r="J261" s="509">
        <v>0</v>
      </c>
      <c r="K261" s="509">
        <v>0</v>
      </c>
      <c r="L261" s="509">
        <v>0</v>
      </c>
      <c r="M261" s="509"/>
      <c r="N261" s="509">
        <v>0</v>
      </c>
      <c r="O261" s="510">
        <f t="shared" si="41"/>
        <v>0</v>
      </c>
      <c r="Q261" s="511">
        <f>SUMIF('CF.2'!$H$5:$H$24,'CF.1'!E261,'CF.2'!$J$5:$J$24)-SUMIF('CF.2'!$K$5:$K$24,'CF.1'!E261,'CF.2'!$M$5:$M$24)</f>
        <v>0</v>
      </c>
      <c r="R261" s="509">
        <f>SUMIF('CF.2'!$H$30:$H$59,'CF.1'!E261,'CF.2'!$J$30:$J$59)+SUMIF('CF.2'!$K$30:$K$59,'CF.1'!E261,'CF.2'!$M$30:$M$59)</f>
        <v>0</v>
      </c>
      <c r="S261" s="509">
        <f>SUMIF('CF.2'!$H$64:$H$97,'CF.1'!E261,'CF.2'!$J$64:$J$97)+SUMIF('CF.2'!$K$64:$K$97,'CF.1'!E261,'CF.2'!$M$64:$M$97)</f>
        <v>0</v>
      </c>
      <c r="T261" s="509">
        <f>SUMIF('CF.2'!$H$101:$H$107,'CF.1'!E261,'CF.2'!$J$101:$J$107)+SUMIF('CF.2'!$K$101:$K$107,'CF.1'!E261,'CF.2'!$M$101:$M$107)</f>
        <v>0</v>
      </c>
      <c r="U261" s="509">
        <f>SUMIF('CF.2'!$H$112:$H$120,'CF.1'!E261,'CF.2'!$J$112:$J$120)+SUMIF('CF.2'!$K$112:$K$120,'CF.1'!E261,'CF.2'!$M$112:$M$120)</f>
        <v>0</v>
      </c>
      <c r="V261" s="510">
        <f t="shared" si="43"/>
        <v>0</v>
      </c>
      <c r="X261" s="512">
        <f t="shared" si="42"/>
        <v>0</v>
      </c>
    </row>
    <row r="262" spans="4:24" ht="18" customHeight="1">
      <c r="D262" s="506" t="s">
        <v>1172</v>
      </c>
      <c r="E262" s="507" t="s">
        <v>1172</v>
      </c>
      <c r="F262" s="508"/>
      <c r="G262" s="507" t="s">
        <v>1173</v>
      </c>
      <c r="H262" s="509">
        <v>0</v>
      </c>
      <c r="I262" s="509">
        <v>0</v>
      </c>
      <c r="J262" s="509">
        <v>0</v>
      </c>
      <c r="K262" s="509">
        <v>0</v>
      </c>
      <c r="L262" s="509">
        <v>0</v>
      </c>
      <c r="M262" s="509"/>
      <c r="N262" s="509">
        <v>0</v>
      </c>
      <c r="O262" s="510">
        <f t="shared" si="41"/>
        <v>0</v>
      </c>
      <c r="Q262" s="511">
        <f>SUMIF('CF.2'!$H$5:$H$24,'CF.1'!E262,'CF.2'!$J$5:$J$24)-SUMIF('CF.2'!$K$5:$K$24,'CF.1'!E262,'CF.2'!$M$5:$M$24)</f>
        <v>0</v>
      </c>
      <c r="R262" s="509">
        <f>SUMIF('CF.2'!$H$30:$H$59,'CF.1'!E262,'CF.2'!$J$30:$J$59)+SUMIF('CF.2'!$K$30:$K$59,'CF.1'!E262,'CF.2'!$M$30:$M$59)</f>
        <v>0</v>
      </c>
      <c r="S262" s="509">
        <f>SUMIF('CF.2'!$H$64:$H$97,'CF.1'!E262,'CF.2'!$J$64:$J$97)+SUMIF('CF.2'!$K$64:$K$97,'CF.1'!E262,'CF.2'!$M$64:$M$97)</f>
        <v>0</v>
      </c>
      <c r="T262" s="509">
        <f>SUMIF('CF.2'!$H$101:$H$107,'CF.1'!E262,'CF.2'!$J$101:$J$107)+SUMIF('CF.2'!$K$101:$K$107,'CF.1'!E262,'CF.2'!$M$101:$M$107)</f>
        <v>0</v>
      </c>
      <c r="U262" s="509">
        <f>SUMIF('CF.2'!$H$112:$H$120,'CF.1'!E262,'CF.2'!$J$112:$J$120)+SUMIF('CF.2'!$K$112:$K$120,'CF.1'!E262,'CF.2'!$M$112:$M$120)</f>
        <v>0</v>
      </c>
      <c r="V262" s="510">
        <f t="shared" si="43"/>
        <v>0</v>
      </c>
      <c r="X262" s="512">
        <f t="shared" si="42"/>
        <v>0</v>
      </c>
    </row>
    <row r="263" spans="4:24" ht="18" customHeight="1">
      <c r="D263" s="506" t="s">
        <v>1174</v>
      </c>
      <c r="E263" s="507" t="s">
        <v>1174</v>
      </c>
      <c r="F263" s="508"/>
      <c r="G263" s="507" t="s">
        <v>1175</v>
      </c>
      <c r="H263" s="509">
        <v>0</v>
      </c>
      <c r="I263" s="509">
        <v>0</v>
      </c>
      <c r="J263" s="509">
        <v>0</v>
      </c>
      <c r="K263" s="509">
        <v>0</v>
      </c>
      <c r="L263" s="509">
        <v>0</v>
      </c>
      <c r="M263" s="509"/>
      <c r="N263" s="509">
        <v>0</v>
      </c>
      <c r="O263" s="510">
        <f t="shared" si="41"/>
        <v>0</v>
      </c>
      <c r="Q263" s="511">
        <f>SUMIF('CF.2'!$H$5:$H$24,'CF.1'!E263,'CF.2'!$J$5:$J$24)-SUMIF('CF.2'!$K$5:$K$24,'CF.1'!E263,'CF.2'!$M$5:$M$24)</f>
        <v>0</v>
      </c>
      <c r="R263" s="509">
        <f>SUMIF('CF.2'!$H$30:$H$59,'CF.1'!E263,'CF.2'!$J$30:$J$59)+SUMIF('CF.2'!$K$30:$K$59,'CF.1'!E263,'CF.2'!$M$30:$M$59)</f>
        <v>0</v>
      </c>
      <c r="S263" s="509">
        <f>SUMIF('CF.2'!$H$64:$H$97,'CF.1'!E263,'CF.2'!$J$64:$J$97)+SUMIF('CF.2'!$K$64:$K$97,'CF.1'!E263,'CF.2'!$M$64:$M$97)</f>
        <v>0</v>
      </c>
      <c r="T263" s="509">
        <f>SUMIF('CF.2'!$H$101:$H$107,'CF.1'!E263,'CF.2'!$J$101:$J$107)+SUMIF('CF.2'!$K$101:$K$107,'CF.1'!E263,'CF.2'!$M$101:$M$107)</f>
        <v>0</v>
      </c>
      <c r="U263" s="509">
        <f>SUMIF('CF.2'!$H$112:$H$120,'CF.1'!E263,'CF.2'!$J$112:$J$120)+SUMIF('CF.2'!$K$112:$K$120,'CF.1'!E263,'CF.2'!$M$112:$M$120)</f>
        <v>0</v>
      </c>
      <c r="V263" s="510">
        <f t="shared" si="43"/>
        <v>0</v>
      </c>
      <c r="X263" s="512">
        <f t="shared" si="42"/>
        <v>0</v>
      </c>
    </row>
    <row r="264" spans="4:24" ht="18" customHeight="1">
      <c r="D264" s="506" t="s">
        <v>1176</v>
      </c>
      <c r="E264" s="507" t="s">
        <v>1176</v>
      </c>
      <c r="F264" s="508"/>
      <c r="G264" s="507" t="s">
        <v>1177</v>
      </c>
      <c r="H264" s="509">
        <v>0</v>
      </c>
      <c r="I264" s="509">
        <v>0</v>
      </c>
      <c r="J264" s="509">
        <v>0</v>
      </c>
      <c r="K264" s="509">
        <v>0</v>
      </c>
      <c r="L264" s="509">
        <v>0</v>
      </c>
      <c r="M264" s="509"/>
      <c r="N264" s="509">
        <v>0</v>
      </c>
      <c r="O264" s="510">
        <f t="shared" si="41"/>
        <v>0</v>
      </c>
      <c r="Q264" s="511">
        <f>SUMIF('CF.2'!$H$5:$H$24,'CF.1'!E264,'CF.2'!$J$5:$J$24)-SUMIF('CF.2'!$K$5:$K$24,'CF.1'!E264,'CF.2'!$M$5:$M$24)</f>
        <v>0</v>
      </c>
      <c r="R264" s="509">
        <f>SUMIF('CF.2'!$H$30:$H$59,'CF.1'!E264,'CF.2'!$J$30:$J$59)+SUMIF('CF.2'!$K$30:$K$59,'CF.1'!E264,'CF.2'!$M$30:$M$59)</f>
        <v>0</v>
      </c>
      <c r="S264" s="509">
        <f>SUMIF('CF.2'!$H$64:$H$97,'CF.1'!E264,'CF.2'!$J$64:$J$97)+SUMIF('CF.2'!$K$64:$K$97,'CF.1'!E264,'CF.2'!$M$64:$M$97)</f>
        <v>0</v>
      </c>
      <c r="T264" s="509">
        <f>SUMIF('CF.2'!$H$101:$H$107,'CF.1'!E264,'CF.2'!$J$101:$J$107)+SUMIF('CF.2'!$K$101:$K$107,'CF.1'!E264,'CF.2'!$M$101:$M$107)</f>
        <v>0</v>
      </c>
      <c r="U264" s="509">
        <f>SUMIF('CF.2'!$H$112:$H$120,'CF.1'!E264,'CF.2'!$J$112:$J$120)+SUMIF('CF.2'!$K$112:$K$120,'CF.1'!E264,'CF.2'!$M$112:$M$120)</f>
        <v>0</v>
      </c>
      <c r="V264" s="510">
        <f t="shared" si="43"/>
        <v>0</v>
      </c>
      <c r="X264" s="512">
        <f t="shared" si="42"/>
        <v>0</v>
      </c>
    </row>
    <row r="265" spans="4:24" ht="18" customHeight="1">
      <c r="D265" s="506" t="s">
        <v>1178</v>
      </c>
      <c r="E265" s="507" t="s">
        <v>1178</v>
      </c>
      <c r="F265" s="508"/>
      <c r="G265" s="507" t="s">
        <v>1179</v>
      </c>
      <c r="H265" s="509">
        <v>0</v>
      </c>
      <c r="I265" s="509">
        <v>0</v>
      </c>
      <c r="J265" s="509">
        <v>0</v>
      </c>
      <c r="K265" s="509">
        <v>0</v>
      </c>
      <c r="L265" s="509">
        <v>0</v>
      </c>
      <c r="M265" s="509"/>
      <c r="N265" s="509">
        <v>0</v>
      </c>
      <c r="O265" s="510">
        <f t="shared" si="41"/>
        <v>0</v>
      </c>
      <c r="Q265" s="511">
        <f>SUMIF('CF.2'!$H$5:$H$24,'CF.1'!E265,'CF.2'!$J$5:$J$24)-SUMIF('CF.2'!$K$5:$K$24,'CF.1'!E265,'CF.2'!$M$5:$M$24)</f>
        <v>0</v>
      </c>
      <c r="R265" s="509">
        <f>SUMIF('CF.2'!$H$30:$H$59,'CF.1'!E265,'CF.2'!$J$30:$J$59)+SUMIF('CF.2'!$K$30:$K$59,'CF.1'!E265,'CF.2'!$M$30:$M$59)</f>
        <v>0</v>
      </c>
      <c r="S265" s="509">
        <f>SUMIF('CF.2'!$H$64:$H$97,'CF.1'!E265,'CF.2'!$J$64:$J$97)+SUMIF('CF.2'!$K$64:$K$97,'CF.1'!E265,'CF.2'!$M$64:$M$97)</f>
        <v>0</v>
      </c>
      <c r="T265" s="509">
        <f>SUMIF('CF.2'!$H$101:$H$107,'CF.1'!E265,'CF.2'!$J$101:$J$107)+SUMIF('CF.2'!$K$101:$K$107,'CF.1'!E265,'CF.2'!$M$101:$M$107)</f>
        <v>0</v>
      </c>
      <c r="U265" s="509">
        <f>SUMIF('CF.2'!$H$112:$H$120,'CF.1'!E265,'CF.2'!$J$112:$J$120)+SUMIF('CF.2'!$K$112:$K$120,'CF.1'!E265,'CF.2'!$M$112:$M$120)</f>
        <v>0</v>
      </c>
      <c r="V265" s="510">
        <f t="shared" si="43"/>
        <v>0</v>
      </c>
      <c r="X265" s="512">
        <f t="shared" si="42"/>
        <v>0</v>
      </c>
    </row>
    <row r="266" spans="4:24" ht="18" customHeight="1">
      <c r="D266" s="506" t="s">
        <v>1180</v>
      </c>
      <c r="E266" s="507" t="s">
        <v>1180</v>
      </c>
      <c r="F266" s="508"/>
      <c r="G266" s="507" t="s">
        <v>1181</v>
      </c>
      <c r="H266" s="509">
        <v>0</v>
      </c>
      <c r="I266" s="509">
        <v>0</v>
      </c>
      <c r="J266" s="509">
        <v>0</v>
      </c>
      <c r="K266" s="509">
        <v>0</v>
      </c>
      <c r="L266" s="509">
        <v>0</v>
      </c>
      <c r="M266" s="509"/>
      <c r="N266" s="509">
        <v>0</v>
      </c>
      <c r="O266" s="510">
        <f t="shared" si="41"/>
        <v>0</v>
      </c>
      <c r="Q266" s="511">
        <f>SUMIF('CF.2'!$H$5:$H$24,'CF.1'!E266,'CF.2'!$J$5:$J$24)-SUMIF('CF.2'!$K$5:$K$24,'CF.1'!E266,'CF.2'!$M$5:$M$24)</f>
        <v>0</v>
      </c>
      <c r="R266" s="509">
        <f>SUMIF('CF.2'!$H$30:$H$59,'CF.1'!E266,'CF.2'!$J$30:$J$59)+SUMIF('CF.2'!$K$30:$K$59,'CF.1'!E266,'CF.2'!$M$30:$M$59)</f>
        <v>0</v>
      </c>
      <c r="S266" s="509">
        <f>SUMIF('CF.2'!$H$64:$H$97,'CF.1'!E266,'CF.2'!$J$64:$J$97)+SUMIF('CF.2'!$K$64:$K$97,'CF.1'!E266,'CF.2'!$M$64:$M$97)</f>
        <v>0</v>
      </c>
      <c r="T266" s="509">
        <f>SUMIF('CF.2'!$H$101:$H$107,'CF.1'!E266,'CF.2'!$J$101:$J$107)+SUMIF('CF.2'!$K$101:$K$107,'CF.1'!E266,'CF.2'!$M$101:$M$107)</f>
        <v>0</v>
      </c>
      <c r="U266" s="509">
        <f>SUMIF('CF.2'!$H$112:$H$120,'CF.1'!E266,'CF.2'!$J$112:$J$120)+SUMIF('CF.2'!$K$112:$K$120,'CF.1'!E266,'CF.2'!$M$112:$M$120)</f>
        <v>0</v>
      </c>
      <c r="V266" s="510">
        <f t="shared" si="43"/>
        <v>0</v>
      </c>
      <c r="X266" s="512">
        <f t="shared" si="42"/>
        <v>0</v>
      </c>
    </row>
    <row r="267" spans="4:24" ht="18" customHeight="1">
      <c r="D267" s="506" t="s">
        <v>1182</v>
      </c>
      <c r="E267" s="507" t="s">
        <v>1182</v>
      </c>
      <c r="F267" s="508" t="s">
        <v>1497</v>
      </c>
      <c r="G267" s="507" t="s">
        <v>1183</v>
      </c>
      <c r="H267" s="509">
        <v>-9363637</v>
      </c>
      <c r="I267" s="509">
        <v>0</v>
      </c>
      <c r="J267" s="509">
        <v>0</v>
      </c>
      <c r="K267" s="509">
        <v>0</v>
      </c>
      <c r="L267" s="509">
        <v>0</v>
      </c>
      <c r="M267" s="509"/>
      <c r="N267" s="509">
        <v>0</v>
      </c>
      <c r="O267" s="510">
        <f t="shared" si="41"/>
        <v>-9363637</v>
      </c>
      <c r="Q267" s="511">
        <f>SUMIF('CF.2'!$H$5:$H$24,'CF.1'!E267,'CF.2'!$J$5:$J$24)-SUMIF('CF.2'!$K$5:$K$24,'CF.1'!E267,'CF.2'!$M$5:$M$24)</f>
        <v>0</v>
      </c>
      <c r="R267" s="509">
        <f>SUMIF('CF.2'!$H$30:$H$59,'CF.1'!E267,'CF.2'!$J$30:$J$59)+SUMIF('CF.2'!$K$30:$K$59,'CF.1'!E267,'CF.2'!$M$30:$M$59)</f>
        <v>0</v>
      </c>
      <c r="S267" s="509">
        <f>SUMIF('CF.2'!$H$64:$H$97,'CF.1'!E267,'CF.2'!$J$64:$J$97)+SUMIF('CF.2'!$K$64:$K$97,'CF.1'!E267,'CF.2'!$M$64:$M$97)</f>
        <v>0</v>
      </c>
      <c r="T267" s="509">
        <f>SUMIF('CF.2'!$H$101:$H$107,'CF.1'!E267,'CF.2'!$J$101:$J$107)+SUMIF('CF.2'!$K$101:$K$107,'CF.1'!E267,'CF.2'!$M$101:$M$107)</f>
        <v>0</v>
      </c>
      <c r="U267" s="509">
        <f>SUMIF('CF.2'!$H$112:$H$120,'CF.1'!E267,'CF.2'!$J$112:$J$120)+SUMIF('CF.2'!$K$112:$K$120,'CF.1'!E267,'CF.2'!$M$112:$M$120)</f>
        <v>0</v>
      </c>
      <c r="V267" s="510">
        <f t="shared" si="43"/>
        <v>0</v>
      </c>
      <c r="X267" s="512">
        <f t="shared" si="42"/>
        <v>-9363637</v>
      </c>
    </row>
    <row r="268" spans="4:24" ht="18" customHeight="1">
      <c r="D268" s="506" t="s">
        <v>1184</v>
      </c>
      <c r="E268" s="507" t="s">
        <v>1184</v>
      </c>
      <c r="F268" s="508"/>
      <c r="G268" s="507" t="s">
        <v>1185</v>
      </c>
      <c r="H268" s="509">
        <v>0</v>
      </c>
      <c r="I268" s="509">
        <v>0</v>
      </c>
      <c r="J268" s="509">
        <v>0</v>
      </c>
      <c r="K268" s="509">
        <v>0</v>
      </c>
      <c r="L268" s="509">
        <v>0</v>
      </c>
      <c r="M268" s="509"/>
      <c r="N268" s="509">
        <v>0</v>
      </c>
      <c r="O268" s="510">
        <f t="shared" si="41"/>
        <v>0</v>
      </c>
      <c r="Q268" s="511">
        <f>SUMIF('CF.2'!$H$5:$H$24,'CF.1'!E268,'CF.2'!$J$5:$J$24)-SUMIF('CF.2'!$K$5:$K$24,'CF.1'!E268,'CF.2'!$M$5:$M$24)</f>
        <v>0</v>
      </c>
      <c r="R268" s="509">
        <f>SUMIF('CF.2'!$H$30:$H$59,'CF.1'!E268,'CF.2'!$J$30:$J$59)+SUMIF('CF.2'!$K$30:$K$59,'CF.1'!E268,'CF.2'!$M$30:$M$59)</f>
        <v>0</v>
      </c>
      <c r="S268" s="509">
        <f>SUMIF('CF.2'!$H$64:$H$97,'CF.1'!E268,'CF.2'!$J$64:$J$97)+SUMIF('CF.2'!$K$64:$K$97,'CF.1'!E268,'CF.2'!$M$64:$M$97)</f>
        <v>0</v>
      </c>
      <c r="T268" s="509">
        <f>SUMIF('CF.2'!$H$101:$H$107,'CF.1'!E268,'CF.2'!$J$101:$J$107)+SUMIF('CF.2'!$K$101:$K$107,'CF.1'!E268,'CF.2'!$M$101:$M$107)</f>
        <v>0</v>
      </c>
      <c r="U268" s="509">
        <f>SUMIF('CF.2'!$H$112:$H$120,'CF.1'!E268,'CF.2'!$J$112:$J$120)+SUMIF('CF.2'!$K$112:$K$120,'CF.1'!E268,'CF.2'!$M$112:$M$120)</f>
        <v>0</v>
      </c>
      <c r="V268" s="510">
        <f t="shared" si="43"/>
        <v>0</v>
      </c>
      <c r="X268" s="512">
        <f t="shared" si="42"/>
        <v>0</v>
      </c>
    </row>
    <row r="269" spans="4:24" ht="18" customHeight="1">
      <c r="D269" s="506" t="s">
        <v>1186</v>
      </c>
      <c r="E269" s="507" t="s">
        <v>1186</v>
      </c>
      <c r="F269" s="508" t="s">
        <v>1497</v>
      </c>
      <c r="G269" s="507" t="s">
        <v>1187</v>
      </c>
      <c r="H269" s="509">
        <v>-4117746</v>
      </c>
      <c r="I269" s="509">
        <v>0</v>
      </c>
      <c r="J269" s="509">
        <v>0</v>
      </c>
      <c r="K269" s="509">
        <v>0</v>
      </c>
      <c r="L269" s="509">
        <v>0</v>
      </c>
      <c r="M269" s="509"/>
      <c r="N269" s="509">
        <v>0</v>
      </c>
      <c r="O269" s="510">
        <f t="shared" si="41"/>
        <v>-4117746</v>
      </c>
      <c r="Q269" s="511">
        <f>SUMIF('CF.2'!$H$5:$H$24,'CF.1'!E269,'CF.2'!$J$5:$J$24)-SUMIF('CF.2'!$K$5:$K$24,'CF.1'!E269,'CF.2'!$M$5:$M$24)</f>
        <v>0</v>
      </c>
      <c r="R269" s="509">
        <f>SUMIF('CF.2'!$H$30:$H$59,'CF.1'!E269,'CF.2'!$J$30:$J$59)+SUMIF('CF.2'!$K$30:$K$59,'CF.1'!E269,'CF.2'!$M$30:$M$59)</f>
        <v>0</v>
      </c>
      <c r="S269" s="509">
        <f>SUMIF('CF.2'!$H$64:$H$97,'CF.1'!E269,'CF.2'!$J$64:$J$97)+SUMIF('CF.2'!$K$64:$K$97,'CF.1'!E269,'CF.2'!$M$64:$M$97)</f>
        <v>0</v>
      </c>
      <c r="T269" s="509">
        <f>SUMIF('CF.2'!$H$101:$H$107,'CF.1'!E269,'CF.2'!$J$101:$J$107)+SUMIF('CF.2'!$K$101:$K$107,'CF.1'!E269,'CF.2'!$M$101:$M$107)</f>
        <v>0</v>
      </c>
      <c r="U269" s="509">
        <f>SUMIF('CF.2'!$H$112:$H$120,'CF.1'!E269,'CF.2'!$J$112:$J$120)+SUMIF('CF.2'!$K$112:$K$120,'CF.1'!E269,'CF.2'!$M$112:$M$120)</f>
        <v>0</v>
      </c>
      <c r="V269" s="510">
        <f t="shared" si="43"/>
        <v>0</v>
      </c>
      <c r="X269" s="512">
        <f t="shared" si="42"/>
        <v>-4117746</v>
      </c>
    </row>
    <row r="270" spans="4:24" ht="18" customHeight="1">
      <c r="D270" s="506" t="s">
        <v>1188</v>
      </c>
      <c r="E270" s="507" t="s">
        <v>1188</v>
      </c>
      <c r="F270" s="508"/>
      <c r="G270" s="507" t="s">
        <v>1189</v>
      </c>
      <c r="H270" s="509">
        <v>0</v>
      </c>
      <c r="I270" s="509">
        <v>0</v>
      </c>
      <c r="J270" s="509">
        <v>0</v>
      </c>
      <c r="K270" s="509">
        <v>0</v>
      </c>
      <c r="L270" s="509">
        <v>0</v>
      </c>
      <c r="M270" s="509"/>
      <c r="N270" s="509">
        <v>0</v>
      </c>
      <c r="O270" s="510">
        <f t="shared" si="41"/>
        <v>0</v>
      </c>
      <c r="Q270" s="511">
        <f>SUMIF('CF.2'!$H$5:$H$24,'CF.1'!E270,'CF.2'!$J$5:$J$24)-SUMIF('CF.2'!$K$5:$K$24,'CF.1'!E270,'CF.2'!$M$5:$M$24)</f>
        <v>0</v>
      </c>
      <c r="R270" s="509">
        <f>SUMIF('CF.2'!$H$30:$H$59,'CF.1'!E270,'CF.2'!$J$30:$J$59)+SUMIF('CF.2'!$K$30:$K$59,'CF.1'!E270,'CF.2'!$M$30:$M$59)</f>
        <v>0</v>
      </c>
      <c r="S270" s="509">
        <f>SUMIF('CF.2'!$H$64:$H$97,'CF.1'!E270,'CF.2'!$J$64:$J$97)+SUMIF('CF.2'!$K$64:$K$97,'CF.1'!E270,'CF.2'!$M$64:$M$97)</f>
        <v>0</v>
      </c>
      <c r="T270" s="509">
        <f>SUMIF('CF.2'!$H$101:$H$107,'CF.1'!E270,'CF.2'!$J$101:$J$107)+SUMIF('CF.2'!$K$101:$K$107,'CF.1'!E270,'CF.2'!$M$101:$M$107)</f>
        <v>0</v>
      </c>
      <c r="U270" s="509">
        <f>SUMIF('CF.2'!$H$112:$H$120,'CF.1'!E270,'CF.2'!$J$112:$J$120)+SUMIF('CF.2'!$K$112:$K$120,'CF.1'!E270,'CF.2'!$M$112:$M$120)</f>
        <v>0</v>
      </c>
      <c r="V270" s="510">
        <f t="shared" si="43"/>
        <v>0</v>
      </c>
      <c r="X270" s="512">
        <f t="shared" si="42"/>
        <v>0</v>
      </c>
    </row>
    <row r="271" spans="4:24" ht="18" customHeight="1">
      <c r="D271" s="506" t="s">
        <v>1190</v>
      </c>
      <c r="E271" s="507" t="s">
        <v>1375</v>
      </c>
      <c r="F271" s="508" t="s">
        <v>1497</v>
      </c>
      <c r="G271" s="507" t="s">
        <v>1367</v>
      </c>
      <c r="H271" s="509">
        <v>0</v>
      </c>
      <c r="I271" s="509">
        <v>0</v>
      </c>
      <c r="J271" s="509">
        <v>0</v>
      </c>
      <c r="K271" s="509">
        <v>0</v>
      </c>
      <c r="L271" s="509">
        <v>0</v>
      </c>
      <c r="M271" s="509"/>
      <c r="N271" s="509">
        <v>0</v>
      </c>
      <c r="O271" s="510">
        <f t="shared" si="41"/>
        <v>0</v>
      </c>
      <c r="Q271" s="511">
        <f>SUMIF('CF.2'!$H$5:$H$24,'CF.1'!E271,'CF.2'!$J$5:$J$24)-SUMIF('CF.2'!$K$5:$K$24,'CF.1'!E271,'CF.2'!$M$5:$M$24)</f>
        <v>0</v>
      </c>
      <c r="R271" s="509">
        <f>SUMIF('CF.2'!$H$30:$H$59,'CF.1'!E271,'CF.2'!$J$30:$J$59)+SUMIF('CF.2'!$K$30:$K$59,'CF.1'!E271,'CF.2'!$M$30:$M$59)</f>
        <v>0</v>
      </c>
      <c r="S271" s="509">
        <f>SUMIF('CF.2'!$H$64:$H$97,'CF.1'!E271,'CF.2'!$J$64:$J$97)+SUMIF('CF.2'!$K$64:$K$97,'CF.1'!E271,'CF.2'!$M$64:$M$97)</f>
        <v>0</v>
      </c>
      <c r="T271" s="509">
        <f>SUMIF('CF.2'!$H$101:$H$107,'CF.1'!E271,'CF.2'!$J$101:$J$107)+SUMIF('CF.2'!$K$101:$K$107,'CF.1'!E271,'CF.2'!$M$101:$M$107)</f>
        <v>0</v>
      </c>
      <c r="U271" s="509">
        <f>SUMIF('CF.2'!$H$112:$H$120,'CF.1'!E271,'CF.2'!$J$112:$J$120)+SUMIF('CF.2'!$K$112:$K$120,'CF.1'!E271,'CF.2'!$M$112:$M$120)</f>
        <v>0</v>
      </c>
      <c r="V271" s="510">
        <f t="shared" si="43"/>
        <v>0</v>
      </c>
      <c r="X271" s="512">
        <f t="shared" si="42"/>
        <v>0</v>
      </c>
    </row>
    <row r="272" spans="4:24" ht="18" customHeight="1">
      <c r="D272" s="506" t="s">
        <v>1190</v>
      </c>
      <c r="E272" s="507" t="s">
        <v>1376</v>
      </c>
      <c r="F272" s="508" t="s">
        <v>1497</v>
      </c>
      <c r="G272" s="507" t="s">
        <v>1368</v>
      </c>
      <c r="H272" s="509">
        <v>-507306581</v>
      </c>
      <c r="I272" s="509">
        <v>0</v>
      </c>
      <c r="J272" s="509">
        <v>0</v>
      </c>
      <c r="K272" s="509">
        <v>0</v>
      </c>
      <c r="L272" s="509">
        <v>-1356349</v>
      </c>
      <c r="M272" s="509"/>
      <c r="N272" s="509">
        <v>-70054000</v>
      </c>
      <c r="O272" s="510">
        <f t="shared" si="41"/>
        <v>-578716930</v>
      </c>
      <c r="Q272" s="511">
        <f>SUMIF('CF.2'!$H$5:$H$24,'CF.1'!E272,'CF.2'!$J$5:$J$24)-SUMIF('CF.2'!$K$5:$K$24,'CF.1'!E272,'CF.2'!$M$5:$M$24)</f>
        <v>0</v>
      </c>
      <c r="R272" s="509">
        <f>SUMIF('CF.2'!$H$30:$H$59,'CF.1'!E272,'CF.2'!$J$30:$J$59)+SUMIF('CF.2'!$K$30:$K$59,'CF.1'!E272,'CF.2'!$M$30:$M$59)</f>
        <v>0</v>
      </c>
      <c r="S272" s="509">
        <f>SUMIF('CF.2'!$H$64:$H$97,'CF.1'!E272,'CF.2'!$J$64:$J$97)+SUMIF('CF.2'!$K$64:$K$97,'CF.1'!E272,'CF.2'!$M$64:$M$97)</f>
        <v>0</v>
      </c>
      <c r="T272" s="509">
        <f>SUMIF('CF.2'!$H$101:$H$107,'CF.1'!E272,'CF.2'!$J$101:$J$107)+SUMIF('CF.2'!$K$101:$K$107,'CF.1'!E272,'CF.2'!$M$101:$M$107)</f>
        <v>0</v>
      </c>
      <c r="U272" s="509">
        <f>SUMIF('CF.2'!$H$112:$H$120,'CF.1'!E272,'CF.2'!$J$112:$J$120)+SUMIF('CF.2'!$K$112:$K$120,'CF.1'!E272,'CF.2'!$M$112:$M$120)</f>
        <v>0</v>
      </c>
      <c r="V272" s="510">
        <f t="shared" si="43"/>
        <v>0</v>
      </c>
      <c r="X272" s="512">
        <f t="shared" si="42"/>
        <v>-578716930</v>
      </c>
    </row>
    <row r="273" spans="4:24" ht="18" customHeight="1">
      <c r="D273" s="506" t="s">
        <v>1190</v>
      </c>
      <c r="E273" s="507" t="s">
        <v>1377</v>
      </c>
      <c r="F273" s="508" t="s">
        <v>1497</v>
      </c>
      <c r="G273" s="507" t="s">
        <v>1369</v>
      </c>
      <c r="H273" s="509">
        <v>-351942341</v>
      </c>
      <c r="I273" s="509">
        <v>0</v>
      </c>
      <c r="J273" s="509">
        <v>0</v>
      </c>
      <c r="K273" s="509">
        <v>0</v>
      </c>
      <c r="L273" s="509">
        <v>0</v>
      </c>
      <c r="M273" s="509"/>
      <c r="N273" s="509">
        <v>0</v>
      </c>
      <c r="O273" s="510">
        <f t="shared" si="41"/>
        <v>-351942341</v>
      </c>
      <c r="Q273" s="511">
        <f>SUMIF('CF.2'!$H$5:$H$24,'CF.1'!E273,'CF.2'!$J$5:$J$24)-SUMIF('CF.2'!$K$5:$K$24,'CF.1'!E273,'CF.2'!$M$5:$M$24)</f>
        <v>0</v>
      </c>
      <c r="R273" s="509">
        <f>SUMIF('CF.2'!$H$30:$H$59,'CF.1'!E273,'CF.2'!$J$30:$J$59)+SUMIF('CF.2'!$K$30:$K$59,'CF.1'!E273,'CF.2'!$M$30:$M$59)</f>
        <v>0</v>
      </c>
      <c r="S273" s="509">
        <f>SUMIF('CF.2'!$H$64:$H$97,'CF.1'!E273,'CF.2'!$J$64:$J$97)+SUMIF('CF.2'!$K$64:$K$97,'CF.1'!E273,'CF.2'!$M$64:$M$97)</f>
        <v>0</v>
      </c>
      <c r="T273" s="509">
        <f>SUMIF('CF.2'!$H$101:$H$107,'CF.1'!E273,'CF.2'!$J$101:$J$107)+SUMIF('CF.2'!$K$101:$K$107,'CF.1'!E273,'CF.2'!$M$101:$M$107)</f>
        <v>0</v>
      </c>
      <c r="U273" s="509">
        <f>SUMIF('CF.2'!$H$112:$H$120,'CF.1'!E273,'CF.2'!$J$112:$J$120)+SUMIF('CF.2'!$K$112:$K$120,'CF.1'!E273,'CF.2'!$M$112:$M$120)</f>
        <v>0</v>
      </c>
      <c r="V273" s="510">
        <f t="shared" si="43"/>
        <v>0</v>
      </c>
      <c r="X273" s="512">
        <f t="shared" si="42"/>
        <v>-351942341</v>
      </c>
    </row>
    <row r="274" spans="4:24" ht="18" customHeight="1">
      <c r="D274" s="506" t="s">
        <v>1191</v>
      </c>
      <c r="E274" s="507" t="s">
        <v>1191</v>
      </c>
      <c r="F274" s="508"/>
      <c r="G274" s="507" t="s">
        <v>1192</v>
      </c>
      <c r="H274" s="509">
        <v>0</v>
      </c>
      <c r="I274" s="509">
        <v>0</v>
      </c>
      <c r="J274" s="509">
        <v>0</v>
      </c>
      <c r="K274" s="509">
        <v>0</v>
      </c>
      <c r="L274" s="509">
        <v>0</v>
      </c>
      <c r="M274" s="509"/>
      <c r="N274" s="509">
        <v>0</v>
      </c>
      <c r="O274" s="510">
        <f t="shared" si="41"/>
        <v>0</v>
      </c>
      <c r="Q274" s="511">
        <f>SUMIF('CF.2'!$H$5:$H$24,'CF.1'!E274,'CF.2'!$J$5:$J$24)-SUMIF('CF.2'!$K$5:$K$24,'CF.1'!E274,'CF.2'!$M$5:$M$24)</f>
        <v>0</v>
      </c>
      <c r="R274" s="509">
        <f>SUMIF('CF.2'!$H$30:$H$59,'CF.1'!E274,'CF.2'!$J$30:$J$59)+SUMIF('CF.2'!$K$30:$K$59,'CF.1'!E274,'CF.2'!$M$30:$M$59)</f>
        <v>0</v>
      </c>
      <c r="S274" s="509">
        <f>SUMIF('CF.2'!$H$64:$H$97,'CF.1'!E274,'CF.2'!$J$64:$J$97)+SUMIF('CF.2'!$K$64:$K$97,'CF.1'!E274,'CF.2'!$M$64:$M$97)</f>
        <v>0</v>
      </c>
      <c r="T274" s="509">
        <f>SUMIF('CF.2'!$H$101:$H$107,'CF.1'!E274,'CF.2'!$J$101:$J$107)+SUMIF('CF.2'!$K$101:$K$107,'CF.1'!E274,'CF.2'!$M$101:$M$107)</f>
        <v>0</v>
      </c>
      <c r="U274" s="509">
        <f>SUMIF('CF.2'!$H$112:$H$120,'CF.1'!E274,'CF.2'!$J$112:$J$120)+SUMIF('CF.2'!$K$112:$K$120,'CF.1'!E274,'CF.2'!$M$112:$M$120)</f>
        <v>0</v>
      </c>
      <c r="V274" s="510">
        <f t="shared" si="43"/>
        <v>0</v>
      </c>
      <c r="X274" s="512">
        <f t="shared" si="42"/>
        <v>0</v>
      </c>
    </row>
    <row r="275" spans="4:24" ht="18" customHeight="1">
      <c r="D275" s="506" t="s">
        <v>1193</v>
      </c>
      <c r="E275" s="507" t="s">
        <v>1193</v>
      </c>
      <c r="F275" s="508"/>
      <c r="G275" s="507" t="s">
        <v>1194</v>
      </c>
      <c r="H275" s="509">
        <v>0</v>
      </c>
      <c r="I275" s="509">
        <v>0</v>
      </c>
      <c r="J275" s="509">
        <v>0</v>
      </c>
      <c r="K275" s="509">
        <v>0</v>
      </c>
      <c r="L275" s="509">
        <v>0</v>
      </c>
      <c r="M275" s="509"/>
      <c r="N275" s="509">
        <v>0</v>
      </c>
      <c r="O275" s="510">
        <f t="shared" si="41"/>
        <v>0</v>
      </c>
      <c r="Q275" s="511">
        <f>SUMIF('CF.2'!$H$5:$H$24,'CF.1'!E275,'CF.2'!$J$5:$J$24)-SUMIF('CF.2'!$K$5:$K$24,'CF.1'!E275,'CF.2'!$M$5:$M$24)</f>
        <v>0</v>
      </c>
      <c r="R275" s="509">
        <f>SUMIF('CF.2'!$H$30:$H$59,'CF.1'!E275,'CF.2'!$J$30:$J$59)+SUMIF('CF.2'!$K$30:$K$59,'CF.1'!E275,'CF.2'!$M$30:$M$59)</f>
        <v>0</v>
      </c>
      <c r="S275" s="509">
        <f>SUMIF('CF.2'!$H$64:$H$97,'CF.1'!E275,'CF.2'!$J$64:$J$97)+SUMIF('CF.2'!$K$64:$K$97,'CF.1'!E275,'CF.2'!$M$64:$M$97)</f>
        <v>0</v>
      </c>
      <c r="T275" s="509">
        <f>SUMIF('CF.2'!$H$101:$H$107,'CF.1'!E275,'CF.2'!$J$101:$J$107)+SUMIF('CF.2'!$K$101:$K$107,'CF.1'!E275,'CF.2'!$M$101:$M$107)</f>
        <v>0</v>
      </c>
      <c r="U275" s="509">
        <f>SUMIF('CF.2'!$H$112:$H$120,'CF.1'!E275,'CF.2'!$J$112:$J$120)+SUMIF('CF.2'!$K$112:$K$120,'CF.1'!E275,'CF.2'!$M$112:$M$120)</f>
        <v>0</v>
      </c>
      <c r="V275" s="510">
        <f t="shared" si="43"/>
        <v>0</v>
      </c>
      <c r="X275" s="512">
        <f t="shared" si="42"/>
        <v>0</v>
      </c>
    </row>
    <row r="276" spans="4:24" ht="18" customHeight="1">
      <c r="D276" s="506" t="s">
        <v>1195</v>
      </c>
      <c r="E276" s="507" t="s">
        <v>1195</v>
      </c>
      <c r="F276" s="508"/>
      <c r="G276" s="507" t="s">
        <v>1196</v>
      </c>
      <c r="H276" s="509">
        <v>0</v>
      </c>
      <c r="I276" s="509">
        <v>0</v>
      </c>
      <c r="J276" s="509">
        <v>0</v>
      </c>
      <c r="K276" s="509">
        <v>0</v>
      </c>
      <c r="L276" s="509">
        <v>0</v>
      </c>
      <c r="M276" s="509"/>
      <c r="N276" s="509">
        <v>0</v>
      </c>
      <c r="O276" s="510">
        <f t="shared" si="41"/>
        <v>0</v>
      </c>
      <c r="Q276" s="511">
        <f>SUMIF('CF.2'!$H$5:$H$24,'CF.1'!E276,'CF.2'!$J$5:$J$24)-SUMIF('CF.2'!$K$5:$K$24,'CF.1'!E276,'CF.2'!$M$5:$M$24)</f>
        <v>0</v>
      </c>
      <c r="R276" s="509">
        <f>SUMIF('CF.2'!$H$30:$H$59,'CF.1'!E276,'CF.2'!$J$30:$J$59)+SUMIF('CF.2'!$K$30:$K$59,'CF.1'!E276,'CF.2'!$M$30:$M$59)</f>
        <v>0</v>
      </c>
      <c r="S276" s="509">
        <f>SUMIF('CF.2'!$H$64:$H$97,'CF.1'!E276,'CF.2'!$J$64:$J$97)+SUMIF('CF.2'!$K$64:$K$97,'CF.1'!E276,'CF.2'!$M$64:$M$97)</f>
        <v>0</v>
      </c>
      <c r="T276" s="509">
        <f>SUMIF('CF.2'!$H$101:$H$107,'CF.1'!E276,'CF.2'!$J$101:$J$107)+SUMIF('CF.2'!$K$101:$K$107,'CF.1'!E276,'CF.2'!$M$101:$M$107)</f>
        <v>0</v>
      </c>
      <c r="U276" s="509">
        <f>SUMIF('CF.2'!$H$112:$H$120,'CF.1'!E276,'CF.2'!$J$112:$J$120)+SUMIF('CF.2'!$K$112:$K$120,'CF.1'!E276,'CF.2'!$M$112:$M$120)</f>
        <v>0</v>
      </c>
      <c r="V276" s="510">
        <f t="shared" si="43"/>
        <v>0</v>
      </c>
      <c r="X276" s="512">
        <f t="shared" si="42"/>
        <v>0</v>
      </c>
    </row>
    <row r="277" spans="4:24" ht="18" customHeight="1">
      <c r="D277" s="506" t="s">
        <v>1190</v>
      </c>
      <c r="E277" s="507" t="s">
        <v>1197</v>
      </c>
      <c r="F277" s="508" t="s">
        <v>1497</v>
      </c>
      <c r="G277" s="507" t="s">
        <v>1198</v>
      </c>
      <c r="H277" s="509">
        <v>-12875000</v>
      </c>
      <c r="I277" s="509">
        <v>0</v>
      </c>
      <c r="J277" s="509">
        <v>0</v>
      </c>
      <c r="K277" s="509">
        <v>0</v>
      </c>
      <c r="L277" s="509">
        <v>0</v>
      </c>
      <c r="M277" s="509"/>
      <c r="N277" s="509">
        <v>0</v>
      </c>
      <c r="O277" s="510">
        <f t="shared" si="41"/>
        <v>-12875000</v>
      </c>
      <c r="Q277" s="511">
        <f>SUMIF('CF.2'!$H$5:$H$24,'CF.1'!E277,'CF.2'!$J$5:$J$24)-SUMIF('CF.2'!$K$5:$K$24,'CF.1'!E277,'CF.2'!$M$5:$M$24)</f>
        <v>0</v>
      </c>
      <c r="R277" s="509">
        <f>SUMIF('CF.2'!$H$30:$H$59,'CF.1'!E277,'CF.2'!$J$30:$J$59)+SUMIF('CF.2'!$K$30:$K$59,'CF.1'!E277,'CF.2'!$M$30:$M$59)</f>
        <v>0</v>
      </c>
      <c r="S277" s="509">
        <f>SUMIF('CF.2'!$H$64:$H$97,'CF.1'!E277,'CF.2'!$J$64:$J$97)+SUMIF('CF.2'!$K$64:$K$97,'CF.1'!E277,'CF.2'!$M$64:$M$97)</f>
        <v>0</v>
      </c>
      <c r="T277" s="509">
        <f>SUMIF('CF.2'!$H$101:$H$107,'CF.1'!E277,'CF.2'!$J$101:$J$107)+SUMIF('CF.2'!$K$101:$K$107,'CF.1'!E277,'CF.2'!$M$101:$M$107)</f>
        <v>0</v>
      </c>
      <c r="U277" s="509">
        <f>SUMIF('CF.2'!$H$112:$H$120,'CF.1'!E277,'CF.2'!$J$112:$J$120)+SUMIF('CF.2'!$K$112:$K$120,'CF.1'!E277,'CF.2'!$M$112:$M$120)</f>
        <v>0</v>
      </c>
      <c r="V277" s="510">
        <f t="shared" si="43"/>
        <v>0</v>
      </c>
      <c r="X277" s="512">
        <f t="shared" si="42"/>
        <v>-12875000</v>
      </c>
    </row>
    <row r="278" spans="4:24" ht="18" customHeight="1">
      <c r="D278" s="506" t="s">
        <v>1199</v>
      </c>
      <c r="E278" s="507" t="s">
        <v>1199</v>
      </c>
      <c r="F278" s="508" t="s">
        <v>1498</v>
      </c>
      <c r="G278" s="507" t="s">
        <v>1200</v>
      </c>
      <c r="H278" s="509">
        <v>-885108119</v>
      </c>
      <c r="I278" s="509">
        <v>0</v>
      </c>
      <c r="J278" s="509">
        <v>0</v>
      </c>
      <c r="K278" s="509">
        <v>0</v>
      </c>
      <c r="L278" s="509">
        <v>0</v>
      </c>
      <c r="M278" s="509"/>
      <c r="N278" s="509">
        <v>0</v>
      </c>
      <c r="O278" s="510">
        <f t="shared" si="41"/>
        <v>-885108119</v>
      </c>
      <c r="Q278" s="511">
        <f>SUMIF('CF.2'!$H$5:$H$24,'CF.1'!E278,'CF.2'!$J$5:$J$24)-SUMIF('CF.2'!$K$5:$K$24,'CF.1'!E278,'CF.2'!$M$5:$M$24)</f>
        <v>0</v>
      </c>
      <c r="R278" s="509">
        <f>SUMIF('CF.2'!$H$30:$H$59,'CF.1'!E278,'CF.2'!$J$30:$J$59)+SUMIF('CF.2'!$K$30:$K$59,'CF.1'!E278,'CF.2'!$M$30:$M$59)</f>
        <v>0</v>
      </c>
      <c r="S278" s="509">
        <f>SUMIF('CF.2'!$H$64:$H$97,'CF.1'!E278,'CF.2'!$J$64:$J$97)+SUMIF('CF.2'!$K$64:$K$97,'CF.1'!E278,'CF.2'!$M$64:$M$97)</f>
        <v>0</v>
      </c>
      <c r="T278" s="509">
        <f>SUMIF('CF.2'!$H$101:$H$107,'CF.1'!E278,'CF.2'!$J$101:$J$107)+SUMIF('CF.2'!$K$101:$K$107,'CF.1'!E278,'CF.2'!$M$101:$M$107)</f>
        <v>0</v>
      </c>
      <c r="U278" s="509">
        <f>SUMIF('CF.2'!$H$112:$H$120,'CF.1'!E278,'CF.2'!$J$112:$J$120)+SUMIF('CF.2'!$K$112:$K$120,'CF.1'!E278,'CF.2'!$M$112:$M$120)</f>
        <v>0</v>
      </c>
      <c r="V278" s="510">
        <f t="shared" si="43"/>
        <v>0</v>
      </c>
      <c r="X278" s="512">
        <f t="shared" si="42"/>
        <v>-885108119</v>
      </c>
    </row>
    <row r="279" spans="4:24" ht="18" customHeight="1">
      <c r="D279" s="506" t="s">
        <v>1201</v>
      </c>
      <c r="E279" s="507" t="s">
        <v>1201</v>
      </c>
      <c r="F279" s="508"/>
      <c r="G279" s="507" t="s">
        <v>1202</v>
      </c>
      <c r="H279" s="509">
        <v>0</v>
      </c>
      <c r="I279" s="509">
        <v>0</v>
      </c>
      <c r="J279" s="509">
        <v>0</v>
      </c>
      <c r="K279" s="509">
        <v>0</v>
      </c>
      <c r="L279" s="509">
        <v>0</v>
      </c>
      <c r="M279" s="509"/>
      <c r="N279" s="509">
        <v>0</v>
      </c>
      <c r="O279" s="510">
        <f t="shared" si="41"/>
        <v>0</v>
      </c>
      <c r="Q279" s="511">
        <f>SUMIF('CF.2'!$H$5:$H$24,'CF.1'!E279,'CF.2'!$J$5:$J$24)-SUMIF('CF.2'!$K$5:$K$24,'CF.1'!E279,'CF.2'!$M$5:$M$24)</f>
        <v>0</v>
      </c>
      <c r="R279" s="509">
        <f>SUMIF('CF.2'!$H$30:$H$59,'CF.1'!E279,'CF.2'!$J$30:$J$59)+SUMIF('CF.2'!$K$30:$K$59,'CF.1'!E279,'CF.2'!$M$30:$M$59)</f>
        <v>0</v>
      </c>
      <c r="S279" s="509">
        <f>SUMIF('CF.2'!$H$64:$H$97,'CF.1'!E279,'CF.2'!$J$64:$J$97)+SUMIF('CF.2'!$K$64:$K$97,'CF.1'!E279,'CF.2'!$M$64:$M$97)</f>
        <v>0</v>
      </c>
      <c r="T279" s="509">
        <f>SUMIF('CF.2'!$H$101:$H$107,'CF.1'!E279,'CF.2'!$J$101:$J$107)+SUMIF('CF.2'!$K$101:$K$107,'CF.1'!E279,'CF.2'!$M$101:$M$107)</f>
        <v>0</v>
      </c>
      <c r="U279" s="509">
        <f>SUMIF('CF.2'!$H$112:$H$120,'CF.1'!E279,'CF.2'!$J$112:$J$120)+SUMIF('CF.2'!$K$112:$K$120,'CF.1'!E279,'CF.2'!$M$112:$M$120)</f>
        <v>0</v>
      </c>
      <c r="V279" s="510">
        <f t="shared" si="43"/>
        <v>0</v>
      </c>
      <c r="X279" s="512">
        <f t="shared" si="42"/>
        <v>0</v>
      </c>
    </row>
    <row r="280" spans="4:24" ht="18" customHeight="1">
      <c r="D280" s="506" t="s">
        <v>1203</v>
      </c>
      <c r="E280" s="507" t="s">
        <v>1203</v>
      </c>
      <c r="F280" s="508"/>
      <c r="G280" s="507" t="s">
        <v>1204</v>
      </c>
      <c r="H280" s="509">
        <v>0</v>
      </c>
      <c r="I280" s="509">
        <v>0</v>
      </c>
      <c r="J280" s="509">
        <v>0</v>
      </c>
      <c r="K280" s="509">
        <v>0</v>
      </c>
      <c r="L280" s="509">
        <v>0</v>
      </c>
      <c r="M280" s="509"/>
      <c r="N280" s="509">
        <v>0</v>
      </c>
      <c r="O280" s="510">
        <f t="shared" si="41"/>
        <v>0</v>
      </c>
      <c r="Q280" s="511">
        <f>SUMIF('CF.2'!$H$5:$H$24,'CF.1'!E280,'CF.2'!$J$5:$J$24)-SUMIF('CF.2'!$K$5:$K$24,'CF.1'!E280,'CF.2'!$M$5:$M$24)</f>
        <v>0</v>
      </c>
      <c r="R280" s="509">
        <f>SUMIF('CF.2'!$H$30:$H$59,'CF.1'!E280,'CF.2'!$J$30:$J$59)+SUMIF('CF.2'!$K$30:$K$59,'CF.1'!E280,'CF.2'!$M$30:$M$59)</f>
        <v>0</v>
      </c>
      <c r="S280" s="509">
        <f>SUMIF('CF.2'!$H$64:$H$97,'CF.1'!E280,'CF.2'!$J$64:$J$97)+SUMIF('CF.2'!$K$64:$K$97,'CF.1'!E280,'CF.2'!$M$64:$M$97)</f>
        <v>0</v>
      </c>
      <c r="T280" s="509">
        <f>SUMIF('CF.2'!$H$101:$H$107,'CF.1'!E280,'CF.2'!$J$101:$J$107)+SUMIF('CF.2'!$K$101:$K$107,'CF.1'!E280,'CF.2'!$M$101:$M$107)</f>
        <v>0</v>
      </c>
      <c r="U280" s="509">
        <f>SUMIF('CF.2'!$H$112:$H$120,'CF.1'!E280,'CF.2'!$J$112:$J$120)+SUMIF('CF.2'!$K$112:$K$120,'CF.1'!E280,'CF.2'!$M$112:$M$120)</f>
        <v>0</v>
      </c>
      <c r="V280" s="510">
        <f t="shared" si="43"/>
        <v>0</v>
      </c>
      <c r="X280" s="512">
        <f t="shared" si="42"/>
        <v>0</v>
      </c>
    </row>
    <row r="281" spans="4:24" ht="18" customHeight="1">
      <c r="D281" s="506" t="s">
        <v>1205</v>
      </c>
      <c r="E281" s="507" t="s">
        <v>1205</v>
      </c>
      <c r="F281" s="508"/>
      <c r="G281" s="507" t="s">
        <v>1206</v>
      </c>
      <c r="H281" s="509">
        <v>0</v>
      </c>
      <c r="I281" s="509">
        <v>0</v>
      </c>
      <c r="J281" s="509">
        <v>0</v>
      </c>
      <c r="K281" s="509">
        <v>0</v>
      </c>
      <c r="L281" s="509">
        <v>0</v>
      </c>
      <c r="M281" s="509"/>
      <c r="N281" s="509">
        <v>0</v>
      </c>
      <c r="O281" s="510">
        <f t="shared" si="41"/>
        <v>0</v>
      </c>
      <c r="Q281" s="511">
        <f>SUMIF('CF.2'!$H$5:$H$24,'CF.1'!E281,'CF.2'!$J$5:$J$24)-SUMIF('CF.2'!$K$5:$K$24,'CF.1'!E281,'CF.2'!$M$5:$M$24)</f>
        <v>0</v>
      </c>
      <c r="R281" s="509">
        <f>SUMIF('CF.2'!$H$30:$H$59,'CF.1'!E281,'CF.2'!$J$30:$J$59)+SUMIF('CF.2'!$K$30:$K$59,'CF.1'!E281,'CF.2'!$M$30:$M$59)</f>
        <v>0</v>
      </c>
      <c r="S281" s="509">
        <f>SUMIF('CF.2'!$H$64:$H$97,'CF.1'!E281,'CF.2'!$J$64:$J$97)+SUMIF('CF.2'!$K$64:$K$97,'CF.1'!E281,'CF.2'!$M$64:$M$97)</f>
        <v>0</v>
      </c>
      <c r="T281" s="509">
        <f>SUMIF('CF.2'!$H$101:$H$107,'CF.1'!E281,'CF.2'!$J$101:$J$107)+SUMIF('CF.2'!$K$101:$K$107,'CF.1'!E281,'CF.2'!$M$101:$M$107)</f>
        <v>0</v>
      </c>
      <c r="U281" s="509">
        <f>SUMIF('CF.2'!$H$112:$H$120,'CF.1'!E281,'CF.2'!$J$112:$J$120)+SUMIF('CF.2'!$K$112:$K$120,'CF.1'!E281,'CF.2'!$M$112:$M$120)</f>
        <v>0</v>
      </c>
      <c r="V281" s="510">
        <f t="shared" si="43"/>
        <v>0</v>
      </c>
      <c r="X281" s="512">
        <f t="shared" si="42"/>
        <v>0</v>
      </c>
    </row>
    <row r="282" spans="4:24" ht="18" customHeight="1">
      <c r="D282" s="506" t="s">
        <v>1207</v>
      </c>
      <c r="E282" s="507" t="s">
        <v>1207</v>
      </c>
      <c r="F282" s="508" t="s">
        <v>1498</v>
      </c>
      <c r="G282" s="507" t="s">
        <v>1208</v>
      </c>
      <c r="H282" s="509">
        <v>-301017327</v>
      </c>
      <c r="I282" s="509">
        <v>0</v>
      </c>
      <c r="J282" s="509">
        <v>0</v>
      </c>
      <c r="K282" s="509">
        <v>0</v>
      </c>
      <c r="L282" s="509">
        <v>0</v>
      </c>
      <c r="M282" s="509"/>
      <c r="N282" s="509">
        <v>0</v>
      </c>
      <c r="O282" s="510">
        <f t="shared" si="41"/>
        <v>-301017327</v>
      </c>
      <c r="Q282" s="511">
        <f>SUMIF('CF.2'!$H$5:$H$24,'CF.1'!E282,'CF.2'!$J$5:$J$24)-SUMIF('CF.2'!$K$5:$K$24,'CF.1'!E282,'CF.2'!$M$5:$M$24)</f>
        <v>0</v>
      </c>
      <c r="R282" s="509">
        <f>SUMIF('CF.2'!$H$30:$H$59,'CF.1'!E282,'CF.2'!$J$30:$J$59)+SUMIF('CF.2'!$K$30:$K$59,'CF.1'!E282,'CF.2'!$M$30:$M$59)</f>
        <v>0</v>
      </c>
      <c r="S282" s="509">
        <f>SUMIF('CF.2'!$H$64:$H$97,'CF.1'!E282,'CF.2'!$J$64:$J$97)+SUMIF('CF.2'!$K$64:$K$97,'CF.1'!E282,'CF.2'!$M$64:$M$97)</f>
        <v>0</v>
      </c>
      <c r="T282" s="509">
        <f>SUMIF('CF.2'!$H$101:$H$107,'CF.1'!E282,'CF.2'!$J$101:$J$107)+SUMIF('CF.2'!$K$101:$K$107,'CF.1'!E282,'CF.2'!$M$101:$M$107)</f>
        <v>0</v>
      </c>
      <c r="U282" s="509">
        <f>SUMIF('CF.2'!$H$112:$H$120,'CF.1'!E282,'CF.2'!$J$112:$J$120)+SUMIF('CF.2'!$K$112:$K$120,'CF.1'!E282,'CF.2'!$M$112:$M$120)</f>
        <v>0</v>
      </c>
      <c r="V282" s="510">
        <f t="shared" si="43"/>
        <v>0</v>
      </c>
      <c r="X282" s="512">
        <f t="shared" si="42"/>
        <v>-301017327</v>
      </c>
    </row>
    <row r="283" spans="4:24" ht="18" customHeight="1">
      <c r="D283" s="506" t="s">
        <v>1209</v>
      </c>
      <c r="E283" s="507" t="s">
        <v>1209</v>
      </c>
      <c r="F283" s="508"/>
      <c r="G283" s="507" t="s">
        <v>1210</v>
      </c>
      <c r="H283" s="509">
        <v>0</v>
      </c>
      <c r="I283" s="509">
        <v>0</v>
      </c>
      <c r="J283" s="509">
        <v>0</v>
      </c>
      <c r="K283" s="509">
        <v>0</v>
      </c>
      <c r="L283" s="509">
        <v>0</v>
      </c>
      <c r="M283" s="509"/>
      <c r="N283" s="509">
        <v>0</v>
      </c>
      <c r="O283" s="510">
        <f t="shared" si="41"/>
        <v>0</v>
      </c>
      <c r="Q283" s="511">
        <f>SUMIF('CF.2'!$H$5:$H$24,'CF.1'!E283,'CF.2'!$J$5:$J$24)-SUMIF('CF.2'!$K$5:$K$24,'CF.1'!E283,'CF.2'!$M$5:$M$24)</f>
        <v>0</v>
      </c>
      <c r="R283" s="509">
        <f>SUMIF('CF.2'!$H$30:$H$59,'CF.1'!E283,'CF.2'!$J$30:$J$59)+SUMIF('CF.2'!$K$30:$K$59,'CF.1'!E283,'CF.2'!$M$30:$M$59)</f>
        <v>0</v>
      </c>
      <c r="S283" s="509">
        <f>SUMIF('CF.2'!$H$64:$H$97,'CF.1'!E283,'CF.2'!$J$64:$J$97)+SUMIF('CF.2'!$K$64:$K$97,'CF.1'!E283,'CF.2'!$M$64:$M$97)</f>
        <v>0</v>
      </c>
      <c r="T283" s="509">
        <f>SUMIF('CF.2'!$H$101:$H$107,'CF.1'!E283,'CF.2'!$J$101:$J$107)+SUMIF('CF.2'!$K$101:$K$107,'CF.1'!E283,'CF.2'!$M$101:$M$107)</f>
        <v>0</v>
      </c>
      <c r="U283" s="509">
        <f>SUMIF('CF.2'!$H$112:$H$120,'CF.1'!E283,'CF.2'!$J$112:$J$120)+SUMIF('CF.2'!$K$112:$K$120,'CF.1'!E283,'CF.2'!$M$112:$M$120)</f>
        <v>0</v>
      </c>
      <c r="V283" s="510">
        <f t="shared" si="43"/>
        <v>0</v>
      </c>
      <c r="X283" s="512">
        <f t="shared" si="42"/>
        <v>0</v>
      </c>
    </row>
    <row r="284" spans="4:24" ht="18" customHeight="1">
      <c r="D284" s="506" t="s">
        <v>1211</v>
      </c>
      <c r="E284" s="507" t="s">
        <v>1211</v>
      </c>
      <c r="F284" s="508"/>
      <c r="G284" s="507" t="s">
        <v>1212</v>
      </c>
      <c r="H284" s="509">
        <v>0</v>
      </c>
      <c r="I284" s="509">
        <v>0</v>
      </c>
      <c r="J284" s="509">
        <v>0</v>
      </c>
      <c r="K284" s="509">
        <v>0</v>
      </c>
      <c r="L284" s="509">
        <v>0</v>
      </c>
      <c r="M284" s="509"/>
      <c r="N284" s="509">
        <v>0</v>
      </c>
      <c r="O284" s="510">
        <f t="shared" si="41"/>
        <v>0</v>
      </c>
      <c r="Q284" s="511">
        <f>SUMIF('CF.2'!$H$5:$H$24,'CF.1'!E284,'CF.2'!$J$5:$J$24)-SUMIF('CF.2'!$K$5:$K$24,'CF.1'!E284,'CF.2'!$M$5:$M$24)</f>
        <v>0</v>
      </c>
      <c r="R284" s="509">
        <f>SUMIF('CF.2'!$H$30:$H$59,'CF.1'!E284,'CF.2'!$J$30:$J$59)+SUMIF('CF.2'!$K$30:$K$59,'CF.1'!E284,'CF.2'!$M$30:$M$59)</f>
        <v>0</v>
      </c>
      <c r="S284" s="509">
        <f>SUMIF('CF.2'!$H$64:$H$97,'CF.1'!E284,'CF.2'!$J$64:$J$97)+SUMIF('CF.2'!$K$64:$K$97,'CF.1'!E284,'CF.2'!$M$64:$M$97)</f>
        <v>0</v>
      </c>
      <c r="T284" s="509">
        <f>SUMIF('CF.2'!$H$101:$H$107,'CF.1'!E284,'CF.2'!$J$101:$J$107)+SUMIF('CF.2'!$K$101:$K$107,'CF.1'!E284,'CF.2'!$M$101:$M$107)</f>
        <v>0</v>
      </c>
      <c r="U284" s="509">
        <f>SUMIF('CF.2'!$H$112:$H$120,'CF.1'!E284,'CF.2'!$J$112:$J$120)+SUMIF('CF.2'!$K$112:$K$120,'CF.1'!E284,'CF.2'!$M$112:$M$120)</f>
        <v>0</v>
      </c>
      <c r="V284" s="510">
        <f t="shared" si="43"/>
        <v>0</v>
      </c>
      <c r="X284" s="512">
        <f t="shared" si="42"/>
        <v>0</v>
      </c>
    </row>
    <row r="285" spans="4:24" ht="18" customHeight="1">
      <c r="D285" s="506" t="s">
        <v>1213</v>
      </c>
      <c r="E285" s="507" t="s">
        <v>1213</v>
      </c>
      <c r="F285" s="508"/>
      <c r="G285" s="507" t="s">
        <v>1214</v>
      </c>
      <c r="H285" s="509">
        <v>0</v>
      </c>
      <c r="I285" s="509">
        <v>0</v>
      </c>
      <c r="J285" s="509">
        <v>0</v>
      </c>
      <c r="K285" s="509">
        <v>0</v>
      </c>
      <c r="L285" s="509">
        <v>0</v>
      </c>
      <c r="M285" s="509"/>
      <c r="N285" s="509">
        <v>0</v>
      </c>
      <c r="O285" s="510">
        <f t="shared" si="41"/>
        <v>0</v>
      </c>
      <c r="Q285" s="511">
        <f>SUMIF('CF.2'!$H$5:$H$24,'CF.1'!E285,'CF.2'!$J$5:$J$24)-SUMIF('CF.2'!$K$5:$K$24,'CF.1'!E285,'CF.2'!$M$5:$M$24)</f>
        <v>0</v>
      </c>
      <c r="R285" s="509">
        <f>SUMIF('CF.2'!$H$30:$H$59,'CF.1'!E285,'CF.2'!$J$30:$J$59)+SUMIF('CF.2'!$K$30:$K$59,'CF.1'!E285,'CF.2'!$M$30:$M$59)</f>
        <v>0</v>
      </c>
      <c r="S285" s="509">
        <f>SUMIF('CF.2'!$H$64:$H$97,'CF.1'!E285,'CF.2'!$J$64:$J$97)+SUMIF('CF.2'!$K$64:$K$97,'CF.1'!E285,'CF.2'!$M$64:$M$97)</f>
        <v>0</v>
      </c>
      <c r="T285" s="509">
        <f>SUMIF('CF.2'!$H$101:$H$107,'CF.1'!E285,'CF.2'!$J$101:$J$107)+SUMIF('CF.2'!$K$101:$K$107,'CF.1'!E285,'CF.2'!$M$101:$M$107)</f>
        <v>0</v>
      </c>
      <c r="U285" s="509">
        <f>SUMIF('CF.2'!$H$112:$H$120,'CF.1'!E285,'CF.2'!$J$112:$J$120)+SUMIF('CF.2'!$K$112:$K$120,'CF.1'!E285,'CF.2'!$M$112:$M$120)</f>
        <v>0</v>
      </c>
      <c r="V285" s="510">
        <f t="shared" si="43"/>
        <v>0</v>
      </c>
      <c r="X285" s="512">
        <f t="shared" si="42"/>
        <v>0</v>
      </c>
    </row>
    <row r="286" spans="4:24" ht="18" customHeight="1">
      <c r="D286" s="506" t="s">
        <v>1215</v>
      </c>
      <c r="E286" s="507" t="s">
        <v>1378</v>
      </c>
      <c r="F286" s="508" t="s">
        <v>1498</v>
      </c>
      <c r="G286" s="507" t="s">
        <v>1370</v>
      </c>
      <c r="H286" s="509">
        <v>-940840909</v>
      </c>
      <c r="I286" s="509">
        <v>0</v>
      </c>
      <c r="J286" s="509">
        <v>0</v>
      </c>
      <c r="K286" s="509">
        <v>0</v>
      </c>
      <c r="L286" s="509">
        <v>-77664576</v>
      </c>
      <c r="M286" s="509"/>
      <c r="N286" s="509">
        <v>0</v>
      </c>
      <c r="O286" s="510">
        <f t="shared" si="41"/>
        <v>-1018505485</v>
      </c>
      <c r="Q286" s="511">
        <f>SUMIF('CF.2'!$H$5:$H$24,'CF.1'!E286,'CF.2'!$J$5:$J$24)-SUMIF('CF.2'!$K$5:$K$24,'CF.1'!E286,'CF.2'!$M$5:$M$24)</f>
        <v>0</v>
      </c>
      <c r="R286" s="509">
        <f>SUMIF('CF.2'!$H$30:$H$59,'CF.1'!E286,'CF.2'!$J$30:$J$59)+SUMIF('CF.2'!$K$30:$K$59,'CF.1'!E286,'CF.2'!$M$30:$M$59)</f>
        <v>0</v>
      </c>
      <c r="S286" s="509">
        <f>SUMIF('CF.2'!$H$64:$H$97,'CF.1'!E286,'CF.2'!$J$64:$J$97)+SUMIF('CF.2'!$K$64:$K$97,'CF.1'!E286,'CF.2'!$M$64:$M$97)</f>
        <v>0</v>
      </c>
      <c r="T286" s="509">
        <f>SUMIF('CF.2'!$H$101:$H$107,'CF.1'!E286,'CF.2'!$J$101:$J$107)+SUMIF('CF.2'!$K$101:$K$107,'CF.1'!E286,'CF.2'!$M$101:$M$107)</f>
        <v>0</v>
      </c>
      <c r="U286" s="509">
        <f>SUMIF('CF.2'!$H$112:$H$120,'CF.1'!E286,'CF.2'!$J$112:$J$120)+SUMIF('CF.2'!$K$112:$K$120,'CF.1'!E286,'CF.2'!$M$112:$M$120)</f>
        <v>0</v>
      </c>
      <c r="V286" s="510">
        <f t="shared" si="43"/>
        <v>0</v>
      </c>
      <c r="X286" s="512">
        <f t="shared" si="42"/>
        <v>-1018505485</v>
      </c>
    </row>
    <row r="287" spans="4:24" ht="18" customHeight="1">
      <c r="D287" s="506" t="s">
        <v>1215</v>
      </c>
      <c r="E287" s="507" t="s">
        <v>1379</v>
      </c>
      <c r="F287" s="508" t="s">
        <v>1498</v>
      </c>
      <c r="G287" s="507" t="s">
        <v>1216</v>
      </c>
      <c r="H287" s="509">
        <v>-2500000000</v>
      </c>
      <c r="I287" s="509">
        <v>0</v>
      </c>
      <c r="J287" s="509">
        <v>0</v>
      </c>
      <c r="K287" s="509">
        <v>0</v>
      </c>
      <c r="L287" s="509">
        <v>0</v>
      </c>
      <c r="M287" s="509"/>
      <c r="N287" s="509">
        <v>0</v>
      </c>
      <c r="O287" s="510">
        <f t="shared" si="41"/>
        <v>-2500000000</v>
      </c>
      <c r="Q287" s="511">
        <f>SUMIF('CF.2'!$H$5:$H$24,'CF.1'!E287,'CF.2'!$J$5:$J$24)-SUMIF('CF.2'!$K$5:$K$24,'CF.1'!E287,'CF.2'!$M$5:$M$24)</f>
        <v>0</v>
      </c>
      <c r="R287" s="509">
        <f>SUMIF('CF.2'!$H$30:$H$59,'CF.1'!E287,'CF.2'!$J$30:$J$59)+SUMIF('CF.2'!$K$30:$K$59,'CF.1'!E287,'CF.2'!$M$30:$M$59)</f>
        <v>0</v>
      </c>
      <c r="S287" s="509">
        <f>SUMIF('CF.2'!$H$64:$H$97,'CF.1'!E287,'CF.2'!$J$64:$J$97)+SUMIF('CF.2'!$K$64:$K$97,'CF.1'!E287,'CF.2'!$M$64:$M$97)</f>
        <v>0</v>
      </c>
      <c r="T287" s="509">
        <f>SUMIF('CF.2'!$H$101:$H$107,'CF.1'!E287,'CF.2'!$J$101:$J$107)+SUMIF('CF.2'!$K$101:$K$107,'CF.1'!E287,'CF.2'!$M$101:$M$107)</f>
        <v>0</v>
      </c>
      <c r="U287" s="509">
        <f>SUMIF('CF.2'!$H$112:$H$120,'CF.1'!E287,'CF.2'!$J$112:$J$120)+SUMIF('CF.2'!$K$112:$K$120,'CF.1'!E287,'CF.2'!$M$112:$M$120)</f>
        <v>0</v>
      </c>
      <c r="V287" s="510">
        <f t="shared" si="43"/>
        <v>0</v>
      </c>
      <c r="X287" s="512">
        <f t="shared" si="42"/>
        <v>-2500000000</v>
      </c>
    </row>
    <row r="288" spans="4:24" ht="18" customHeight="1">
      <c r="D288" s="506" t="s">
        <v>1217</v>
      </c>
      <c r="E288" s="507" t="s">
        <v>1217</v>
      </c>
      <c r="F288" s="508"/>
      <c r="G288" s="507" t="s">
        <v>1218</v>
      </c>
      <c r="H288" s="509">
        <v>0</v>
      </c>
      <c r="I288" s="509">
        <v>0</v>
      </c>
      <c r="J288" s="509">
        <v>0</v>
      </c>
      <c r="K288" s="509">
        <v>0</v>
      </c>
      <c r="L288" s="509">
        <v>0</v>
      </c>
      <c r="M288" s="509"/>
      <c r="N288" s="509">
        <v>0</v>
      </c>
      <c r="O288" s="510">
        <f t="shared" si="41"/>
        <v>0</v>
      </c>
      <c r="Q288" s="511">
        <f>SUMIF('CF.2'!$H$5:$H$24,'CF.1'!E288,'CF.2'!$J$5:$J$24)-SUMIF('CF.2'!$K$5:$K$24,'CF.1'!E288,'CF.2'!$M$5:$M$24)</f>
        <v>0</v>
      </c>
      <c r="R288" s="509">
        <f>SUMIF('CF.2'!$H$30:$H$59,'CF.1'!E288,'CF.2'!$J$30:$J$59)+SUMIF('CF.2'!$K$30:$K$59,'CF.1'!E288,'CF.2'!$M$30:$M$59)</f>
        <v>0</v>
      </c>
      <c r="S288" s="509">
        <f>SUMIF('CF.2'!$H$64:$H$97,'CF.1'!E288,'CF.2'!$J$64:$J$97)+SUMIF('CF.2'!$K$64:$K$97,'CF.1'!E288,'CF.2'!$M$64:$M$97)</f>
        <v>0</v>
      </c>
      <c r="T288" s="509">
        <f>SUMIF('CF.2'!$H$101:$H$107,'CF.1'!E288,'CF.2'!$J$101:$J$107)+SUMIF('CF.2'!$K$101:$K$107,'CF.1'!E288,'CF.2'!$M$101:$M$107)</f>
        <v>0</v>
      </c>
      <c r="U288" s="509">
        <f>SUMIF('CF.2'!$H$112:$H$120,'CF.1'!E288,'CF.2'!$J$112:$J$120)+SUMIF('CF.2'!$K$112:$K$120,'CF.1'!E288,'CF.2'!$M$112:$M$120)</f>
        <v>0</v>
      </c>
      <c r="V288" s="510">
        <f t="shared" si="43"/>
        <v>0</v>
      </c>
      <c r="X288" s="512">
        <f t="shared" si="42"/>
        <v>0</v>
      </c>
    </row>
    <row r="289" spans="4:26" ht="18" customHeight="1">
      <c r="D289" s="506" t="s">
        <v>1219</v>
      </c>
      <c r="E289" s="507" t="s">
        <v>1219</v>
      </c>
      <c r="F289" s="508"/>
      <c r="G289" s="507" t="s">
        <v>1220</v>
      </c>
      <c r="H289" s="509">
        <v>0</v>
      </c>
      <c r="I289" s="509">
        <v>0</v>
      </c>
      <c r="J289" s="509">
        <v>0</v>
      </c>
      <c r="K289" s="509">
        <v>0</v>
      </c>
      <c r="L289" s="509">
        <v>0</v>
      </c>
      <c r="M289" s="509"/>
      <c r="N289" s="509">
        <v>0</v>
      </c>
      <c r="O289" s="510">
        <f t="shared" si="41"/>
        <v>0</v>
      </c>
      <c r="Q289" s="511">
        <f>SUMIF('CF.2'!$H$5:$H$24,'CF.1'!E289,'CF.2'!$J$5:$J$24)-SUMIF('CF.2'!$K$5:$K$24,'CF.1'!E289,'CF.2'!$M$5:$M$24)</f>
        <v>0</v>
      </c>
      <c r="R289" s="509">
        <f>SUMIF('CF.2'!$H$30:$H$59,'CF.1'!E289,'CF.2'!$J$30:$J$59)+SUMIF('CF.2'!$K$30:$K$59,'CF.1'!E289,'CF.2'!$M$30:$M$59)</f>
        <v>0</v>
      </c>
      <c r="S289" s="509">
        <f>SUMIF('CF.2'!$H$64:$H$97,'CF.1'!E289,'CF.2'!$J$64:$J$97)+SUMIF('CF.2'!$K$64:$K$97,'CF.1'!E289,'CF.2'!$M$64:$M$97)</f>
        <v>0</v>
      </c>
      <c r="T289" s="509">
        <f>SUMIF('CF.2'!$H$101:$H$107,'CF.1'!E289,'CF.2'!$J$101:$J$107)+SUMIF('CF.2'!$K$101:$K$107,'CF.1'!E289,'CF.2'!$M$101:$M$107)</f>
        <v>0</v>
      </c>
      <c r="U289" s="509">
        <f>SUMIF('CF.2'!$H$112:$H$120,'CF.1'!E289,'CF.2'!$J$112:$J$120)+SUMIF('CF.2'!$K$112:$K$120,'CF.1'!E289,'CF.2'!$M$112:$M$120)</f>
        <v>0</v>
      </c>
      <c r="V289" s="510">
        <f t="shared" si="43"/>
        <v>0</v>
      </c>
      <c r="X289" s="512">
        <f t="shared" si="42"/>
        <v>0</v>
      </c>
    </row>
    <row r="290" spans="4:26" ht="18" customHeight="1">
      <c r="D290" s="506" t="s">
        <v>1221</v>
      </c>
      <c r="E290" s="507" t="s">
        <v>1221</v>
      </c>
      <c r="F290" s="763" t="s">
        <v>1982</v>
      </c>
      <c r="G290" s="507" t="s">
        <v>1222</v>
      </c>
      <c r="H290" s="509">
        <v>0</v>
      </c>
      <c r="I290" s="509">
        <v>0</v>
      </c>
      <c r="J290" s="509">
        <v>0</v>
      </c>
      <c r="K290" s="509">
        <v>0</v>
      </c>
      <c r="L290" s="509">
        <v>0</v>
      </c>
      <c r="M290" s="509"/>
      <c r="N290" s="509">
        <v>0</v>
      </c>
      <c r="O290" s="510">
        <f t="shared" si="41"/>
        <v>0</v>
      </c>
      <c r="Q290" s="511">
        <f>SUMIF('CF.2'!$H$5:$H$24,'CF.1'!E290,'CF.2'!$J$5:$J$24)-SUMIF('CF.2'!$K$5:$K$24,'CF.1'!E290,'CF.2'!$M$5:$M$24)</f>
        <v>0</v>
      </c>
      <c r="R290" s="509">
        <f>SUMIF('CF.2'!$H$30:$H$59,'CF.1'!E290,'CF.2'!$J$30:$J$59)+SUMIF('CF.2'!$K$30:$K$59,'CF.1'!E290,'CF.2'!$M$30:$M$59)</f>
        <v>0</v>
      </c>
      <c r="S290" s="509">
        <f>SUMIF('CF.2'!$H$64:$H$97,'CF.1'!E290,'CF.2'!$J$64:$J$97)+SUMIF('CF.2'!$K$64:$K$97,'CF.1'!E290,'CF.2'!$M$64:$M$97)</f>
        <v>0</v>
      </c>
      <c r="T290" s="509">
        <f>SUMIF('CF.2'!$H$101:$H$107,'CF.1'!E290,'CF.2'!$J$101:$J$107)+SUMIF('CF.2'!$K$101:$K$107,'CF.1'!E290,'CF.2'!$M$101:$M$107)</f>
        <v>0</v>
      </c>
      <c r="U290" s="509">
        <f>SUMIF('CF.2'!$H$112:$H$120,'CF.1'!E290,'CF.2'!$J$112:$J$120)+SUMIF('CF.2'!$K$112:$K$120,'CF.1'!E290,'CF.2'!$M$112:$M$120)</f>
        <v>0</v>
      </c>
      <c r="V290" s="510">
        <f t="shared" si="43"/>
        <v>0</v>
      </c>
      <c r="X290" s="512">
        <f t="shared" si="42"/>
        <v>0</v>
      </c>
    </row>
    <row r="291" spans="4:26" ht="18" customHeight="1">
      <c r="D291" s="506" t="s">
        <v>1223</v>
      </c>
      <c r="E291" s="507" t="s">
        <v>1223</v>
      </c>
      <c r="F291" s="508"/>
      <c r="G291" s="507" t="s">
        <v>1224</v>
      </c>
      <c r="H291" s="509">
        <v>0</v>
      </c>
      <c r="I291" s="509">
        <v>0</v>
      </c>
      <c r="J291" s="509">
        <v>0</v>
      </c>
      <c r="K291" s="509">
        <v>0</v>
      </c>
      <c r="L291" s="509">
        <v>0</v>
      </c>
      <c r="M291" s="509"/>
      <c r="N291" s="509">
        <v>0</v>
      </c>
      <c r="O291" s="510">
        <f t="shared" si="41"/>
        <v>0</v>
      </c>
      <c r="Q291" s="511">
        <f>SUMIF('CF.2'!$H$5:$H$24,'CF.1'!E291,'CF.2'!$J$5:$J$24)-SUMIF('CF.2'!$K$5:$K$24,'CF.1'!E291,'CF.2'!$M$5:$M$24)</f>
        <v>0</v>
      </c>
      <c r="R291" s="509">
        <f>SUMIF('CF.2'!$H$30:$H$59,'CF.1'!E291,'CF.2'!$J$30:$J$59)+SUMIF('CF.2'!$K$30:$K$59,'CF.1'!E291,'CF.2'!$M$30:$M$59)</f>
        <v>0</v>
      </c>
      <c r="S291" s="509">
        <f>SUMIF('CF.2'!$H$64:$H$97,'CF.1'!E291,'CF.2'!$J$64:$J$97)+SUMIF('CF.2'!$K$64:$K$97,'CF.1'!E291,'CF.2'!$M$64:$M$97)</f>
        <v>0</v>
      </c>
      <c r="T291" s="509">
        <f>SUMIF('CF.2'!$H$101:$H$107,'CF.1'!E291,'CF.2'!$J$101:$J$107)+SUMIF('CF.2'!$K$101:$K$107,'CF.1'!E291,'CF.2'!$M$101:$M$107)</f>
        <v>0</v>
      </c>
      <c r="U291" s="509">
        <f>SUMIF('CF.2'!$H$112:$H$120,'CF.1'!E291,'CF.2'!$J$112:$J$120)+SUMIF('CF.2'!$K$112:$K$120,'CF.1'!E291,'CF.2'!$M$112:$M$120)</f>
        <v>0</v>
      </c>
      <c r="V291" s="510">
        <f t="shared" si="43"/>
        <v>0</v>
      </c>
      <c r="X291" s="512">
        <f t="shared" si="42"/>
        <v>0</v>
      </c>
    </row>
    <row r="292" spans="4:26" ht="18" customHeight="1">
      <c r="D292" s="506" t="s">
        <v>1225</v>
      </c>
      <c r="E292" s="507" t="s">
        <v>1225</v>
      </c>
      <c r="F292" s="508" t="s">
        <v>1535</v>
      </c>
      <c r="G292" s="507" t="s">
        <v>1226</v>
      </c>
      <c r="H292" s="509">
        <v>-800000000</v>
      </c>
      <c r="I292" s="509">
        <v>0</v>
      </c>
      <c r="J292" s="509">
        <v>0</v>
      </c>
      <c r="K292" s="509">
        <v>0</v>
      </c>
      <c r="L292" s="509">
        <v>0</v>
      </c>
      <c r="M292" s="509"/>
      <c r="N292" s="509">
        <v>0</v>
      </c>
      <c r="O292" s="510">
        <f t="shared" si="41"/>
        <v>-800000000</v>
      </c>
      <c r="Q292" s="511">
        <f>SUMIF('CF.2'!$H$5:$H$24,'CF.1'!E292,'CF.2'!$J$5:$J$24)-SUMIF('CF.2'!$K$5:$K$24,'CF.1'!E292,'CF.2'!$M$5:$M$24)</f>
        <v>0</v>
      </c>
      <c r="R292" s="509">
        <f>SUMIF('CF.2'!$H$30:$H$59,'CF.1'!E292,'CF.2'!$J$30:$J$59)+SUMIF('CF.2'!$K$30:$K$59,'CF.1'!E292,'CF.2'!$M$30:$M$59)</f>
        <v>0</v>
      </c>
      <c r="S292" s="509">
        <f>SUMIF('CF.2'!$H$64:$H$97,'CF.1'!E292,'CF.2'!$J$64:$J$97)+SUMIF('CF.2'!$K$64:$K$97,'CF.1'!E292,'CF.2'!$M$64:$M$97)</f>
        <v>0</v>
      </c>
      <c r="T292" s="509">
        <f>SUMIF('CF.2'!$H$101:$H$107,'CF.1'!E292,'CF.2'!$J$101:$J$107)+SUMIF('CF.2'!$K$101:$K$107,'CF.1'!E292,'CF.2'!$M$101:$M$107)</f>
        <v>0</v>
      </c>
      <c r="U292" s="509">
        <f>SUMIF('CF.2'!$H$112:$H$120,'CF.1'!E292,'CF.2'!$J$112:$J$120)+SUMIF('CF.2'!$K$112:$K$120,'CF.1'!E292,'CF.2'!$M$112:$M$120)</f>
        <v>0</v>
      </c>
      <c r="V292" s="510">
        <f t="shared" si="43"/>
        <v>0</v>
      </c>
      <c r="X292" s="512">
        <f t="shared" si="42"/>
        <v>-800000000</v>
      </c>
    </row>
    <row r="293" spans="4:26" ht="18" customHeight="1">
      <c r="D293" s="506" t="s">
        <v>1227</v>
      </c>
      <c r="E293" s="507" t="s">
        <v>1227</v>
      </c>
      <c r="F293" s="508"/>
      <c r="G293" s="507" t="s">
        <v>1228</v>
      </c>
      <c r="H293" s="509">
        <v>0</v>
      </c>
      <c r="I293" s="509">
        <v>0</v>
      </c>
      <c r="J293" s="509">
        <v>0</v>
      </c>
      <c r="K293" s="509">
        <v>0</v>
      </c>
      <c r="L293" s="509">
        <v>0</v>
      </c>
      <c r="M293" s="509"/>
      <c r="N293" s="509">
        <v>0</v>
      </c>
      <c r="O293" s="510">
        <f t="shared" si="41"/>
        <v>0</v>
      </c>
      <c r="Q293" s="511">
        <f>SUMIF('CF.2'!$H$5:$H$24,'CF.1'!E293,'CF.2'!$J$5:$J$24)-SUMIF('CF.2'!$K$5:$K$24,'CF.1'!E293,'CF.2'!$M$5:$M$24)</f>
        <v>0</v>
      </c>
      <c r="R293" s="509">
        <f>SUMIF('CF.2'!$H$30:$H$59,'CF.1'!E293,'CF.2'!$J$30:$J$59)+SUMIF('CF.2'!$K$30:$K$59,'CF.1'!E293,'CF.2'!$M$30:$M$59)</f>
        <v>0</v>
      </c>
      <c r="S293" s="509">
        <f>SUMIF('CF.2'!$H$64:$H$97,'CF.1'!E293,'CF.2'!$J$64:$J$97)+SUMIF('CF.2'!$K$64:$K$97,'CF.1'!E293,'CF.2'!$M$64:$M$97)</f>
        <v>0</v>
      </c>
      <c r="T293" s="509">
        <f>SUMIF('CF.2'!$H$101:$H$107,'CF.1'!E293,'CF.2'!$J$101:$J$107)+SUMIF('CF.2'!$K$101:$K$107,'CF.1'!E293,'CF.2'!$M$101:$M$107)</f>
        <v>0</v>
      </c>
      <c r="U293" s="509">
        <f>SUMIF('CF.2'!$H$112:$H$120,'CF.1'!E293,'CF.2'!$J$112:$J$120)+SUMIF('CF.2'!$K$112:$K$120,'CF.1'!E293,'CF.2'!$M$112:$M$120)</f>
        <v>0</v>
      </c>
      <c r="V293" s="510">
        <f t="shared" si="43"/>
        <v>0</v>
      </c>
      <c r="X293" s="512">
        <f t="shared" si="42"/>
        <v>0</v>
      </c>
    </row>
    <row r="294" spans="4:26" ht="18" customHeight="1">
      <c r="D294" s="506" t="s">
        <v>1229</v>
      </c>
      <c r="E294" s="507" t="s">
        <v>1229</v>
      </c>
      <c r="F294" s="508"/>
      <c r="G294" s="507" t="s">
        <v>1230</v>
      </c>
      <c r="H294" s="509">
        <v>0</v>
      </c>
      <c r="I294" s="509">
        <v>0</v>
      </c>
      <c r="J294" s="509">
        <v>0</v>
      </c>
      <c r="K294" s="509">
        <v>0</v>
      </c>
      <c r="L294" s="509">
        <v>0</v>
      </c>
      <c r="M294" s="509"/>
      <c r="N294" s="509">
        <v>0</v>
      </c>
      <c r="O294" s="510">
        <f t="shared" si="41"/>
        <v>0</v>
      </c>
      <c r="Q294" s="511">
        <f>SUMIF('CF.2'!$H$5:$H$24,'CF.1'!E294,'CF.2'!$J$5:$J$24)-SUMIF('CF.2'!$K$5:$K$24,'CF.1'!E294,'CF.2'!$M$5:$M$24)</f>
        <v>0</v>
      </c>
      <c r="R294" s="509">
        <f>SUMIF('CF.2'!$H$30:$H$59,'CF.1'!E294,'CF.2'!$J$30:$J$59)+SUMIF('CF.2'!$K$30:$K$59,'CF.1'!E294,'CF.2'!$M$30:$M$59)</f>
        <v>0</v>
      </c>
      <c r="S294" s="509">
        <f>SUMIF('CF.2'!$H$64:$H$97,'CF.1'!E294,'CF.2'!$J$64:$J$97)+SUMIF('CF.2'!$K$64:$K$97,'CF.1'!E294,'CF.2'!$M$64:$M$97)</f>
        <v>0</v>
      </c>
      <c r="T294" s="509">
        <f>SUMIF('CF.2'!$H$101:$H$107,'CF.1'!E294,'CF.2'!$J$101:$J$107)+SUMIF('CF.2'!$K$101:$K$107,'CF.1'!E294,'CF.2'!$M$101:$M$107)</f>
        <v>0</v>
      </c>
      <c r="U294" s="509">
        <f>SUMIF('CF.2'!$H$112:$H$120,'CF.1'!E294,'CF.2'!$J$112:$J$120)+SUMIF('CF.2'!$K$112:$K$120,'CF.1'!E294,'CF.2'!$M$112:$M$120)</f>
        <v>0</v>
      </c>
      <c r="V294" s="510">
        <f t="shared" si="43"/>
        <v>0</v>
      </c>
      <c r="X294" s="512">
        <f t="shared" si="42"/>
        <v>0</v>
      </c>
    </row>
    <row r="295" spans="4:26" ht="18" customHeight="1">
      <c r="D295" s="506" t="s">
        <v>1231</v>
      </c>
      <c r="E295" s="507" t="s">
        <v>1231</v>
      </c>
      <c r="F295" s="508"/>
      <c r="G295" s="507" t="s">
        <v>1232</v>
      </c>
      <c r="H295" s="509">
        <v>0</v>
      </c>
      <c r="I295" s="509">
        <v>0</v>
      </c>
      <c r="J295" s="509">
        <v>0</v>
      </c>
      <c r="K295" s="509">
        <v>0</v>
      </c>
      <c r="L295" s="509">
        <v>0</v>
      </c>
      <c r="M295" s="509"/>
      <c r="N295" s="509">
        <v>0</v>
      </c>
      <c r="O295" s="510">
        <f t="shared" si="41"/>
        <v>0</v>
      </c>
      <c r="Q295" s="511">
        <f>SUMIF('CF.2'!$H$5:$H$24,'CF.1'!E295,'CF.2'!$J$5:$J$24)-SUMIF('CF.2'!$K$5:$K$24,'CF.1'!E295,'CF.2'!$M$5:$M$24)</f>
        <v>0</v>
      </c>
      <c r="R295" s="509">
        <f>SUMIF('CF.2'!$H$30:$H$59,'CF.1'!E295,'CF.2'!$J$30:$J$59)+SUMIF('CF.2'!$K$30:$K$59,'CF.1'!E295,'CF.2'!$M$30:$M$59)</f>
        <v>0</v>
      </c>
      <c r="S295" s="509">
        <f>SUMIF('CF.2'!$H$64:$H$97,'CF.1'!E295,'CF.2'!$J$64:$J$97)+SUMIF('CF.2'!$K$64:$K$97,'CF.1'!E295,'CF.2'!$M$64:$M$97)</f>
        <v>0</v>
      </c>
      <c r="T295" s="509">
        <f>SUMIF('CF.2'!$H$101:$H$107,'CF.1'!E295,'CF.2'!$J$101:$J$107)+SUMIF('CF.2'!$K$101:$K$107,'CF.1'!E295,'CF.2'!$M$101:$M$107)</f>
        <v>0</v>
      </c>
      <c r="U295" s="509">
        <f>SUMIF('CF.2'!$H$112:$H$120,'CF.1'!E295,'CF.2'!$J$112:$J$120)+SUMIF('CF.2'!$K$112:$K$120,'CF.1'!E295,'CF.2'!$M$112:$M$120)</f>
        <v>0</v>
      </c>
      <c r="V295" s="510">
        <f t="shared" si="43"/>
        <v>0</v>
      </c>
      <c r="X295" s="512">
        <f t="shared" si="42"/>
        <v>0</v>
      </c>
    </row>
    <row r="296" spans="4:26" ht="18" customHeight="1">
      <c r="D296" s="506" t="s">
        <v>1233</v>
      </c>
      <c r="E296" s="507" t="s">
        <v>1233</v>
      </c>
      <c r="F296" s="508"/>
      <c r="G296" s="507" t="s">
        <v>1234</v>
      </c>
      <c r="H296" s="509">
        <v>0</v>
      </c>
      <c r="I296" s="509">
        <v>0</v>
      </c>
      <c r="J296" s="509">
        <v>0</v>
      </c>
      <c r="K296" s="509">
        <v>0</v>
      </c>
      <c r="L296" s="509">
        <v>0</v>
      </c>
      <c r="M296" s="509"/>
      <c r="N296" s="509">
        <v>0</v>
      </c>
      <c r="O296" s="510">
        <f t="shared" si="41"/>
        <v>0</v>
      </c>
      <c r="Q296" s="511">
        <f>SUMIF('CF.2'!$H$5:$H$24,'CF.1'!E296,'CF.2'!$J$5:$J$24)-SUMIF('CF.2'!$K$5:$K$24,'CF.1'!E296,'CF.2'!$M$5:$M$24)</f>
        <v>0</v>
      </c>
      <c r="R296" s="509">
        <f>SUMIF('CF.2'!$H$30:$H$59,'CF.1'!E296,'CF.2'!$J$30:$J$59)+SUMIF('CF.2'!$K$30:$K$59,'CF.1'!E296,'CF.2'!$M$30:$M$59)</f>
        <v>0</v>
      </c>
      <c r="S296" s="509">
        <f>SUMIF('CF.2'!$H$64:$H$97,'CF.1'!E296,'CF.2'!$J$64:$J$97)+SUMIF('CF.2'!$K$64:$K$97,'CF.1'!E296,'CF.2'!$M$64:$M$97)</f>
        <v>0</v>
      </c>
      <c r="T296" s="509">
        <f>SUMIF('CF.2'!$H$101:$H$107,'CF.1'!E296,'CF.2'!$J$101:$J$107)+SUMIF('CF.2'!$K$101:$K$107,'CF.1'!E296,'CF.2'!$M$101:$M$107)</f>
        <v>0</v>
      </c>
      <c r="U296" s="509">
        <f>SUMIF('CF.2'!$H$112:$H$120,'CF.1'!E296,'CF.2'!$J$112:$J$120)+SUMIF('CF.2'!$K$112:$K$120,'CF.1'!E296,'CF.2'!$M$112:$M$120)</f>
        <v>0</v>
      </c>
      <c r="V296" s="510">
        <f t="shared" si="43"/>
        <v>0</v>
      </c>
      <c r="X296" s="512">
        <f t="shared" si="42"/>
        <v>0</v>
      </c>
    </row>
    <row r="297" spans="4:26" ht="18" customHeight="1">
      <c r="D297" s="506" t="s">
        <v>1235</v>
      </c>
      <c r="E297" s="507" t="s">
        <v>1235</v>
      </c>
      <c r="F297" s="508"/>
      <c r="G297" s="507" t="s">
        <v>1236</v>
      </c>
      <c r="H297" s="509">
        <v>0</v>
      </c>
      <c r="I297" s="509">
        <v>0</v>
      </c>
      <c r="J297" s="509">
        <v>0</v>
      </c>
      <c r="K297" s="509">
        <v>0</v>
      </c>
      <c r="L297" s="509">
        <v>0</v>
      </c>
      <c r="M297" s="509"/>
      <c r="N297" s="509">
        <v>0</v>
      </c>
      <c r="O297" s="510">
        <f t="shared" si="41"/>
        <v>0</v>
      </c>
      <c r="Q297" s="511">
        <f>SUMIF('CF.2'!$H$5:$H$24,'CF.1'!E297,'CF.2'!$J$5:$J$24)-SUMIF('CF.2'!$K$5:$K$24,'CF.1'!E297,'CF.2'!$M$5:$M$24)</f>
        <v>0</v>
      </c>
      <c r="R297" s="509">
        <f>SUMIF('CF.2'!$H$30:$H$59,'CF.1'!E297,'CF.2'!$J$30:$J$59)+SUMIF('CF.2'!$K$30:$K$59,'CF.1'!E297,'CF.2'!$M$30:$M$59)</f>
        <v>0</v>
      </c>
      <c r="S297" s="509">
        <f>SUMIF('CF.2'!$H$64:$H$97,'CF.1'!E297,'CF.2'!$J$64:$J$97)+SUMIF('CF.2'!$K$64:$K$97,'CF.1'!E297,'CF.2'!$M$64:$M$97)</f>
        <v>0</v>
      </c>
      <c r="T297" s="509">
        <f>SUMIF('CF.2'!$H$101:$H$107,'CF.1'!E297,'CF.2'!$J$101:$J$107)+SUMIF('CF.2'!$K$101:$K$107,'CF.1'!E297,'CF.2'!$M$101:$M$107)</f>
        <v>0</v>
      </c>
      <c r="U297" s="509">
        <f>SUMIF('CF.2'!$H$112:$H$120,'CF.1'!E297,'CF.2'!$J$112:$J$120)+SUMIF('CF.2'!$K$112:$K$120,'CF.1'!E297,'CF.2'!$M$112:$M$120)</f>
        <v>0</v>
      </c>
      <c r="V297" s="510">
        <f t="shared" si="43"/>
        <v>0</v>
      </c>
      <c r="X297" s="512">
        <f t="shared" si="42"/>
        <v>0</v>
      </c>
    </row>
    <row r="298" spans="4:26" ht="18" customHeight="1">
      <c r="D298" s="506" t="s">
        <v>1237</v>
      </c>
      <c r="E298" s="507" t="s">
        <v>1237</v>
      </c>
      <c r="F298" s="508"/>
      <c r="G298" s="507" t="s">
        <v>1238</v>
      </c>
      <c r="H298" s="509">
        <v>0</v>
      </c>
      <c r="I298" s="509">
        <v>0</v>
      </c>
      <c r="J298" s="509">
        <v>0</v>
      </c>
      <c r="K298" s="509">
        <v>0</v>
      </c>
      <c r="L298" s="509">
        <v>0</v>
      </c>
      <c r="M298" s="509"/>
      <c r="N298" s="509">
        <v>0</v>
      </c>
      <c r="O298" s="510">
        <f t="shared" si="41"/>
        <v>0</v>
      </c>
      <c r="Q298" s="511">
        <f>SUMIF('CF.2'!$H$5:$H$24,'CF.1'!E298,'CF.2'!$J$5:$J$24)-SUMIF('CF.2'!$K$5:$K$24,'CF.1'!E298,'CF.2'!$M$5:$M$24)</f>
        <v>0</v>
      </c>
      <c r="R298" s="509">
        <f>SUMIF('CF.2'!$H$30:$H$59,'CF.1'!E298,'CF.2'!$J$30:$J$59)+SUMIF('CF.2'!$K$30:$K$59,'CF.1'!E298,'CF.2'!$M$30:$M$59)</f>
        <v>0</v>
      </c>
      <c r="S298" s="509">
        <f>SUMIF('CF.2'!$H$64:$H$97,'CF.1'!E298,'CF.2'!$J$64:$J$97)+SUMIF('CF.2'!$K$64:$K$97,'CF.1'!E298,'CF.2'!$M$64:$M$97)</f>
        <v>0</v>
      </c>
      <c r="T298" s="509">
        <f>SUMIF('CF.2'!$H$101:$H$107,'CF.1'!E298,'CF.2'!$J$101:$J$107)+SUMIF('CF.2'!$K$101:$K$107,'CF.1'!E298,'CF.2'!$M$101:$M$107)</f>
        <v>0</v>
      </c>
      <c r="U298" s="509">
        <f>SUMIF('CF.2'!$H$112:$H$120,'CF.1'!E298,'CF.2'!$J$112:$J$120)+SUMIF('CF.2'!$K$112:$K$120,'CF.1'!E298,'CF.2'!$M$112:$M$120)</f>
        <v>0</v>
      </c>
      <c r="V298" s="510">
        <f t="shared" si="43"/>
        <v>0</v>
      </c>
      <c r="X298" s="512">
        <f t="shared" si="42"/>
        <v>0</v>
      </c>
    </row>
    <row r="299" spans="4:26" ht="18" customHeight="1">
      <c r="D299" s="506" t="s">
        <v>1239</v>
      </c>
      <c r="E299" s="507" t="s">
        <v>1239</v>
      </c>
      <c r="F299" s="508" t="s">
        <v>1535</v>
      </c>
      <c r="G299" s="507" t="s">
        <v>1240</v>
      </c>
      <c r="H299" s="509">
        <v>0</v>
      </c>
      <c r="I299" s="509">
        <v>0</v>
      </c>
      <c r="J299" s="509">
        <v>0</v>
      </c>
      <c r="K299" s="509">
        <v>0</v>
      </c>
      <c r="L299" s="509">
        <v>251263806</v>
      </c>
      <c r="M299" s="509"/>
      <c r="N299" s="509">
        <v>0</v>
      </c>
      <c r="O299" s="510">
        <f t="shared" si="41"/>
        <v>251263806</v>
      </c>
      <c r="Q299" s="511">
        <f>SUMIF('CF.2'!$H$5:$H$24,'CF.1'!E299,'CF.2'!$J$5:$J$24)-SUMIF('CF.2'!$K$5:$K$24,'CF.1'!E299,'CF.2'!$M$5:$M$24)</f>
        <v>-251263806</v>
      </c>
      <c r="R299" s="509">
        <f>SUMIF('CF.2'!$H$30:$H$59,'CF.1'!E299,'CF.2'!$J$30:$J$59)+SUMIF('CF.2'!$K$30:$K$59,'CF.1'!E299,'CF.2'!$M$30:$M$59)</f>
        <v>0</v>
      </c>
      <c r="S299" s="509">
        <f>SUMIF('CF.2'!$H$64:$H$97,'CF.1'!E299,'CF.2'!$J$64:$J$97)+SUMIF('CF.2'!$K$64:$K$97,'CF.1'!E299,'CF.2'!$M$64:$M$97)</f>
        <v>0</v>
      </c>
      <c r="T299" s="509">
        <f>SUMIF('CF.2'!$H$101:$H$107,'CF.1'!E299,'CF.2'!$J$101:$J$107)+SUMIF('CF.2'!$K$101:$K$107,'CF.1'!E299,'CF.2'!$M$101:$M$107)</f>
        <v>0</v>
      </c>
      <c r="U299" s="509">
        <f>SUMIF('CF.2'!$H$112:$H$120,'CF.1'!E299,'CF.2'!$J$112:$J$120)+SUMIF('CF.2'!$K$112:$K$120,'CF.1'!E299,'CF.2'!$M$112:$M$120)</f>
        <v>0</v>
      </c>
      <c r="V299" s="510">
        <f t="shared" si="43"/>
        <v>-251263806</v>
      </c>
      <c r="X299" s="512">
        <f t="shared" si="42"/>
        <v>0</v>
      </c>
    </row>
    <row r="300" spans="4:26" ht="18" customHeight="1">
      <c r="D300" s="499" t="s">
        <v>1241</v>
      </c>
      <c r="E300" s="500" t="s">
        <v>1241</v>
      </c>
      <c r="F300" s="501"/>
      <c r="G300" s="500" t="s">
        <v>1242</v>
      </c>
      <c r="H300" s="502">
        <f t="shared" ref="H300:O300" si="44">SUM(H301,H323)</f>
        <v>-2480507939</v>
      </c>
      <c r="I300" s="502">
        <f t="shared" si="44"/>
        <v>-2449811</v>
      </c>
      <c r="J300" s="502">
        <f t="shared" si="44"/>
        <v>-43095217</v>
      </c>
      <c r="K300" s="502">
        <f t="shared" si="44"/>
        <v>473092077</v>
      </c>
      <c r="L300" s="502">
        <f t="shared" si="44"/>
        <v>-377393142</v>
      </c>
      <c r="M300" s="502">
        <f t="shared" si="44"/>
        <v>0</v>
      </c>
      <c r="N300" s="502">
        <f t="shared" si="44"/>
        <v>0</v>
      </c>
      <c r="O300" s="503">
        <f t="shared" si="44"/>
        <v>-2430354032</v>
      </c>
      <c r="Q300" s="504">
        <f t="shared" ref="Q300:V300" si="45">SUM(Q301,Q323)</f>
        <v>-7613941909</v>
      </c>
      <c r="R300" s="502">
        <f t="shared" si="45"/>
        <v>0</v>
      </c>
      <c r="S300" s="502">
        <f t="shared" si="45"/>
        <v>-535055000</v>
      </c>
      <c r="T300" s="502">
        <f t="shared" si="45"/>
        <v>7613941909</v>
      </c>
      <c r="U300" s="502">
        <f t="shared" si="45"/>
        <v>0</v>
      </c>
      <c r="V300" s="503">
        <f t="shared" si="45"/>
        <v>-535055000</v>
      </c>
      <c r="X300" s="505">
        <f t="shared" ref="X300" si="46">SUM(X301,X323)</f>
        <v>-2965409032</v>
      </c>
    </row>
    <row r="301" spans="4:26" ht="18" customHeight="1">
      <c r="D301" s="499" t="s">
        <v>1243</v>
      </c>
      <c r="E301" s="500" t="s">
        <v>1243</v>
      </c>
      <c r="F301" s="501"/>
      <c r="G301" s="500" t="s">
        <v>1244</v>
      </c>
      <c r="H301" s="502">
        <f t="shared" ref="H301:O301" si="47">SUM(H302:H322)</f>
        <v>0</v>
      </c>
      <c r="I301" s="502">
        <f t="shared" si="47"/>
        <v>0</v>
      </c>
      <c r="J301" s="502">
        <f t="shared" si="47"/>
        <v>0</v>
      </c>
      <c r="K301" s="502">
        <f t="shared" si="47"/>
        <v>909508500</v>
      </c>
      <c r="L301" s="502">
        <f t="shared" si="47"/>
        <v>0</v>
      </c>
      <c r="M301" s="502">
        <f t="shared" si="47"/>
        <v>0</v>
      </c>
      <c r="N301" s="502">
        <f t="shared" si="47"/>
        <v>0</v>
      </c>
      <c r="O301" s="503">
        <f t="shared" si="47"/>
        <v>909508500</v>
      </c>
      <c r="Q301" s="504">
        <f t="shared" ref="Q301:V301" si="48">SUM(Q302:Q322)</f>
        <v>-7613941909</v>
      </c>
      <c r="R301" s="502">
        <f t="shared" si="48"/>
        <v>0</v>
      </c>
      <c r="S301" s="502">
        <f t="shared" si="48"/>
        <v>-909508500</v>
      </c>
      <c r="T301" s="502">
        <f t="shared" si="48"/>
        <v>7613941909</v>
      </c>
      <c r="U301" s="502">
        <f t="shared" si="48"/>
        <v>0</v>
      </c>
      <c r="V301" s="503">
        <f t="shared" si="48"/>
        <v>-909508500</v>
      </c>
      <c r="X301" s="505">
        <f t="shared" ref="X301" si="49">SUM(X302:X322)</f>
        <v>0</v>
      </c>
    </row>
    <row r="302" spans="4:26" ht="18" customHeight="1">
      <c r="D302" s="506" t="s">
        <v>1245</v>
      </c>
      <c r="E302" s="507" t="s">
        <v>1245</v>
      </c>
      <c r="F302" s="508" t="s">
        <v>537</v>
      </c>
      <c r="G302" s="507" t="s">
        <v>1246</v>
      </c>
      <c r="H302" s="509">
        <v>0</v>
      </c>
      <c r="I302" s="509">
        <v>0</v>
      </c>
      <c r="J302" s="509">
        <v>0</v>
      </c>
      <c r="K302" s="509">
        <v>0</v>
      </c>
      <c r="L302" s="509">
        <v>0</v>
      </c>
      <c r="M302" s="509"/>
      <c r="N302" s="509">
        <v>0</v>
      </c>
      <c r="O302" s="510">
        <f t="shared" ref="O302:O322" si="50">SUM(H302:N302)</f>
        <v>0</v>
      </c>
      <c r="Q302" s="511">
        <f>SUMIF('CF.2'!$H$5:$H$24,'CF.1'!E302,'CF.2'!$J$5:$J$24)-SUMIF('CF.2'!$K$5:$K$24,'CF.1'!E302,'CF.2'!$M$5:$M$24)</f>
        <v>0</v>
      </c>
      <c r="R302" s="509">
        <f>SUMIF('CF.2'!$H$30:$H$59,'CF.1'!E302,'CF.2'!$J$30:$J$59)+SUMIF('CF.2'!$K$30:$K$59,'CF.1'!E302,'CF.2'!$M$30:$M$59)</f>
        <v>0</v>
      </c>
      <c r="S302" s="509">
        <f>SUMIF('CF.2'!$H$64:$H$97,'CF.1'!E302,'CF.2'!$J$64:$J$97)+SUMIF('CF.2'!$K$64:$K$97,'CF.1'!E302,'CF.2'!$M$64:$M$97)</f>
        <v>0</v>
      </c>
      <c r="T302" s="509">
        <f>SUMIF('CF.2'!$H$101:$H$107,'CF.1'!E302,'CF.2'!$J$101:$J$107)+SUMIF('CF.2'!$K$101:$K$107,'CF.1'!E302,'CF.2'!$M$101:$M$107)</f>
        <v>0</v>
      </c>
      <c r="U302" s="509">
        <f>SUMIF('CF.2'!$H$112:$H$120,'CF.1'!E302,'CF.2'!$J$112:$J$120)+SUMIF('CF.2'!$K$112:$K$120,'CF.1'!E302,'CF.2'!$M$112:$M$120)</f>
        <v>0</v>
      </c>
      <c r="V302" s="510">
        <f t="shared" ref="V302:V322" si="51">SUM(Q302:U302)</f>
        <v>0</v>
      </c>
      <c r="X302" s="512">
        <f t="shared" ref="X302:X322" si="52">V302+O302</f>
        <v>0</v>
      </c>
    </row>
    <row r="303" spans="4:26" ht="18" customHeight="1">
      <c r="D303" s="506" t="s">
        <v>1247</v>
      </c>
      <c r="E303" s="507" t="s">
        <v>1247</v>
      </c>
      <c r="F303" s="508"/>
      <c r="G303" s="507" t="s">
        <v>1248</v>
      </c>
      <c r="H303" s="509">
        <v>0</v>
      </c>
      <c r="I303" s="509">
        <v>0</v>
      </c>
      <c r="J303" s="509">
        <v>0</v>
      </c>
      <c r="K303" s="509">
        <v>0</v>
      </c>
      <c r="L303" s="509">
        <v>0</v>
      </c>
      <c r="M303" s="509"/>
      <c r="N303" s="509">
        <v>0</v>
      </c>
      <c r="O303" s="510">
        <f t="shared" si="50"/>
        <v>0</v>
      </c>
      <c r="Q303" s="511">
        <f>SUMIF('CF.2'!$H$5:$H$24,'CF.1'!E303,'CF.2'!$J$5:$J$24)-SUMIF('CF.2'!$K$5:$K$24,'CF.1'!E303,'CF.2'!$M$5:$M$24)</f>
        <v>0</v>
      </c>
      <c r="R303" s="509">
        <f>SUMIF('CF.2'!$H$30:$H$59,'CF.1'!E303,'CF.2'!$J$30:$J$59)+SUMIF('CF.2'!$K$30:$K$59,'CF.1'!E303,'CF.2'!$M$30:$M$59)</f>
        <v>0</v>
      </c>
      <c r="S303" s="509">
        <f>SUMIF('CF.2'!$H$64:$H$97,'CF.1'!E303,'CF.2'!$J$64:$J$97)+SUMIF('CF.2'!$K$64:$K$97,'CF.1'!E303,'CF.2'!$M$64:$M$97)</f>
        <v>0</v>
      </c>
      <c r="T303" s="509">
        <f>SUMIF('CF.2'!$H$101:$H$107,'CF.1'!E303,'CF.2'!$J$101:$J$107)+SUMIF('CF.2'!$K$101:$K$107,'CF.1'!E303,'CF.2'!$M$101:$M$107)</f>
        <v>0</v>
      </c>
      <c r="U303" s="509">
        <f>SUMIF('CF.2'!$H$112:$H$120,'CF.1'!E303,'CF.2'!$J$112:$J$120)+SUMIF('CF.2'!$K$112:$K$120,'CF.1'!E303,'CF.2'!$M$112:$M$120)</f>
        <v>0</v>
      </c>
      <c r="V303" s="510">
        <f t="shared" si="51"/>
        <v>0</v>
      </c>
      <c r="X303" s="512">
        <f t="shared" si="52"/>
        <v>0</v>
      </c>
    </row>
    <row r="304" spans="4:26" ht="18" customHeight="1">
      <c r="D304" s="506" t="s">
        <v>1249</v>
      </c>
      <c r="E304" s="507" t="s">
        <v>1249</v>
      </c>
      <c r="F304" s="508" t="s">
        <v>1250</v>
      </c>
      <c r="G304" s="507" t="s">
        <v>1250</v>
      </c>
      <c r="H304" s="509">
        <v>0</v>
      </c>
      <c r="I304" s="509">
        <v>0</v>
      </c>
      <c r="J304" s="509">
        <v>0</v>
      </c>
      <c r="K304" s="509">
        <v>909508500</v>
      </c>
      <c r="L304" s="509">
        <v>0</v>
      </c>
      <c r="M304" s="509"/>
      <c r="N304" s="509">
        <v>0</v>
      </c>
      <c r="O304" s="510">
        <f t="shared" si="50"/>
        <v>909508500</v>
      </c>
      <c r="Q304" s="511">
        <f>SUMIF('CF.2'!$H$5:$H$24,'CF.1'!E304,'CF.2'!$J$5:$J$24)-SUMIF('CF.2'!$K$5:$K$24,'CF.1'!E304,'CF.2'!$M$5:$M$24)</f>
        <v>0</v>
      </c>
      <c r="R304" s="509">
        <f>SUMIF('CF.2'!$H$30:$H$59,'CF.1'!E304,'CF.2'!$J$30:$J$59)+SUMIF('CF.2'!$K$30:$K$59,'CF.1'!E304,'CF.2'!$M$30:$M$59)</f>
        <v>0</v>
      </c>
      <c r="S304" s="509">
        <f>SUMIF('CF.2'!$H$64:$H$97,'CF.1'!E304,'CF.2'!$J$64:$J$97)+SUMIF('CF.2'!$K$64:$K$97,'CF.1'!E304,'CF.2'!$M$64:$M$97)</f>
        <v>-909508500</v>
      </c>
      <c r="T304" s="509">
        <f>SUMIF('CF.2'!$H$101:$H$107,'CF.1'!E304,'CF.2'!$J$101:$J$107)+SUMIF('CF.2'!$K$101:$K$107,'CF.1'!E304,'CF.2'!$M$101:$M$107)</f>
        <v>0</v>
      </c>
      <c r="U304" s="509">
        <f>SUMIF('CF.2'!$H$112:$H$120,'CF.1'!E304,'CF.2'!$J$112:$J$120)+SUMIF('CF.2'!$K$112:$K$120,'CF.1'!E304,'CF.2'!$M$112:$M$120)</f>
        <v>0</v>
      </c>
      <c r="V304" s="510">
        <f t="shared" si="51"/>
        <v>-909508500</v>
      </c>
      <c r="X304" s="512">
        <f t="shared" si="52"/>
        <v>0</v>
      </c>
      <c r="Z304" s="164" t="b">
        <f>X304=0</f>
        <v>1</v>
      </c>
    </row>
    <row r="305" spans="4:24" ht="18" customHeight="1">
      <c r="D305" s="506" t="s">
        <v>1251</v>
      </c>
      <c r="E305" s="507" t="s">
        <v>1251</v>
      </c>
      <c r="F305" s="508"/>
      <c r="G305" s="507" t="s">
        <v>1252</v>
      </c>
      <c r="H305" s="509">
        <v>0</v>
      </c>
      <c r="I305" s="509">
        <v>0</v>
      </c>
      <c r="J305" s="509">
        <v>0</v>
      </c>
      <c r="K305" s="509">
        <v>0</v>
      </c>
      <c r="L305" s="509">
        <v>0</v>
      </c>
      <c r="M305" s="509"/>
      <c r="N305" s="509">
        <v>0</v>
      </c>
      <c r="O305" s="510">
        <f t="shared" si="50"/>
        <v>0</v>
      </c>
      <c r="Q305" s="511">
        <f>SUMIF('CF.2'!$H$5:$H$24,'CF.1'!E305,'CF.2'!$J$5:$J$24)-SUMIF('CF.2'!$K$5:$K$24,'CF.1'!E305,'CF.2'!$M$5:$M$24)</f>
        <v>0</v>
      </c>
      <c r="R305" s="509">
        <f>SUMIF('CF.2'!$H$30:$H$59,'CF.1'!E305,'CF.2'!$J$30:$J$59)+SUMIF('CF.2'!$K$30:$K$59,'CF.1'!E305,'CF.2'!$M$30:$M$59)</f>
        <v>0</v>
      </c>
      <c r="S305" s="509">
        <f>SUMIF('CF.2'!$H$64:$H$97,'CF.1'!E305,'CF.2'!$J$64:$J$97)+SUMIF('CF.2'!$K$64:$K$97,'CF.1'!E305,'CF.2'!$M$64:$M$97)</f>
        <v>0</v>
      </c>
      <c r="T305" s="509">
        <f>SUMIF('CF.2'!$H$101:$H$107,'CF.1'!E305,'CF.2'!$J$101:$J$107)+SUMIF('CF.2'!$K$101:$K$107,'CF.1'!E305,'CF.2'!$M$101:$M$107)</f>
        <v>0</v>
      </c>
      <c r="U305" s="509">
        <f>SUMIF('CF.2'!$H$112:$H$120,'CF.1'!E305,'CF.2'!$J$112:$J$120)+SUMIF('CF.2'!$K$112:$K$120,'CF.1'!E305,'CF.2'!$M$112:$M$120)</f>
        <v>0</v>
      </c>
      <c r="V305" s="510">
        <f t="shared" si="51"/>
        <v>0</v>
      </c>
      <c r="X305" s="512">
        <f t="shared" si="52"/>
        <v>0</v>
      </c>
    </row>
    <row r="306" spans="4:24" ht="18" customHeight="1">
      <c r="D306" s="506" t="s">
        <v>1253</v>
      </c>
      <c r="E306" s="507" t="s">
        <v>1253</v>
      </c>
      <c r="F306" s="508"/>
      <c r="G306" s="507" t="s">
        <v>1254</v>
      </c>
      <c r="H306" s="509">
        <v>0</v>
      </c>
      <c r="I306" s="509">
        <v>0</v>
      </c>
      <c r="J306" s="509">
        <v>0</v>
      </c>
      <c r="K306" s="509">
        <v>0</v>
      </c>
      <c r="L306" s="509">
        <v>0</v>
      </c>
      <c r="M306" s="509"/>
      <c r="N306" s="509">
        <v>0</v>
      </c>
      <c r="O306" s="510">
        <f t="shared" si="50"/>
        <v>0</v>
      </c>
      <c r="Q306" s="511">
        <f>SUMIF('CF.2'!$H$5:$H$24,'CF.1'!E306,'CF.2'!$J$5:$J$24)-SUMIF('CF.2'!$K$5:$K$24,'CF.1'!E306,'CF.2'!$M$5:$M$24)</f>
        <v>0</v>
      </c>
      <c r="R306" s="509">
        <f>SUMIF('CF.2'!$H$30:$H$59,'CF.1'!E306,'CF.2'!$J$30:$J$59)+SUMIF('CF.2'!$K$30:$K$59,'CF.1'!E306,'CF.2'!$M$30:$M$59)</f>
        <v>0</v>
      </c>
      <c r="S306" s="509">
        <f>SUMIF('CF.2'!$H$64:$H$97,'CF.1'!E306,'CF.2'!$J$64:$J$97)+SUMIF('CF.2'!$K$64:$K$97,'CF.1'!E306,'CF.2'!$M$64:$M$97)</f>
        <v>0</v>
      </c>
      <c r="T306" s="509">
        <f>SUMIF('CF.2'!$H$101:$H$107,'CF.1'!E306,'CF.2'!$J$101:$J$107)+SUMIF('CF.2'!$K$101:$K$107,'CF.1'!E306,'CF.2'!$M$101:$M$107)</f>
        <v>0</v>
      </c>
      <c r="U306" s="509">
        <f>SUMIF('CF.2'!$H$112:$H$120,'CF.1'!E306,'CF.2'!$J$112:$J$120)+SUMIF('CF.2'!$K$112:$K$120,'CF.1'!E306,'CF.2'!$M$112:$M$120)</f>
        <v>0</v>
      </c>
      <c r="V306" s="510">
        <f t="shared" si="51"/>
        <v>0</v>
      </c>
      <c r="X306" s="512">
        <f t="shared" si="52"/>
        <v>0</v>
      </c>
    </row>
    <row r="307" spans="4:24" ht="18" customHeight="1">
      <c r="D307" s="506" t="s">
        <v>1255</v>
      </c>
      <c r="E307" s="507" t="s">
        <v>1255</v>
      </c>
      <c r="F307" s="508"/>
      <c r="G307" s="507" t="s">
        <v>1256</v>
      </c>
      <c r="H307" s="509">
        <v>0</v>
      </c>
      <c r="I307" s="509">
        <v>0</v>
      </c>
      <c r="J307" s="509">
        <v>0</v>
      </c>
      <c r="K307" s="509">
        <v>0</v>
      </c>
      <c r="L307" s="509">
        <v>0</v>
      </c>
      <c r="M307" s="509"/>
      <c r="N307" s="509">
        <v>0</v>
      </c>
      <c r="O307" s="510">
        <f t="shared" si="50"/>
        <v>0</v>
      </c>
      <c r="Q307" s="511">
        <f>SUMIF('CF.2'!$H$5:$H$24,'CF.1'!E307,'CF.2'!$J$5:$J$24)-SUMIF('CF.2'!$K$5:$K$24,'CF.1'!E307,'CF.2'!$M$5:$M$24)</f>
        <v>0</v>
      </c>
      <c r="R307" s="509">
        <f>SUMIF('CF.2'!$H$30:$H$59,'CF.1'!E307,'CF.2'!$J$30:$J$59)+SUMIF('CF.2'!$K$30:$K$59,'CF.1'!E307,'CF.2'!$M$30:$M$59)</f>
        <v>0</v>
      </c>
      <c r="S307" s="509">
        <f>SUMIF('CF.2'!$H$64:$H$97,'CF.1'!E307,'CF.2'!$J$64:$J$97)+SUMIF('CF.2'!$K$64:$K$97,'CF.1'!E307,'CF.2'!$M$64:$M$97)</f>
        <v>0</v>
      </c>
      <c r="T307" s="509">
        <f>SUMIF('CF.2'!$H$101:$H$107,'CF.1'!E307,'CF.2'!$J$101:$J$107)+SUMIF('CF.2'!$K$101:$K$107,'CF.1'!E307,'CF.2'!$M$101:$M$107)</f>
        <v>0</v>
      </c>
      <c r="U307" s="509">
        <f>SUMIF('CF.2'!$H$112:$H$120,'CF.1'!E307,'CF.2'!$J$112:$J$120)+SUMIF('CF.2'!$K$112:$K$120,'CF.1'!E307,'CF.2'!$M$112:$M$120)</f>
        <v>0</v>
      </c>
      <c r="V307" s="510">
        <f t="shared" si="51"/>
        <v>0</v>
      </c>
      <c r="X307" s="512">
        <f t="shared" si="52"/>
        <v>0</v>
      </c>
    </row>
    <row r="308" spans="4:24" ht="18" customHeight="1">
      <c r="D308" s="506" t="s">
        <v>1257</v>
      </c>
      <c r="E308" s="507" t="s">
        <v>1257</v>
      </c>
      <c r="F308" s="508"/>
      <c r="G308" s="507" t="s">
        <v>1258</v>
      </c>
      <c r="H308" s="509">
        <v>0</v>
      </c>
      <c r="I308" s="509">
        <v>0</v>
      </c>
      <c r="J308" s="509">
        <v>0</v>
      </c>
      <c r="K308" s="509">
        <v>0</v>
      </c>
      <c r="L308" s="509">
        <v>0</v>
      </c>
      <c r="M308" s="509"/>
      <c r="N308" s="509">
        <v>0</v>
      </c>
      <c r="O308" s="510">
        <f t="shared" si="50"/>
        <v>0</v>
      </c>
      <c r="Q308" s="511">
        <f>SUMIF('CF.2'!$H$5:$H$24,'CF.1'!E308,'CF.2'!$J$5:$J$24)-SUMIF('CF.2'!$K$5:$K$24,'CF.1'!E308,'CF.2'!$M$5:$M$24)</f>
        <v>0</v>
      </c>
      <c r="R308" s="509">
        <f>SUMIF('CF.2'!$H$30:$H$59,'CF.1'!E308,'CF.2'!$J$30:$J$59)+SUMIF('CF.2'!$K$30:$K$59,'CF.1'!E308,'CF.2'!$M$30:$M$59)</f>
        <v>0</v>
      </c>
      <c r="S308" s="509">
        <f>SUMIF('CF.2'!$H$64:$H$97,'CF.1'!E308,'CF.2'!$J$64:$J$97)+SUMIF('CF.2'!$K$64:$K$97,'CF.1'!E308,'CF.2'!$M$64:$M$97)</f>
        <v>0</v>
      </c>
      <c r="T308" s="509">
        <f>SUMIF('CF.2'!$H$101:$H$107,'CF.1'!E308,'CF.2'!$J$101:$J$107)+SUMIF('CF.2'!$K$101:$K$107,'CF.1'!E308,'CF.2'!$M$101:$M$107)</f>
        <v>0</v>
      </c>
      <c r="U308" s="509">
        <f>SUMIF('CF.2'!$H$112:$H$120,'CF.1'!E308,'CF.2'!$J$112:$J$120)+SUMIF('CF.2'!$K$112:$K$120,'CF.1'!E308,'CF.2'!$M$112:$M$120)</f>
        <v>0</v>
      </c>
      <c r="V308" s="510">
        <f t="shared" si="51"/>
        <v>0</v>
      </c>
      <c r="X308" s="512">
        <f t="shared" si="52"/>
        <v>0</v>
      </c>
    </row>
    <row r="309" spans="4:24" ht="18" customHeight="1">
      <c r="D309" s="506" t="s">
        <v>1259</v>
      </c>
      <c r="E309" s="507" t="s">
        <v>1259</v>
      </c>
      <c r="F309" s="508"/>
      <c r="G309" s="507" t="s">
        <v>1260</v>
      </c>
      <c r="H309" s="509">
        <v>0</v>
      </c>
      <c r="I309" s="509">
        <v>0</v>
      </c>
      <c r="J309" s="509">
        <v>0</v>
      </c>
      <c r="K309" s="509">
        <v>0</v>
      </c>
      <c r="L309" s="509">
        <v>0</v>
      </c>
      <c r="M309" s="509"/>
      <c r="N309" s="509">
        <v>0</v>
      </c>
      <c r="O309" s="510">
        <f t="shared" si="50"/>
        <v>0</v>
      </c>
      <c r="Q309" s="511">
        <f>SUMIF('CF.2'!$H$5:$H$24,'CF.1'!E309,'CF.2'!$J$5:$J$24)-SUMIF('CF.2'!$K$5:$K$24,'CF.1'!E309,'CF.2'!$M$5:$M$24)</f>
        <v>0</v>
      </c>
      <c r="R309" s="509">
        <f>SUMIF('CF.2'!$H$30:$H$59,'CF.1'!E309,'CF.2'!$J$30:$J$59)+SUMIF('CF.2'!$K$30:$K$59,'CF.1'!E309,'CF.2'!$M$30:$M$59)</f>
        <v>0</v>
      </c>
      <c r="S309" s="509">
        <f>SUMIF('CF.2'!$H$64:$H$97,'CF.1'!E309,'CF.2'!$J$64:$J$97)+SUMIF('CF.2'!$K$64:$K$97,'CF.1'!E309,'CF.2'!$M$64:$M$97)</f>
        <v>0</v>
      </c>
      <c r="T309" s="509">
        <f>SUMIF('CF.2'!$H$101:$H$107,'CF.1'!E309,'CF.2'!$J$101:$J$107)+SUMIF('CF.2'!$K$101:$K$107,'CF.1'!E309,'CF.2'!$M$101:$M$107)</f>
        <v>0</v>
      </c>
      <c r="U309" s="509">
        <f>SUMIF('CF.2'!$H$112:$H$120,'CF.1'!E309,'CF.2'!$J$112:$J$120)+SUMIF('CF.2'!$K$112:$K$120,'CF.1'!E309,'CF.2'!$M$112:$M$120)</f>
        <v>0</v>
      </c>
      <c r="V309" s="510">
        <f t="shared" si="51"/>
        <v>0</v>
      </c>
      <c r="X309" s="512">
        <f t="shared" si="52"/>
        <v>0</v>
      </c>
    </row>
    <row r="310" spans="4:24" ht="18" customHeight="1">
      <c r="D310" s="506" t="s">
        <v>1261</v>
      </c>
      <c r="E310" s="507" t="s">
        <v>1261</v>
      </c>
      <c r="F310" s="508"/>
      <c r="G310" s="507" t="s">
        <v>1262</v>
      </c>
      <c r="H310" s="509">
        <v>0</v>
      </c>
      <c r="I310" s="509">
        <v>0</v>
      </c>
      <c r="J310" s="509">
        <v>0</v>
      </c>
      <c r="K310" s="509">
        <v>0</v>
      </c>
      <c r="L310" s="509">
        <v>0</v>
      </c>
      <c r="M310" s="509"/>
      <c r="N310" s="509">
        <v>0</v>
      </c>
      <c r="O310" s="510">
        <f t="shared" si="50"/>
        <v>0</v>
      </c>
      <c r="Q310" s="511">
        <f>SUMIF('CF.2'!$H$5:$H$24,'CF.1'!E310,'CF.2'!$J$5:$J$24)-SUMIF('CF.2'!$K$5:$K$24,'CF.1'!E310,'CF.2'!$M$5:$M$24)</f>
        <v>0</v>
      </c>
      <c r="R310" s="509">
        <f>SUMIF('CF.2'!$H$30:$H$59,'CF.1'!E310,'CF.2'!$J$30:$J$59)+SUMIF('CF.2'!$K$30:$K$59,'CF.1'!E310,'CF.2'!$M$30:$M$59)</f>
        <v>0</v>
      </c>
      <c r="S310" s="509">
        <f>SUMIF('CF.2'!$H$64:$H$97,'CF.1'!E310,'CF.2'!$J$64:$J$97)+SUMIF('CF.2'!$K$64:$K$97,'CF.1'!E310,'CF.2'!$M$64:$M$97)</f>
        <v>0</v>
      </c>
      <c r="T310" s="509">
        <f>SUMIF('CF.2'!$H$101:$H$107,'CF.1'!E310,'CF.2'!$J$101:$J$107)+SUMIF('CF.2'!$K$101:$K$107,'CF.1'!E310,'CF.2'!$M$101:$M$107)</f>
        <v>0</v>
      </c>
      <c r="U310" s="509">
        <f>SUMIF('CF.2'!$H$112:$H$120,'CF.1'!E310,'CF.2'!$J$112:$J$120)+SUMIF('CF.2'!$K$112:$K$120,'CF.1'!E310,'CF.2'!$M$112:$M$120)</f>
        <v>0</v>
      </c>
      <c r="V310" s="510">
        <f t="shared" si="51"/>
        <v>0</v>
      </c>
      <c r="X310" s="512">
        <f t="shared" si="52"/>
        <v>0</v>
      </c>
    </row>
    <row r="311" spans="4:24" ht="18" customHeight="1">
      <c r="D311" s="506" t="s">
        <v>1263</v>
      </c>
      <c r="E311" s="507" t="s">
        <v>1263</v>
      </c>
      <c r="F311" s="508"/>
      <c r="G311" s="507" t="s">
        <v>1038</v>
      </c>
      <c r="H311" s="509">
        <v>0</v>
      </c>
      <c r="I311" s="509">
        <v>0</v>
      </c>
      <c r="J311" s="509">
        <v>0</v>
      </c>
      <c r="K311" s="509">
        <v>0</v>
      </c>
      <c r="L311" s="509">
        <v>0</v>
      </c>
      <c r="M311" s="509"/>
      <c r="N311" s="509">
        <v>0</v>
      </c>
      <c r="O311" s="510">
        <f t="shared" si="50"/>
        <v>0</v>
      </c>
      <c r="Q311" s="511">
        <f>SUMIF('CF.2'!$H$5:$H$24,'CF.1'!E311,'CF.2'!$J$5:$J$24)-SUMIF('CF.2'!$K$5:$K$24,'CF.1'!E311,'CF.2'!$M$5:$M$24)</f>
        <v>0</v>
      </c>
      <c r="R311" s="509">
        <f>SUMIF('CF.2'!$H$30:$H$59,'CF.1'!E311,'CF.2'!$J$30:$J$59)+SUMIF('CF.2'!$K$30:$K$59,'CF.1'!E311,'CF.2'!$M$30:$M$59)</f>
        <v>0</v>
      </c>
      <c r="S311" s="509">
        <f>SUMIF('CF.2'!$H$64:$H$97,'CF.1'!E311,'CF.2'!$J$64:$J$97)+SUMIF('CF.2'!$K$64:$K$97,'CF.1'!E311,'CF.2'!$M$64:$M$97)</f>
        <v>0</v>
      </c>
      <c r="T311" s="509">
        <f>SUMIF('CF.2'!$H$101:$H$107,'CF.1'!E311,'CF.2'!$J$101:$J$107)+SUMIF('CF.2'!$K$101:$K$107,'CF.1'!E311,'CF.2'!$M$101:$M$107)</f>
        <v>0</v>
      </c>
      <c r="U311" s="509">
        <f>SUMIF('CF.2'!$H$112:$H$120,'CF.1'!E311,'CF.2'!$J$112:$J$120)+SUMIF('CF.2'!$K$112:$K$120,'CF.1'!E311,'CF.2'!$M$112:$M$120)</f>
        <v>0</v>
      </c>
      <c r="V311" s="510">
        <f t="shared" si="51"/>
        <v>0</v>
      </c>
      <c r="X311" s="512">
        <f t="shared" si="52"/>
        <v>0</v>
      </c>
    </row>
    <row r="312" spans="4:24" ht="18" customHeight="1">
      <c r="D312" s="506" t="s">
        <v>1264</v>
      </c>
      <c r="E312" s="507" t="s">
        <v>1264</v>
      </c>
      <c r="F312" s="508"/>
      <c r="G312" s="507" t="s">
        <v>1040</v>
      </c>
      <c r="H312" s="509">
        <v>0</v>
      </c>
      <c r="I312" s="509">
        <v>0</v>
      </c>
      <c r="J312" s="509">
        <v>0</v>
      </c>
      <c r="K312" s="509">
        <v>0</v>
      </c>
      <c r="L312" s="509">
        <v>0</v>
      </c>
      <c r="M312" s="509"/>
      <c r="N312" s="509">
        <v>0</v>
      </c>
      <c r="O312" s="510">
        <f t="shared" si="50"/>
        <v>0</v>
      </c>
      <c r="Q312" s="511">
        <f>SUMIF('CF.2'!$H$5:$H$24,'CF.1'!E312,'CF.2'!$J$5:$J$24)-SUMIF('CF.2'!$K$5:$K$24,'CF.1'!E312,'CF.2'!$M$5:$M$24)</f>
        <v>0</v>
      </c>
      <c r="R312" s="509">
        <f>SUMIF('CF.2'!$H$30:$H$59,'CF.1'!E312,'CF.2'!$J$30:$J$59)+SUMIF('CF.2'!$K$30:$K$59,'CF.1'!E312,'CF.2'!$M$30:$M$59)</f>
        <v>0</v>
      </c>
      <c r="S312" s="509">
        <f>SUMIF('CF.2'!$H$64:$H$97,'CF.1'!E312,'CF.2'!$J$64:$J$97)+SUMIF('CF.2'!$K$64:$K$97,'CF.1'!E312,'CF.2'!$M$64:$M$97)</f>
        <v>0</v>
      </c>
      <c r="T312" s="509">
        <f>SUMIF('CF.2'!$H$101:$H$107,'CF.1'!E312,'CF.2'!$J$101:$J$107)+SUMIF('CF.2'!$K$101:$K$107,'CF.1'!E312,'CF.2'!$M$101:$M$107)</f>
        <v>0</v>
      </c>
      <c r="U312" s="509">
        <f>SUMIF('CF.2'!$H$112:$H$120,'CF.1'!E312,'CF.2'!$J$112:$J$120)+SUMIF('CF.2'!$K$112:$K$120,'CF.1'!E312,'CF.2'!$M$112:$M$120)</f>
        <v>0</v>
      </c>
      <c r="V312" s="510">
        <f t="shared" si="51"/>
        <v>0</v>
      </c>
      <c r="X312" s="512">
        <f t="shared" si="52"/>
        <v>0</v>
      </c>
    </row>
    <row r="313" spans="4:24" ht="18" customHeight="1">
      <c r="D313" s="506" t="s">
        <v>1265</v>
      </c>
      <c r="E313" s="507" t="s">
        <v>1265</v>
      </c>
      <c r="F313" s="508"/>
      <c r="G313" s="507" t="s">
        <v>1266</v>
      </c>
      <c r="H313" s="509">
        <v>0</v>
      </c>
      <c r="I313" s="509">
        <v>0</v>
      </c>
      <c r="J313" s="509">
        <v>0</v>
      </c>
      <c r="K313" s="509">
        <v>0</v>
      </c>
      <c r="L313" s="509">
        <v>0</v>
      </c>
      <c r="M313" s="509"/>
      <c r="N313" s="509">
        <v>0</v>
      </c>
      <c r="O313" s="510">
        <f t="shared" si="50"/>
        <v>0</v>
      </c>
      <c r="Q313" s="511">
        <f>SUMIF('CF.2'!$H$5:$H$24,'CF.1'!E313,'CF.2'!$J$5:$J$24)-SUMIF('CF.2'!$K$5:$K$24,'CF.1'!E313,'CF.2'!$M$5:$M$24)</f>
        <v>0</v>
      </c>
      <c r="R313" s="509">
        <f>SUMIF('CF.2'!$H$30:$H$59,'CF.1'!E313,'CF.2'!$J$30:$J$59)+SUMIF('CF.2'!$K$30:$K$59,'CF.1'!E313,'CF.2'!$M$30:$M$59)</f>
        <v>0</v>
      </c>
      <c r="S313" s="509">
        <f>SUMIF('CF.2'!$H$64:$H$97,'CF.1'!E313,'CF.2'!$J$64:$J$97)+SUMIF('CF.2'!$K$64:$K$97,'CF.1'!E313,'CF.2'!$M$64:$M$97)</f>
        <v>0</v>
      </c>
      <c r="T313" s="509">
        <f>SUMIF('CF.2'!$H$101:$H$107,'CF.1'!E313,'CF.2'!$J$101:$J$107)+SUMIF('CF.2'!$K$101:$K$107,'CF.1'!E313,'CF.2'!$M$101:$M$107)</f>
        <v>0</v>
      </c>
      <c r="U313" s="509">
        <f>SUMIF('CF.2'!$H$112:$H$120,'CF.1'!E313,'CF.2'!$J$112:$J$120)+SUMIF('CF.2'!$K$112:$K$120,'CF.1'!E313,'CF.2'!$M$112:$M$120)</f>
        <v>0</v>
      </c>
      <c r="V313" s="510">
        <f t="shared" si="51"/>
        <v>0</v>
      </c>
      <c r="X313" s="512">
        <f t="shared" si="52"/>
        <v>0</v>
      </c>
    </row>
    <row r="314" spans="4:24" ht="18" customHeight="1">
      <c r="D314" s="506" t="s">
        <v>1267</v>
      </c>
      <c r="E314" s="507" t="s">
        <v>1267</v>
      </c>
      <c r="F314" s="508"/>
      <c r="G314" s="507" t="s">
        <v>1268</v>
      </c>
      <c r="H314" s="509">
        <v>0</v>
      </c>
      <c r="I314" s="509">
        <v>0</v>
      </c>
      <c r="J314" s="509">
        <v>0</v>
      </c>
      <c r="K314" s="509">
        <v>0</v>
      </c>
      <c r="L314" s="509">
        <v>0</v>
      </c>
      <c r="M314" s="509"/>
      <c r="N314" s="509">
        <v>0</v>
      </c>
      <c r="O314" s="510">
        <f t="shared" si="50"/>
        <v>0</v>
      </c>
      <c r="Q314" s="511">
        <f>SUMIF('CF.2'!$H$5:$H$24,'CF.1'!E314,'CF.2'!$J$5:$J$24)-SUMIF('CF.2'!$K$5:$K$24,'CF.1'!E314,'CF.2'!$M$5:$M$24)</f>
        <v>0</v>
      </c>
      <c r="R314" s="509">
        <f>SUMIF('CF.2'!$H$30:$H$59,'CF.1'!E314,'CF.2'!$J$30:$J$59)+SUMIF('CF.2'!$K$30:$K$59,'CF.1'!E314,'CF.2'!$M$30:$M$59)</f>
        <v>0</v>
      </c>
      <c r="S314" s="509">
        <f>SUMIF('CF.2'!$H$64:$H$97,'CF.1'!E314,'CF.2'!$J$64:$J$97)+SUMIF('CF.2'!$K$64:$K$97,'CF.1'!E314,'CF.2'!$M$64:$M$97)</f>
        <v>0</v>
      </c>
      <c r="T314" s="509">
        <f>SUMIF('CF.2'!$H$101:$H$107,'CF.1'!E314,'CF.2'!$J$101:$J$107)+SUMIF('CF.2'!$K$101:$K$107,'CF.1'!E314,'CF.2'!$M$101:$M$107)</f>
        <v>0</v>
      </c>
      <c r="U314" s="509">
        <f>SUMIF('CF.2'!$H$112:$H$120,'CF.1'!E314,'CF.2'!$J$112:$J$120)+SUMIF('CF.2'!$K$112:$K$120,'CF.1'!E314,'CF.2'!$M$112:$M$120)</f>
        <v>0</v>
      </c>
      <c r="V314" s="510">
        <f t="shared" si="51"/>
        <v>0</v>
      </c>
      <c r="X314" s="512">
        <f t="shared" si="52"/>
        <v>0</v>
      </c>
    </row>
    <row r="315" spans="4:24" ht="18" customHeight="1">
      <c r="D315" s="506" t="s">
        <v>1269</v>
      </c>
      <c r="E315" s="507" t="s">
        <v>1269</v>
      </c>
      <c r="F315" s="508"/>
      <c r="G315" s="507" t="s">
        <v>1270</v>
      </c>
      <c r="H315" s="509">
        <v>0</v>
      </c>
      <c r="I315" s="509">
        <v>0</v>
      </c>
      <c r="J315" s="509">
        <v>0</v>
      </c>
      <c r="K315" s="509">
        <v>0</v>
      </c>
      <c r="L315" s="509">
        <v>0</v>
      </c>
      <c r="M315" s="509"/>
      <c r="N315" s="509">
        <v>0</v>
      </c>
      <c r="O315" s="510">
        <f t="shared" si="50"/>
        <v>0</v>
      </c>
      <c r="Q315" s="511">
        <f>SUMIF('CF.2'!$H$5:$H$24,'CF.1'!E315,'CF.2'!$J$5:$J$24)-SUMIF('CF.2'!$K$5:$K$24,'CF.1'!E315,'CF.2'!$M$5:$M$24)</f>
        <v>-7613941909</v>
      </c>
      <c r="R315" s="509">
        <f>SUMIF('CF.2'!$H$30:$H$59,'CF.1'!E315,'CF.2'!$J$30:$J$59)+SUMIF('CF.2'!$K$30:$K$59,'CF.1'!E315,'CF.2'!$M$30:$M$59)</f>
        <v>0</v>
      </c>
      <c r="S315" s="509">
        <f>SUMIF('CF.2'!$H$64:$H$97,'CF.1'!E315,'CF.2'!$J$64:$J$97)+SUMIF('CF.2'!$K$64:$K$97,'CF.1'!E315,'CF.2'!$M$64:$M$97)</f>
        <v>0</v>
      </c>
      <c r="T315" s="509">
        <f>SUMIF('CF.2'!$H$101:$H$107,'CF.1'!E315,'CF.2'!$J$101:$J$107)+SUMIF('CF.2'!$K$101:$K$107,'CF.1'!E315,'CF.2'!$M$101:$M$107)</f>
        <v>7613941909</v>
      </c>
      <c r="U315" s="509">
        <f>SUMIF('CF.2'!$H$112:$H$120,'CF.1'!E315,'CF.2'!$J$112:$J$120)+SUMIF('CF.2'!$K$112:$K$120,'CF.1'!E315,'CF.2'!$M$112:$M$120)</f>
        <v>0</v>
      </c>
      <c r="V315" s="510">
        <f t="shared" si="51"/>
        <v>0</v>
      </c>
      <c r="X315" s="512">
        <f t="shared" si="52"/>
        <v>0</v>
      </c>
    </row>
    <row r="316" spans="4:24" ht="18" customHeight="1">
      <c r="D316" s="506" t="s">
        <v>1271</v>
      </c>
      <c r="E316" s="507" t="s">
        <v>1271</v>
      </c>
      <c r="F316" s="508"/>
      <c r="G316" s="507" t="s">
        <v>1272</v>
      </c>
      <c r="H316" s="509">
        <v>0</v>
      </c>
      <c r="I316" s="509">
        <v>0</v>
      </c>
      <c r="J316" s="509">
        <v>0</v>
      </c>
      <c r="K316" s="509">
        <v>0</v>
      </c>
      <c r="L316" s="509">
        <v>0</v>
      </c>
      <c r="M316" s="509"/>
      <c r="N316" s="509">
        <v>0</v>
      </c>
      <c r="O316" s="510">
        <f t="shared" si="50"/>
        <v>0</v>
      </c>
      <c r="Q316" s="511">
        <f>SUMIF('CF.2'!$H$5:$H$24,'CF.1'!E316,'CF.2'!$J$5:$J$24)-SUMIF('CF.2'!$K$5:$K$24,'CF.1'!E316,'CF.2'!$M$5:$M$24)</f>
        <v>0</v>
      </c>
      <c r="R316" s="509">
        <f>SUMIF('CF.2'!$H$30:$H$59,'CF.1'!E316,'CF.2'!$J$30:$J$59)+SUMIF('CF.2'!$K$30:$K$59,'CF.1'!E316,'CF.2'!$M$30:$M$59)</f>
        <v>0</v>
      </c>
      <c r="S316" s="509">
        <f>SUMIF('CF.2'!$H$64:$H$97,'CF.1'!E316,'CF.2'!$J$64:$J$97)+SUMIF('CF.2'!$K$64:$K$97,'CF.1'!E316,'CF.2'!$M$64:$M$97)</f>
        <v>0</v>
      </c>
      <c r="T316" s="509">
        <f>SUMIF('CF.2'!$H$101:$H$107,'CF.1'!E316,'CF.2'!$J$101:$J$107)+SUMIF('CF.2'!$K$101:$K$107,'CF.1'!E316,'CF.2'!$M$101:$M$107)</f>
        <v>0</v>
      </c>
      <c r="U316" s="509">
        <f>SUMIF('CF.2'!$H$112:$H$120,'CF.1'!E316,'CF.2'!$J$112:$J$120)+SUMIF('CF.2'!$K$112:$K$120,'CF.1'!E316,'CF.2'!$M$112:$M$120)</f>
        <v>0</v>
      </c>
      <c r="V316" s="510">
        <f t="shared" si="51"/>
        <v>0</v>
      </c>
      <c r="X316" s="512">
        <f t="shared" si="52"/>
        <v>0</v>
      </c>
    </row>
    <row r="317" spans="4:24" ht="18" customHeight="1">
      <c r="D317" s="506" t="s">
        <v>1273</v>
      </c>
      <c r="E317" s="507" t="s">
        <v>1273</v>
      </c>
      <c r="F317" s="508"/>
      <c r="G317" s="507" t="s">
        <v>1274</v>
      </c>
      <c r="H317" s="509">
        <v>0</v>
      </c>
      <c r="I317" s="509">
        <v>0</v>
      </c>
      <c r="J317" s="509">
        <v>0</v>
      </c>
      <c r="K317" s="509">
        <v>0</v>
      </c>
      <c r="L317" s="509">
        <v>0</v>
      </c>
      <c r="M317" s="509"/>
      <c r="N317" s="509">
        <v>0</v>
      </c>
      <c r="O317" s="510">
        <f t="shared" si="50"/>
        <v>0</v>
      </c>
      <c r="Q317" s="511">
        <f>SUMIF('CF.2'!$H$5:$H$24,'CF.1'!E317,'CF.2'!$J$5:$J$24)-SUMIF('CF.2'!$K$5:$K$24,'CF.1'!E317,'CF.2'!$M$5:$M$24)</f>
        <v>0</v>
      </c>
      <c r="R317" s="509">
        <f>SUMIF('CF.2'!$H$30:$H$59,'CF.1'!E317,'CF.2'!$J$30:$J$59)+SUMIF('CF.2'!$K$30:$K$59,'CF.1'!E317,'CF.2'!$M$30:$M$59)</f>
        <v>0</v>
      </c>
      <c r="S317" s="509">
        <f>SUMIF('CF.2'!$H$64:$H$97,'CF.1'!E317,'CF.2'!$J$64:$J$97)+SUMIF('CF.2'!$K$64:$K$97,'CF.1'!E317,'CF.2'!$M$64:$M$97)</f>
        <v>0</v>
      </c>
      <c r="T317" s="509">
        <f>SUMIF('CF.2'!$H$101:$H$107,'CF.1'!E317,'CF.2'!$J$101:$J$107)+SUMIF('CF.2'!$K$101:$K$107,'CF.1'!E317,'CF.2'!$M$101:$M$107)</f>
        <v>0</v>
      </c>
      <c r="U317" s="509">
        <f>SUMIF('CF.2'!$H$112:$H$120,'CF.1'!E317,'CF.2'!$J$112:$J$120)+SUMIF('CF.2'!$K$112:$K$120,'CF.1'!E317,'CF.2'!$M$112:$M$120)</f>
        <v>0</v>
      </c>
      <c r="V317" s="510">
        <f t="shared" si="51"/>
        <v>0</v>
      </c>
      <c r="X317" s="512">
        <f t="shared" si="52"/>
        <v>0</v>
      </c>
    </row>
    <row r="318" spans="4:24" ht="18" customHeight="1">
      <c r="D318" s="506" t="s">
        <v>1275</v>
      </c>
      <c r="E318" s="507" t="s">
        <v>1275</v>
      </c>
      <c r="F318" s="508"/>
      <c r="G318" s="507" t="s">
        <v>1276</v>
      </c>
      <c r="H318" s="509">
        <v>0</v>
      </c>
      <c r="I318" s="509">
        <v>0</v>
      </c>
      <c r="J318" s="509">
        <v>0</v>
      </c>
      <c r="K318" s="509">
        <v>0</v>
      </c>
      <c r="L318" s="509">
        <v>0</v>
      </c>
      <c r="M318" s="509"/>
      <c r="N318" s="509">
        <v>0</v>
      </c>
      <c r="O318" s="510">
        <f t="shared" si="50"/>
        <v>0</v>
      </c>
      <c r="Q318" s="511">
        <f>SUMIF('CF.2'!$H$5:$H$24,'CF.1'!E318,'CF.2'!$J$5:$J$24)-SUMIF('CF.2'!$K$5:$K$24,'CF.1'!E318,'CF.2'!$M$5:$M$24)</f>
        <v>0</v>
      </c>
      <c r="R318" s="509">
        <f>SUMIF('CF.2'!$H$30:$H$59,'CF.1'!E318,'CF.2'!$J$30:$J$59)+SUMIF('CF.2'!$K$30:$K$59,'CF.1'!E318,'CF.2'!$M$30:$M$59)</f>
        <v>0</v>
      </c>
      <c r="S318" s="509">
        <f>SUMIF('CF.2'!$H$64:$H$97,'CF.1'!E318,'CF.2'!$J$64:$J$97)+SUMIF('CF.2'!$K$64:$K$97,'CF.1'!E318,'CF.2'!$M$64:$M$97)</f>
        <v>0</v>
      </c>
      <c r="T318" s="509">
        <f>SUMIF('CF.2'!$H$101:$H$107,'CF.1'!E318,'CF.2'!$J$101:$J$107)+SUMIF('CF.2'!$K$101:$K$107,'CF.1'!E318,'CF.2'!$M$101:$M$107)</f>
        <v>0</v>
      </c>
      <c r="U318" s="509">
        <f>SUMIF('CF.2'!$H$112:$H$120,'CF.1'!E318,'CF.2'!$J$112:$J$120)+SUMIF('CF.2'!$K$112:$K$120,'CF.1'!E318,'CF.2'!$M$112:$M$120)</f>
        <v>0</v>
      </c>
      <c r="V318" s="510">
        <f t="shared" si="51"/>
        <v>0</v>
      </c>
      <c r="X318" s="512">
        <f t="shared" si="52"/>
        <v>0</v>
      </c>
    </row>
    <row r="319" spans="4:24" ht="18" customHeight="1">
      <c r="D319" s="506" t="s">
        <v>1277</v>
      </c>
      <c r="E319" s="507" t="s">
        <v>1277</v>
      </c>
      <c r="F319" s="508"/>
      <c r="G319" s="507" t="s">
        <v>1278</v>
      </c>
      <c r="H319" s="509">
        <v>0</v>
      </c>
      <c r="I319" s="509">
        <v>0</v>
      </c>
      <c r="J319" s="509">
        <v>0</v>
      </c>
      <c r="K319" s="509">
        <v>0</v>
      </c>
      <c r="L319" s="509">
        <v>0</v>
      </c>
      <c r="M319" s="509"/>
      <c r="N319" s="509">
        <v>0</v>
      </c>
      <c r="O319" s="510">
        <f t="shared" si="50"/>
        <v>0</v>
      </c>
      <c r="Q319" s="511">
        <f>SUMIF('CF.2'!$H$5:$H$24,'CF.1'!E319,'CF.2'!$J$5:$J$24)-SUMIF('CF.2'!$K$5:$K$24,'CF.1'!E319,'CF.2'!$M$5:$M$24)</f>
        <v>0</v>
      </c>
      <c r="R319" s="509">
        <f>SUMIF('CF.2'!$H$30:$H$59,'CF.1'!E319,'CF.2'!$J$30:$J$59)+SUMIF('CF.2'!$K$30:$K$59,'CF.1'!E319,'CF.2'!$M$30:$M$59)</f>
        <v>0</v>
      </c>
      <c r="S319" s="509">
        <f>SUMIF('CF.2'!$H$64:$H$97,'CF.1'!E319,'CF.2'!$J$64:$J$97)+SUMIF('CF.2'!$K$64:$K$97,'CF.1'!E319,'CF.2'!$M$64:$M$97)</f>
        <v>0</v>
      </c>
      <c r="T319" s="509">
        <f>SUMIF('CF.2'!$H$101:$H$107,'CF.1'!E319,'CF.2'!$J$101:$J$107)+SUMIF('CF.2'!$K$101:$K$107,'CF.1'!E319,'CF.2'!$M$101:$M$107)</f>
        <v>0</v>
      </c>
      <c r="U319" s="509">
        <f>SUMIF('CF.2'!$H$112:$H$120,'CF.1'!E319,'CF.2'!$J$112:$J$120)+SUMIF('CF.2'!$K$112:$K$120,'CF.1'!E319,'CF.2'!$M$112:$M$120)</f>
        <v>0</v>
      </c>
      <c r="V319" s="510">
        <f t="shared" si="51"/>
        <v>0</v>
      </c>
      <c r="X319" s="512">
        <f t="shared" si="52"/>
        <v>0</v>
      </c>
    </row>
    <row r="320" spans="4:24" ht="18" customHeight="1">
      <c r="D320" s="506" t="s">
        <v>1279</v>
      </c>
      <c r="E320" s="507" t="s">
        <v>1279</v>
      </c>
      <c r="F320" s="508"/>
      <c r="G320" s="507" t="s">
        <v>1280</v>
      </c>
      <c r="H320" s="509">
        <v>0</v>
      </c>
      <c r="I320" s="509">
        <v>0</v>
      </c>
      <c r="J320" s="509">
        <v>0</v>
      </c>
      <c r="K320" s="509">
        <v>0</v>
      </c>
      <c r="L320" s="509">
        <v>0</v>
      </c>
      <c r="M320" s="509"/>
      <c r="N320" s="509">
        <v>0</v>
      </c>
      <c r="O320" s="510">
        <f t="shared" si="50"/>
        <v>0</v>
      </c>
      <c r="Q320" s="511">
        <f>SUMIF('CF.2'!$H$5:$H$24,'CF.1'!E320,'CF.2'!$J$5:$J$24)-SUMIF('CF.2'!$K$5:$K$24,'CF.1'!E320,'CF.2'!$M$5:$M$24)</f>
        <v>0</v>
      </c>
      <c r="R320" s="509">
        <f>SUMIF('CF.2'!$H$30:$H$59,'CF.1'!E320,'CF.2'!$J$30:$J$59)+SUMIF('CF.2'!$K$30:$K$59,'CF.1'!E320,'CF.2'!$M$30:$M$59)</f>
        <v>0</v>
      </c>
      <c r="S320" s="509">
        <f>SUMIF('CF.2'!$H$64:$H$97,'CF.1'!E320,'CF.2'!$J$64:$J$97)+SUMIF('CF.2'!$K$64:$K$97,'CF.1'!E320,'CF.2'!$M$64:$M$97)</f>
        <v>0</v>
      </c>
      <c r="T320" s="509">
        <f>SUMIF('CF.2'!$H$101:$H$107,'CF.1'!E320,'CF.2'!$J$101:$J$107)+SUMIF('CF.2'!$K$101:$K$107,'CF.1'!E320,'CF.2'!$M$101:$M$107)</f>
        <v>0</v>
      </c>
      <c r="U320" s="509">
        <f>SUMIF('CF.2'!$H$112:$H$120,'CF.1'!E320,'CF.2'!$J$112:$J$120)+SUMIF('CF.2'!$K$112:$K$120,'CF.1'!E320,'CF.2'!$M$112:$M$120)</f>
        <v>0</v>
      </c>
      <c r="V320" s="510">
        <f t="shared" si="51"/>
        <v>0</v>
      </c>
      <c r="X320" s="512">
        <f t="shared" si="52"/>
        <v>0</v>
      </c>
    </row>
    <row r="321" spans="4:26" ht="18" customHeight="1">
      <c r="D321" s="506" t="s">
        <v>1281</v>
      </c>
      <c r="E321" s="507" t="s">
        <v>1281</v>
      </c>
      <c r="F321" s="508"/>
      <c r="G321" s="507" t="s">
        <v>1282</v>
      </c>
      <c r="H321" s="509">
        <v>0</v>
      </c>
      <c r="I321" s="509">
        <v>0</v>
      </c>
      <c r="J321" s="509">
        <v>0</v>
      </c>
      <c r="K321" s="509">
        <v>0</v>
      </c>
      <c r="L321" s="509">
        <v>0</v>
      </c>
      <c r="M321" s="509"/>
      <c r="N321" s="509">
        <v>0</v>
      </c>
      <c r="O321" s="510">
        <f t="shared" si="50"/>
        <v>0</v>
      </c>
      <c r="Q321" s="511">
        <f>SUMIF('CF.2'!$H$5:$H$24,'CF.1'!E321,'CF.2'!$J$5:$J$24)-SUMIF('CF.2'!$K$5:$K$24,'CF.1'!E321,'CF.2'!$M$5:$M$24)</f>
        <v>0</v>
      </c>
      <c r="R321" s="509">
        <f>SUMIF('CF.2'!$H$30:$H$59,'CF.1'!E321,'CF.2'!$J$30:$J$59)+SUMIF('CF.2'!$K$30:$K$59,'CF.1'!E321,'CF.2'!$M$30:$M$59)</f>
        <v>0</v>
      </c>
      <c r="S321" s="509">
        <f>SUMIF('CF.2'!$H$64:$H$97,'CF.1'!E321,'CF.2'!$J$64:$J$97)+SUMIF('CF.2'!$K$64:$K$97,'CF.1'!E321,'CF.2'!$M$64:$M$97)</f>
        <v>0</v>
      </c>
      <c r="T321" s="509">
        <f>SUMIF('CF.2'!$H$101:$H$107,'CF.1'!E321,'CF.2'!$J$101:$J$107)+SUMIF('CF.2'!$K$101:$K$107,'CF.1'!E321,'CF.2'!$M$101:$M$107)</f>
        <v>0</v>
      </c>
      <c r="U321" s="509">
        <f>SUMIF('CF.2'!$H$112:$H$120,'CF.1'!E321,'CF.2'!$J$112:$J$120)+SUMIF('CF.2'!$K$112:$K$120,'CF.1'!E321,'CF.2'!$M$112:$M$120)</f>
        <v>0</v>
      </c>
      <c r="V321" s="510">
        <f t="shared" si="51"/>
        <v>0</v>
      </c>
      <c r="X321" s="512">
        <f t="shared" si="52"/>
        <v>0</v>
      </c>
    </row>
    <row r="322" spans="4:26" ht="18" customHeight="1">
      <c r="D322" s="506" t="s">
        <v>1283</v>
      </c>
      <c r="E322" s="507" t="s">
        <v>1283</v>
      </c>
      <c r="F322" s="508"/>
      <c r="G322" s="507" t="s">
        <v>1284</v>
      </c>
      <c r="H322" s="509">
        <v>0</v>
      </c>
      <c r="I322" s="509">
        <v>0</v>
      </c>
      <c r="J322" s="509">
        <v>0</v>
      </c>
      <c r="K322" s="509">
        <v>0</v>
      </c>
      <c r="L322" s="509">
        <v>0</v>
      </c>
      <c r="M322" s="509"/>
      <c r="N322" s="509">
        <v>0</v>
      </c>
      <c r="O322" s="510">
        <f t="shared" si="50"/>
        <v>0</v>
      </c>
      <c r="Q322" s="511">
        <f>SUMIF('CF.2'!$H$5:$H$24,'CF.1'!E322,'CF.2'!$J$5:$J$24)-SUMIF('CF.2'!$K$5:$K$24,'CF.1'!E322,'CF.2'!$M$5:$M$24)</f>
        <v>0</v>
      </c>
      <c r="R322" s="509">
        <f>SUMIF('CF.2'!$H$30:$H$59,'CF.1'!E322,'CF.2'!$J$30:$J$59)+SUMIF('CF.2'!$K$30:$K$59,'CF.1'!E322,'CF.2'!$M$30:$M$59)</f>
        <v>0</v>
      </c>
      <c r="S322" s="509">
        <f>SUMIF('CF.2'!$H$64:$H$97,'CF.1'!E322,'CF.2'!$J$64:$J$97)+SUMIF('CF.2'!$K$64:$K$97,'CF.1'!E322,'CF.2'!$M$64:$M$97)</f>
        <v>0</v>
      </c>
      <c r="T322" s="509">
        <f>SUMIF('CF.2'!$H$101:$H$107,'CF.1'!E322,'CF.2'!$J$101:$J$107)+SUMIF('CF.2'!$K$101:$K$107,'CF.1'!E322,'CF.2'!$M$101:$M$107)</f>
        <v>0</v>
      </c>
      <c r="U322" s="509">
        <f>SUMIF('CF.2'!$H$112:$H$120,'CF.1'!E322,'CF.2'!$J$112:$J$120)+SUMIF('CF.2'!$K$112:$K$120,'CF.1'!E322,'CF.2'!$M$112:$M$120)</f>
        <v>0</v>
      </c>
      <c r="V322" s="510">
        <f t="shared" si="51"/>
        <v>0</v>
      </c>
      <c r="X322" s="512">
        <f t="shared" si="52"/>
        <v>0</v>
      </c>
    </row>
    <row r="323" spans="4:26" ht="18" customHeight="1">
      <c r="D323" s="499" t="s">
        <v>1285</v>
      </c>
      <c r="E323" s="500" t="s">
        <v>1285</v>
      </c>
      <c r="F323" s="501"/>
      <c r="G323" s="500" t="s">
        <v>1286</v>
      </c>
      <c r="H323" s="502">
        <f t="shared" ref="H323:O323" si="53">SUM(H324:H342)</f>
        <v>-2480507939</v>
      </c>
      <c r="I323" s="502">
        <f t="shared" si="53"/>
        <v>-2449811</v>
      </c>
      <c r="J323" s="502">
        <f t="shared" si="53"/>
        <v>-43095217</v>
      </c>
      <c r="K323" s="502">
        <f t="shared" si="53"/>
        <v>-436416423</v>
      </c>
      <c r="L323" s="502">
        <f t="shared" si="53"/>
        <v>-377393142</v>
      </c>
      <c r="M323" s="502">
        <f t="shared" si="53"/>
        <v>0</v>
      </c>
      <c r="N323" s="502">
        <f t="shared" si="53"/>
        <v>0</v>
      </c>
      <c r="O323" s="503">
        <f t="shared" si="53"/>
        <v>-3339862532</v>
      </c>
      <c r="Q323" s="504">
        <f t="shared" ref="Q323:V323" si="54">SUM(Q324:Q342)</f>
        <v>0</v>
      </c>
      <c r="R323" s="502">
        <f t="shared" si="54"/>
        <v>0</v>
      </c>
      <c r="S323" s="502">
        <f t="shared" si="54"/>
        <v>374453500</v>
      </c>
      <c r="T323" s="502">
        <f t="shared" si="54"/>
        <v>0</v>
      </c>
      <c r="U323" s="502">
        <f t="shared" si="54"/>
        <v>0</v>
      </c>
      <c r="V323" s="503">
        <f t="shared" si="54"/>
        <v>374453500</v>
      </c>
      <c r="X323" s="505">
        <f t="shared" ref="X323" si="55">SUM(X324:X342)</f>
        <v>-2965409032</v>
      </c>
    </row>
    <row r="324" spans="4:26" ht="18" customHeight="1">
      <c r="D324" s="506" t="s">
        <v>1287</v>
      </c>
      <c r="E324" s="507" t="s">
        <v>1287</v>
      </c>
      <c r="F324" s="508" t="s">
        <v>1288</v>
      </c>
      <c r="G324" s="507" t="s">
        <v>1288</v>
      </c>
      <c r="H324" s="509">
        <v>-465735790</v>
      </c>
      <c r="I324" s="509">
        <v>0</v>
      </c>
      <c r="J324" s="509">
        <v>0</v>
      </c>
      <c r="K324" s="509">
        <v>-160501500</v>
      </c>
      <c r="L324" s="509">
        <v>-213952000</v>
      </c>
      <c r="M324" s="509"/>
      <c r="N324" s="509">
        <v>0</v>
      </c>
      <c r="O324" s="510">
        <f t="shared" ref="O324:O342" si="56">SUM(H324:N324)</f>
        <v>-840189290</v>
      </c>
      <c r="Q324" s="511">
        <f>SUMIF('CF.2'!$H$5:$H$24,'CF.1'!E324,'CF.2'!$J$5:$J$24)-SUMIF('CF.2'!$K$5:$K$24,'CF.1'!E324,'CF.2'!$M$5:$M$24)</f>
        <v>0</v>
      </c>
      <c r="R324" s="509">
        <f>SUMIF('CF.2'!$H$30:$H$59,'CF.1'!E324,'CF.2'!$J$30:$J$59)+SUMIF('CF.2'!$K$30:$K$59,'CF.1'!E324,'CF.2'!$M$30:$M$59)</f>
        <v>0</v>
      </c>
      <c r="S324" s="509">
        <f>SUMIF('CF.2'!$H$64:$H$97,'CF.1'!E324,'CF.2'!$J$64:$J$97)+SUMIF('CF.2'!$K$64:$K$97,'CF.1'!E324,'CF.2'!$M$64:$M$97)</f>
        <v>374453500</v>
      </c>
      <c r="T324" s="509">
        <f>SUMIF('CF.2'!$H$101:$H$107,'CF.1'!E324,'CF.2'!$J$101:$J$107)+SUMIF('CF.2'!$K$101:$K$107,'CF.1'!E324,'CF.2'!$M$101:$M$107)</f>
        <v>0</v>
      </c>
      <c r="U324" s="509">
        <f>SUMIF('CF.2'!$H$112:$H$120,'CF.1'!E324,'CF.2'!$J$112:$J$120)+SUMIF('CF.2'!$K$112:$K$120,'CF.1'!E324,'CF.2'!$M$112:$M$120)</f>
        <v>0</v>
      </c>
      <c r="V324" s="510">
        <f t="shared" ref="V324:V342" si="57">SUM(Q324:U324)</f>
        <v>374453500</v>
      </c>
      <c r="X324" s="512">
        <f t="shared" ref="X324:X342" si="58">V324+O324</f>
        <v>-465735790</v>
      </c>
      <c r="Z324" s="36" t="b">
        <f>X324-H324=0</f>
        <v>1</v>
      </c>
    </row>
    <row r="325" spans="4:26" ht="18" customHeight="1">
      <c r="D325" s="506" t="s">
        <v>1289</v>
      </c>
      <c r="E325" s="507" t="s">
        <v>1289</v>
      </c>
      <c r="F325" s="508"/>
      <c r="G325" s="507" t="s">
        <v>1290</v>
      </c>
      <c r="H325" s="509">
        <v>0</v>
      </c>
      <c r="I325" s="509">
        <v>0</v>
      </c>
      <c r="J325" s="509">
        <v>0</v>
      </c>
      <c r="K325" s="509">
        <v>0</v>
      </c>
      <c r="L325" s="509">
        <v>0</v>
      </c>
      <c r="M325" s="509"/>
      <c r="N325" s="509">
        <v>0</v>
      </c>
      <c r="O325" s="510">
        <f t="shared" si="56"/>
        <v>0</v>
      </c>
      <c r="Q325" s="511">
        <f>SUMIF('CF.2'!$H$5:$H$24,'CF.1'!E325,'CF.2'!$J$5:$J$24)-SUMIF('CF.2'!$K$5:$K$24,'CF.1'!E325,'CF.2'!$M$5:$M$24)</f>
        <v>0</v>
      </c>
      <c r="R325" s="509">
        <f>SUMIF('CF.2'!$H$30:$H$59,'CF.1'!E325,'CF.2'!$J$30:$J$59)+SUMIF('CF.2'!$K$30:$K$59,'CF.1'!E325,'CF.2'!$M$30:$M$59)</f>
        <v>0</v>
      </c>
      <c r="S325" s="509">
        <f>SUMIF('CF.2'!$H$64:$H$97,'CF.1'!E325,'CF.2'!$J$64:$J$97)+SUMIF('CF.2'!$K$64:$K$97,'CF.1'!E325,'CF.2'!$M$64:$M$97)</f>
        <v>0</v>
      </c>
      <c r="T325" s="509">
        <f>SUMIF('CF.2'!$H$101:$H$107,'CF.1'!E325,'CF.2'!$J$101:$J$107)+SUMIF('CF.2'!$K$101:$K$107,'CF.1'!E325,'CF.2'!$M$101:$M$107)</f>
        <v>0</v>
      </c>
      <c r="U325" s="509">
        <f>SUMIF('CF.2'!$H$112:$H$120,'CF.1'!E325,'CF.2'!$J$112:$J$120)+SUMIF('CF.2'!$K$112:$K$120,'CF.1'!E325,'CF.2'!$M$112:$M$120)</f>
        <v>0</v>
      </c>
      <c r="V325" s="510">
        <f t="shared" si="57"/>
        <v>0</v>
      </c>
      <c r="X325" s="512">
        <f t="shared" si="58"/>
        <v>0</v>
      </c>
    </row>
    <row r="326" spans="4:26" ht="18" customHeight="1">
      <c r="D326" s="506" t="s">
        <v>1291</v>
      </c>
      <c r="E326" s="507" t="s">
        <v>1291</v>
      </c>
      <c r="F326" s="508"/>
      <c r="G326" s="507" t="s">
        <v>1292</v>
      </c>
      <c r="H326" s="509">
        <v>0</v>
      </c>
      <c r="I326" s="509">
        <v>0</v>
      </c>
      <c r="J326" s="509">
        <v>0</v>
      </c>
      <c r="K326" s="509">
        <v>0</v>
      </c>
      <c r="L326" s="509">
        <v>0</v>
      </c>
      <c r="M326" s="509"/>
      <c r="N326" s="509">
        <v>0</v>
      </c>
      <c r="O326" s="510">
        <f t="shared" si="56"/>
        <v>0</v>
      </c>
      <c r="Q326" s="511">
        <f>SUMIF('CF.2'!$H$5:$H$24,'CF.1'!E326,'CF.2'!$J$5:$J$24)-SUMIF('CF.2'!$K$5:$K$24,'CF.1'!E326,'CF.2'!$M$5:$M$24)</f>
        <v>0</v>
      </c>
      <c r="R326" s="509">
        <f>SUMIF('CF.2'!$H$30:$H$59,'CF.1'!E326,'CF.2'!$J$30:$J$59)+SUMIF('CF.2'!$K$30:$K$59,'CF.1'!E326,'CF.2'!$M$30:$M$59)</f>
        <v>0</v>
      </c>
      <c r="S326" s="509">
        <f>SUMIF('CF.2'!$H$64:$H$97,'CF.1'!E326,'CF.2'!$J$64:$J$97)+SUMIF('CF.2'!$K$64:$K$97,'CF.1'!E326,'CF.2'!$M$64:$M$97)</f>
        <v>0</v>
      </c>
      <c r="T326" s="509">
        <f>SUMIF('CF.2'!$H$101:$H$107,'CF.1'!E326,'CF.2'!$J$101:$J$107)+SUMIF('CF.2'!$K$101:$K$107,'CF.1'!E326,'CF.2'!$M$101:$M$107)</f>
        <v>0</v>
      </c>
      <c r="U326" s="509">
        <f>SUMIF('CF.2'!$H$112:$H$120,'CF.1'!E326,'CF.2'!$J$112:$J$120)+SUMIF('CF.2'!$K$112:$K$120,'CF.1'!E326,'CF.2'!$M$112:$M$120)</f>
        <v>0</v>
      </c>
      <c r="V326" s="510">
        <f t="shared" si="57"/>
        <v>0</v>
      </c>
      <c r="X326" s="512">
        <f t="shared" si="58"/>
        <v>0</v>
      </c>
    </row>
    <row r="327" spans="4:26" ht="18" customHeight="1">
      <c r="D327" s="506" t="s">
        <v>1293</v>
      </c>
      <c r="E327" s="507" t="s">
        <v>1293</v>
      </c>
      <c r="F327" s="508"/>
      <c r="G327" s="507" t="s">
        <v>1294</v>
      </c>
      <c r="H327" s="509">
        <v>0</v>
      </c>
      <c r="I327" s="509">
        <v>0</v>
      </c>
      <c r="J327" s="509">
        <v>0</v>
      </c>
      <c r="K327" s="509">
        <v>0</v>
      </c>
      <c r="L327" s="509">
        <v>0</v>
      </c>
      <c r="M327" s="509"/>
      <c r="N327" s="509">
        <v>0</v>
      </c>
      <c r="O327" s="510">
        <f t="shared" si="56"/>
        <v>0</v>
      </c>
      <c r="Q327" s="511">
        <f>SUMIF('CF.2'!$H$5:$H$24,'CF.1'!E327,'CF.2'!$J$5:$J$24)-SUMIF('CF.2'!$K$5:$K$24,'CF.1'!E327,'CF.2'!$M$5:$M$24)</f>
        <v>0</v>
      </c>
      <c r="R327" s="509">
        <f>SUMIF('CF.2'!$H$30:$H$59,'CF.1'!E327,'CF.2'!$J$30:$J$59)+SUMIF('CF.2'!$K$30:$K$59,'CF.1'!E327,'CF.2'!$M$30:$M$59)</f>
        <v>0</v>
      </c>
      <c r="S327" s="509">
        <f>SUMIF('CF.2'!$H$64:$H$97,'CF.1'!E327,'CF.2'!$J$64:$J$97)+SUMIF('CF.2'!$K$64:$K$97,'CF.1'!E327,'CF.2'!$M$64:$M$97)</f>
        <v>0</v>
      </c>
      <c r="T327" s="509">
        <f>SUMIF('CF.2'!$H$101:$H$107,'CF.1'!E327,'CF.2'!$J$101:$J$107)+SUMIF('CF.2'!$K$101:$K$107,'CF.1'!E327,'CF.2'!$M$101:$M$107)</f>
        <v>0</v>
      </c>
      <c r="U327" s="509">
        <f>SUMIF('CF.2'!$H$112:$H$120,'CF.1'!E327,'CF.2'!$J$112:$J$120)+SUMIF('CF.2'!$K$112:$K$120,'CF.1'!E327,'CF.2'!$M$112:$M$120)</f>
        <v>0</v>
      </c>
      <c r="V327" s="510">
        <f t="shared" si="57"/>
        <v>0</v>
      </c>
      <c r="X327" s="512">
        <f t="shared" si="58"/>
        <v>0</v>
      </c>
    </row>
    <row r="328" spans="4:26" ht="18" customHeight="1">
      <c r="D328" s="506" t="s">
        <v>1295</v>
      </c>
      <c r="E328" s="507" t="s">
        <v>1295</v>
      </c>
      <c r="F328" s="508"/>
      <c r="G328" s="507" t="s">
        <v>1296</v>
      </c>
      <c r="H328" s="509">
        <v>0</v>
      </c>
      <c r="I328" s="509">
        <v>0</v>
      </c>
      <c r="J328" s="509">
        <v>0</v>
      </c>
      <c r="K328" s="509">
        <v>0</v>
      </c>
      <c r="L328" s="509">
        <v>0</v>
      </c>
      <c r="M328" s="509"/>
      <c r="N328" s="509">
        <v>0</v>
      </c>
      <c r="O328" s="510">
        <f t="shared" si="56"/>
        <v>0</v>
      </c>
      <c r="Q328" s="511">
        <f>SUMIF('CF.2'!$H$5:$H$24,'CF.1'!E328,'CF.2'!$J$5:$J$24)-SUMIF('CF.2'!$K$5:$K$24,'CF.1'!E328,'CF.2'!$M$5:$M$24)</f>
        <v>0</v>
      </c>
      <c r="R328" s="509">
        <f>SUMIF('CF.2'!$H$30:$H$59,'CF.1'!E328,'CF.2'!$J$30:$J$59)+SUMIF('CF.2'!$K$30:$K$59,'CF.1'!E328,'CF.2'!$M$30:$M$59)</f>
        <v>0</v>
      </c>
      <c r="S328" s="509">
        <f>SUMIF('CF.2'!$H$64:$H$97,'CF.1'!E328,'CF.2'!$J$64:$J$97)+SUMIF('CF.2'!$K$64:$K$97,'CF.1'!E328,'CF.2'!$M$64:$M$97)</f>
        <v>0</v>
      </c>
      <c r="T328" s="509">
        <f>SUMIF('CF.2'!$H$101:$H$107,'CF.1'!E328,'CF.2'!$J$101:$J$107)+SUMIF('CF.2'!$K$101:$K$107,'CF.1'!E328,'CF.2'!$M$101:$M$107)</f>
        <v>0</v>
      </c>
      <c r="U328" s="509">
        <f>SUMIF('CF.2'!$H$112:$H$120,'CF.1'!E328,'CF.2'!$J$112:$J$120)+SUMIF('CF.2'!$K$112:$K$120,'CF.1'!E328,'CF.2'!$M$112:$M$120)</f>
        <v>0</v>
      </c>
      <c r="V328" s="510">
        <f t="shared" si="57"/>
        <v>0</v>
      </c>
      <c r="X328" s="512">
        <f t="shared" si="58"/>
        <v>0</v>
      </c>
    </row>
    <row r="329" spans="4:26" ht="18" customHeight="1">
      <c r="D329" s="506" t="s">
        <v>1297</v>
      </c>
      <c r="E329" s="507" t="s">
        <v>1297</v>
      </c>
      <c r="F329" s="508"/>
      <c r="G329" s="507" t="s">
        <v>1298</v>
      </c>
      <c r="H329" s="509">
        <v>0</v>
      </c>
      <c r="I329" s="509">
        <v>0</v>
      </c>
      <c r="J329" s="509">
        <v>0</v>
      </c>
      <c r="K329" s="509">
        <v>0</v>
      </c>
      <c r="L329" s="509">
        <v>0</v>
      </c>
      <c r="M329" s="509"/>
      <c r="N329" s="509">
        <v>0</v>
      </c>
      <c r="O329" s="510">
        <f t="shared" si="56"/>
        <v>0</v>
      </c>
      <c r="Q329" s="511">
        <f>SUMIF('CF.2'!$H$5:$H$24,'CF.1'!E329,'CF.2'!$J$5:$J$24)-SUMIF('CF.2'!$K$5:$K$24,'CF.1'!E329,'CF.2'!$M$5:$M$24)</f>
        <v>0</v>
      </c>
      <c r="R329" s="509">
        <f>SUMIF('CF.2'!$H$30:$H$59,'CF.1'!E329,'CF.2'!$J$30:$J$59)+SUMIF('CF.2'!$K$30:$K$59,'CF.1'!E329,'CF.2'!$M$30:$M$59)</f>
        <v>0</v>
      </c>
      <c r="S329" s="509">
        <f>SUMIF('CF.2'!$H$64:$H$97,'CF.1'!E329,'CF.2'!$J$64:$J$97)+SUMIF('CF.2'!$K$64:$K$97,'CF.1'!E329,'CF.2'!$M$64:$M$97)</f>
        <v>0</v>
      </c>
      <c r="T329" s="509">
        <f>SUMIF('CF.2'!$H$101:$H$107,'CF.1'!E329,'CF.2'!$J$101:$J$107)+SUMIF('CF.2'!$K$101:$K$107,'CF.1'!E329,'CF.2'!$M$101:$M$107)</f>
        <v>0</v>
      </c>
      <c r="U329" s="509">
        <f>SUMIF('CF.2'!$H$112:$H$120,'CF.1'!E329,'CF.2'!$J$112:$J$120)+SUMIF('CF.2'!$K$112:$K$120,'CF.1'!E329,'CF.2'!$M$112:$M$120)</f>
        <v>0</v>
      </c>
      <c r="V329" s="510">
        <f t="shared" si="57"/>
        <v>0</v>
      </c>
      <c r="X329" s="512">
        <f t="shared" si="58"/>
        <v>0</v>
      </c>
    </row>
    <row r="330" spans="4:26" ht="18" customHeight="1">
      <c r="D330" s="506" t="s">
        <v>1299</v>
      </c>
      <c r="E330" s="507" t="s">
        <v>1299</v>
      </c>
      <c r="F330" s="508"/>
      <c r="G330" s="507" t="s">
        <v>1147</v>
      </c>
      <c r="H330" s="509">
        <v>0</v>
      </c>
      <c r="I330" s="509">
        <v>0</v>
      </c>
      <c r="J330" s="509">
        <v>0</v>
      </c>
      <c r="K330" s="509">
        <v>0</v>
      </c>
      <c r="L330" s="509">
        <v>0</v>
      </c>
      <c r="M330" s="509"/>
      <c r="N330" s="509">
        <v>0</v>
      </c>
      <c r="O330" s="510">
        <f t="shared" si="56"/>
        <v>0</v>
      </c>
      <c r="Q330" s="511">
        <f>SUMIF('CF.2'!$H$5:$H$24,'CF.1'!E330,'CF.2'!$J$5:$J$24)-SUMIF('CF.2'!$K$5:$K$24,'CF.1'!E330,'CF.2'!$M$5:$M$24)</f>
        <v>0</v>
      </c>
      <c r="R330" s="509">
        <f>SUMIF('CF.2'!$H$30:$H$59,'CF.1'!E330,'CF.2'!$J$30:$J$59)+SUMIF('CF.2'!$K$30:$K$59,'CF.1'!E330,'CF.2'!$M$30:$M$59)</f>
        <v>0</v>
      </c>
      <c r="S330" s="509">
        <f>SUMIF('CF.2'!$H$64:$H$97,'CF.1'!E330,'CF.2'!$J$64:$J$97)+SUMIF('CF.2'!$K$64:$K$97,'CF.1'!E330,'CF.2'!$M$64:$M$97)</f>
        <v>0</v>
      </c>
      <c r="T330" s="509">
        <f>SUMIF('CF.2'!$H$101:$H$107,'CF.1'!E330,'CF.2'!$J$101:$J$107)+SUMIF('CF.2'!$K$101:$K$107,'CF.1'!E330,'CF.2'!$M$101:$M$107)</f>
        <v>0</v>
      </c>
      <c r="U330" s="509">
        <f>SUMIF('CF.2'!$H$112:$H$120,'CF.1'!E330,'CF.2'!$J$112:$J$120)+SUMIF('CF.2'!$K$112:$K$120,'CF.1'!E330,'CF.2'!$M$112:$M$120)</f>
        <v>0</v>
      </c>
      <c r="V330" s="510">
        <f t="shared" si="57"/>
        <v>0</v>
      </c>
      <c r="X330" s="512">
        <f t="shared" si="58"/>
        <v>0</v>
      </c>
    </row>
    <row r="331" spans="4:26" ht="18" customHeight="1">
      <c r="D331" s="506" t="s">
        <v>1300</v>
      </c>
      <c r="E331" s="507" t="s">
        <v>1380</v>
      </c>
      <c r="F331" s="508"/>
      <c r="G331" s="507" t="s">
        <v>1382</v>
      </c>
      <c r="H331" s="509">
        <v>0</v>
      </c>
      <c r="I331" s="509">
        <v>0</v>
      </c>
      <c r="J331" s="509">
        <v>0</v>
      </c>
      <c r="K331" s="509">
        <v>0</v>
      </c>
      <c r="L331" s="509">
        <v>0</v>
      </c>
      <c r="M331" s="509"/>
      <c r="N331" s="509">
        <v>0</v>
      </c>
      <c r="O331" s="510">
        <f t="shared" si="56"/>
        <v>0</v>
      </c>
      <c r="Q331" s="511">
        <f>SUMIF('CF.2'!$H$5:$H$24,'CF.1'!E331,'CF.2'!$J$5:$J$24)-SUMIF('CF.2'!$K$5:$K$24,'CF.1'!E331,'CF.2'!$M$5:$M$24)</f>
        <v>0</v>
      </c>
      <c r="R331" s="509">
        <f>SUMIF('CF.2'!$H$30:$H$59,'CF.1'!E331,'CF.2'!$J$30:$J$59)+SUMIF('CF.2'!$K$30:$K$59,'CF.1'!E331,'CF.2'!$M$30:$M$59)</f>
        <v>0</v>
      </c>
      <c r="S331" s="509">
        <f>SUMIF('CF.2'!$H$64:$H$97,'CF.1'!E331,'CF.2'!$J$64:$J$97)+SUMIF('CF.2'!$K$64:$K$97,'CF.1'!E331,'CF.2'!$M$64:$M$97)</f>
        <v>0</v>
      </c>
      <c r="T331" s="509">
        <f>SUMIF('CF.2'!$H$101:$H$107,'CF.1'!E331,'CF.2'!$J$101:$J$107)+SUMIF('CF.2'!$K$101:$K$107,'CF.1'!E331,'CF.2'!$M$101:$M$107)</f>
        <v>0</v>
      </c>
      <c r="U331" s="509">
        <f>SUMIF('CF.2'!$H$112:$H$120,'CF.1'!E331,'CF.2'!$J$112:$J$120)+SUMIF('CF.2'!$K$112:$K$120,'CF.1'!E331,'CF.2'!$M$112:$M$120)</f>
        <v>0</v>
      </c>
      <c r="V331" s="510">
        <f t="shared" si="57"/>
        <v>0</v>
      </c>
      <c r="X331" s="512">
        <f t="shared" si="58"/>
        <v>0</v>
      </c>
    </row>
    <row r="332" spans="4:26" ht="18" customHeight="1">
      <c r="D332" s="506" t="s">
        <v>1300</v>
      </c>
      <c r="E332" s="507" t="s">
        <v>1381</v>
      </c>
      <c r="F332" s="508"/>
      <c r="G332" s="507" t="s">
        <v>1383</v>
      </c>
      <c r="H332" s="509">
        <v>0</v>
      </c>
      <c r="I332" s="509">
        <v>0</v>
      </c>
      <c r="J332" s="509">
        <v>0</v>
      </c>
      <c r="K332" s="509">
        <v>0</v>
      </c>
      <c r="L332" s="509">
        <v>0</v>
      </c>
      <c r="M332" s="509"/>
      <c r="N332" s="509">
        <v>0</v>
      </c>
      <c r="O332" s="510">
        <f t="shared" si="56"/>
        <v>0</v>
      </c>
      <c r="Q332" s="511">
        <f>SUMIF('CF.2'!$H$5:$H$24,'CF.1'!E332,'CF.2'!$J$5:$J$24)-SUMIF('CF.2'!$K$5:$K$24,'CF.1'!E332,'CF.2'!$M$5:$M$24)</f>
        <v>0</v>
      </c>
      <c r="R332" s="509">
        <f>SUMIF('CF.2'!$H$30:$H$59,'CF.1'!E332,'CF.2'!$J$30:$J$59)+SUMIF('CF.2'!$K$30:$K$59,'CF.1'!E332,'CF.2'!$M$30:$M$59)</f>
        <v>0</v>
      </c>
      <c r="S332" s="509">
        <f>SUMIF('CF.2'!$H$64:$H$97,'CF.1'!E332,'CF.2'!$J$64:$J$97)+SUMIF('CF.2'!$K$64:$K$97,'CF.1'!E332,'CF.2'!$M$64:$M$97)</f>
        <v>0</v>
      </c>
      <c r="T332" s="509">
        <f>SUMIF('CF.2'!$H$101:$H$107,'CF.1'!E332,'CF.2'!$J$101:$J$107)+SUMIF('CF.2'!$K$101:$K$107,'CF.1'!E332,'CF.2'!$M$101:$M$107)</f>
        <v>0</v>
      </c>
      <c r="U332" s="509">
        <f>SUMIF('CF.2'!$H$112:$H$120,'CF.1'!E332,'CF.2'!$J$112:$J$120)+SUMIF('CF.2'!$K$112:$K$120,'CF.1'!E332,'CF.2'!$M$112:$M$120)</f>
        <v>0</v>
      </c>
      <c r="V332" s="510">
        <f t="shared" si="57"/>
        <v>0</v>
      </c>
      <c r="X332" s="512">
        <f t="shared" si="58"/>
        <v>0</v>
      </c>
    </row>
    <row r="333" spans="4:26" ht="18" customHeight="1">
      <c r="D333" s="506" t="s">
        <v>1301</v>
      </c>
      <c r="E333" s="507" t="s">
        <v>1301</v>
      </c>
      <c r="F333" s="508"/>
      <c r="G333" s="507" t="s">
        <v>1302</v>
      </c>
      <c r="H333" s="509">
        <v>0</v>
      </c>
      <c r="I333" s="509">
        <v>0</v>
      </c>
      <c r="J333" s="509">
        <v>0</v>
      </c>
      <c r="K333" s="509">
        <v>0</v>
      </c>
      <c r="L333" s="509">
        <v>0</v>
      </c>
      <c r="M333" s="509"/>
      <c r="N333" s="509">
        <v>0</v>
      </c>
      <c r="O333" s="510">
        <f t="shared" si="56"/>
        <v>0</v>
      </c>
      <c r="Q333" s="511">
        <f>SUMIF('CF.2'!$H$5:$H$24,'CF.1'!E333,'CF.2'!$J$5:$J$24)-SUMIF('CF.2'!$K$5:$K$24,'CF.1'!E333,'CF.2'!$M$5:$M$24)</f>
        <v>0</v>
      </c>
      <c r="R333" s="509">
        <f>SUMIF('CF.2'!$H$30:$H$59,'CF.1'!E333,'CF.2'!$J$30:$J$59)+SUMIF('CF.2'!$K$30:$K$59,'CF.1'!E333,'CF.2'!$M$30:$M$59)</f>
        <v>0</v>
      </c>
      <c r="S333" s="509">
        <f>SUMIF('CF.2'!$H$64:$H$97,'CF.1'!E333,'CF.2'!$J$64:$J$97)+SUMIF('CF.2'!$K$64:$K$97,'CF.1'!E333,'CF.2'!$M$64:$M$97)</f>
        <v>0</v>
      </c>
      <c r="T333" s="509">
        <f>SUMIF('CF.2'!$H$101:$H$107,'CF.1'!E333,'CF.2'!$J$101:$J$107)+SUMIF('CF.2'!$K$101:$K$107,'CF.1'!E333,'CF.2'!$M$101:$M$107)</f>
        <v>0</v>
      </c>
      <c r="U333" s="509">
        <f>SUMIF('CF.2'!$H$112:$H$120,'CF.1'!E333,'CF.2'!$J$112:$J$120)+SUMIF('CF.2'!$K$112:$K$120,'CF.1'!E333,'CF.2'!$M$112:$M$120)</f>
        <v>0</v>
      </c>
      <c r="V333" s="510">
        <f t="shared" si="57"/>
        <v>0</v>
      </c>
      <c r="X333" s="512">
        <f t="shared" si="58"/>
        <v>0</v>
      </c>
    </row>
    <row r="334" spans="4:26" ht="18" customHeight="1">
      <c r="D334" s="506" t="s">
        <v>1303</v>
      </c>
      <c r="E334" s="507" t="s">
        <v>1303</v>
      </c>
      <c r="F334" s="508"/>
      <c r="G334" s="507" t="s">
        <v>1304</v>
      </c>
      <c r="H334" s="509">
        <v>0</v>
      </c>
      <c r="I334" s="509">
        <v>0</v>
      </c>
      <c r="J334" s="509">
        <v>0</v>
      </c>
      <c r="K334" s="509">
        <v>0</v>
      </c>
      <c r="L334" s="509">
        <v>0</v>
      </c>
      <c r="M334" s="509"/>
      <c r="N334" s="509">
        <v>0</v>
      </c>
      <c r="O334" s="510">
        <f t="shared" si="56"/>
        <v>0</v>
      </c>
      <c r="Q334" s="511">
        <f>SUMIF('CF.2'!$H$5:$H$24,'CF.1'!E334,'CF.2'!$J$5:$J$24)-SUMIF('CF.2'!$K$5:$K$24,'CF.1'!E334,'CF.2'!$M$5:$M$24)</f>
        <v>0</v>
      </c>
      <c r="R334" s="509">
        <f>SUMIF('CF.2'!$H$30:$H$59,'CF.1'!E334,'CF.2'!$J$30:$J$59)+SUMIF('CF.2'!$K$30:$K$59,'CF.1'!E334,'CF.2'!$M$30:$M$59)</f>
        <v>0</v>
      </c>
      <c r="S334" s="509">
        <f>SUMIF('CF.2'!$H$64:$H$97,'CF.1'!E334,'CF.2'!$J$64:$J$97)+SUMIF('CF.2'!$K$64:$K$97,'CF.1'!E334,'CF.2'!$M$64:$M$97)</f>
        <v>0</v>
      </c>
      <c r="T334" s="509">
        <f>SUMIF('CF.2'!$H$101:$H$107,'CF.1'!E334,'CF.2'!$J$101:$J$107)+SUMIF('CF.2'!$K$101:$K$107,'CF.1'!E334,'CF.2'!$M$101:$M$107)</f>
        <v>0</v>
      </c>
      <c r="U334" s="509">
        <f>SUMIF('CF.2'!$H$112:$H$120,'CF.1'!E334,'CF.2'!$J$112:$J$120)+SUMIF('CF.2'!$K$112:$K$120,'CF.1'!E334,'CF.2'!$M$112:$M$120)</f>
        <v>0</v>
      </c>
      <c r="V334" s="510">
        <f t="shared" si="57"/>
        <v>0</v>
      </c>
      <c r="X334" s="512">
        <f t="shared" si="58"/>
        <v>0</v>
      </c>
    </row>
    <row r="335" spans="4:26" ht="18" customHeight="1">
      <c r="D335" s="506" t="s">
        <v>1305</v>
      </c>
      <c r="E335" s="507" t="s">
        <v>1305</v>
      </c>
      <c r="F335" s="508"/>
      <c r="G335" s="507" t="s">
        <v>1306</v>
      </c>
      <c r="H335" s="509">
        <v>0</v>
      </c>
      <c r="I335" s="509">
        <v>0</v>
      </c>
      <c r="J335" s="509">
        <v>0</v>
      </c>
      <c r="K335" s="509">
        <v>0</v>
      </c>
      <c r="L335" s="509">
        <v>0</v>
      </c>
      <c r="M335" s="509"/>
      <c r="N335" s="509">
        <v>0</v>
      </c>
      <c r="O335" s="510">
        <f t="shared" si="56"/>
        <v>0</v>
      </c>
      <c r="Q335" s="511">
        <f>SUMIF('CF.2'!$H$5:$H$24,'CF.1'!E335,'CF.2'!$J$5:$J$24)-SUMIF('CF.2'!$K$5:$K$24,'CF.1'!E335,'CF.2'!$M$5:$M$24)</f>
        <v>0</v>
      </c>
      <c r="R335" s="509">
        <f>SUMIF('CF.2'!$H$30:$H$59,'CF.1'!E335,'CF.2'!$J$30:$J$59)+SUMIF('CF.2'!$K$30:$K$59,'CF.1'!E335,'CF.2'!$M$30:$M$59)</f>
        <v>0</v>
      </c>
      <c r="S335" s="509">
        <f>SUMIF('CF.2'!$H$64:$H$97,'CF.1'!E335,'CF.2'!$J$64:$J$97)+SUMIF('CF.2'!$K$64:$K$97,'CF.1'!E335,'CF.2'!$M$64:$M$97)</f>
        <v>0</v>
      </c>
      <c r="T335" s="509">
        <f>SUMIF('CF.2'!$H$101:$H$107,'CF.1'!E335,'CF.2'!$J$101:$J$107)+SUMIF('CF.2'!$K$101:$K$107,'CF.1'!E335,'CF.2'!$M$101:$M$107)</f>
        <v>0</v>
      </c>
      <c r="U335" s="509">
        <f>SUMIF('CF.2'!$H$112:$H$120,'CF.1'!E335,'CF.2'!$J$112:$J$120)+SUMIF('CF.2'!$K$112:$K$120,'CF.1'!E335,'CF.2'!$M$112:$M$120)</f>
        <v>0</v>
      </c>
      <c r="V335" s="510">
        <f t="shared" si="57"/>
        <v>0</v>
      </c>
      <c r="X335" s="512">
        <f t="shared" si="58"/>
        <v>0</v>
      </c>
    </row>
    <row r="336" spans="4:26" ht="18" customHeight="1">
      <c r="D336" s="506" t="s">
        <v>1307</v>
      </c>
      <c r="E336" s="507" t="s">
        <v>1307</v>
      </c>
      <c r="F336" s="508"/>
      <c r="G336" s="507" t="s">
        <v>1308</v>
      </c>
      <c r="H336" s="509">
        <v>0</v>
      </c>
      <c r="I336" s="509">
        <v>0</v>
      </c>
      <c r="J336" s="509">
        <v>0</v>
      </c>
      <c r="K336" s="509">
        <v>0</v>
      </c>
      <c r="L336" s="509">
        <v>0</v>
      </c>
      <c r="M336" s="509"/>
      <c r="N336" s="509">
        <v>0</v>
      </c>
      <c r="O336" s="510">
        <f t="shared" si="56"/>
        <v>0</v>
      </c>
      <c r="Q336" s="511">
        <f>SUMIF('CF.2'!$H$5:$H$24,'CF.1'!E336,'CF.2'!$J$5:$J$24)-SUMIF('CF.2'!$K$5:$K$24,'CF.1'!E336,'CF.2'!$M$5:$M$24)</f>
        <v>0</v>
      </c>
      <c r="R336" s="509">
        <f>SUMIF('CF.2'!$H$30:$H$59,'CF.1'!E336,'CF.2'!$J$30:$J$59)+SUMIF('CF.2'!$K$30:$K$59,'CF.1'!E336,'CF.2'!$M$30:$M$59)</f>
        <v>0</v>
      </c>
      <c r="S336" s="509">
        <f>SUMIF('CF.2'!$H$64:$H$97,'CF.1'!E336,'CF.2'!$J$64:$J$97)+SUMIF('CF.2'!$K$64:$K$97,'CF.1'!E336,'CF.2'!$M$64:$M$97)</f>
        <v>0</v>
      </c>
      <c r="T336" s="509">
        <f>SUMIF('CF.2'!$H$101:$H$107,'CF.1'!E336,'CF.2'!$J$101:$J$107)+SUMIF('CF.2'!$K$101:$K$107,'CF.1'!E336,'CF.2'!$M$101:$M$107)</f>
        <v>0</v>
      </c>
      <c r="U336" s="509">
        <f>SUMIF('CF.2'!$H$112:$H$120,'CF.1'!E336,'CF.2'!$J$112:$J$120)+SUMIF('CF.2'!$K$112:$K$120,'CF.1'!E336,'CF.2'!$M$112:$M$120)</f>
        <v>0</v>
      </c>
      <c r="V336" s="510">
        <f t="shared" si="57"/>
        <v>0</v>
      </c>
      <c r="X336" s="512">
        <f t="shared" si="58"/>
        <v>0</v>
      </c>
    </row>
    <row r="337" spans="4:26" ht="18" customHeight="1">
      <c r="D337" s="506" t="s">
        <v>1309</v>
      </c>
      <c r="E337" s="507" t="s">
        <v>1309</v>
      </c>
      <c r="F337" s="508"/>
      <c r="G337" s="507" t="s">
        <v>1310</v>
      </c>
      <c r="H337" s="509">
        <v>0</v>
      </c>
      <c r="I337" s="509">
        <v>0</v>
      </c>
      <c r="J337" s="509">
        <v>0</v>
      </c>
      <c r="K337" s="509">
        <v>0</v>
      </c>
      <c r="L337" s="509">
        <v>0</v>
      </c>
      <c r="M337" s="509"/>
      <c r="N337" s="509">
        <v>0</v>
      </c>
      <c r="O337" s="510">
        <f t="shared" si="56"/>
        <v>0</v>
      </c>
      <c r="Q337" s="511">
        <f>SUMIF('CF.2'!$H$5:$H$24,'CF.1'!E337,'CF.2'!$J$5:$J$24)-SUMIF('CF.2'!$K$5:$K$24,'CF.1'!E337,'CF.2'!$M$5:$M$24)</f>
        <v>0</v>
      </c>
      <c r="R337" s="509">
        <f>SUMIF('CF.2'!$H$30:$H$59,'CF.1'!E337,'CF.2'!$J$30:$J$59)+SUMIF('CF.2'!$K$30:$K$59,'CF.1'!E337,'CF.2'!$M$30:$M$59)</f>
        <v>0</v>
      </c>
      <c r="S337" s="509">
        <f>SUMIF('CF.2'!$H$64:$H$97,'CF.1'!E337,'CF.2'!$J$64:$J$97)+SUMIF('CF.2'!$K$64:$K$97,'CF.1'!E337,'CF.2'!$M$64:$M$97)</f>
        <v>0</v>
      </c>
      <c r="T337" s="509">
        <f>SUMIF('CF.2'!$H$101:$H$107,'CF.1'!E337,'CF.2'!$J$101:$J$107)+SUMIF('CF.2'!$K$101:$K$107,'CF.1'!E337,'CF.2'!$M$101:$M$107)</f>
        <v>0</v>
      </c>
      <c r="U337" s="509">
        <f>SUMIF('CF.2'!$H$112:$H$120,'CF.1'!E337,'CF.2'!$J$112:$J$120)+SUMIF('CF.2'!$K$112:$K$120,'CF.1'!E337,'CF.2'!$M$112:$M$120)</f>
        <v>0</v>
      </c>
      <c r="V337" s="510">
        <f t="shared" si="57"/>
        <v>0</v>
      </c>
      <c r="X337" s="512">
        <f t="shared" si="58"/>
        <v>0</v>
      </c>
    </row>
    <row r="338" spans="4:26" ht="18" customHeight="1">
      <c r="D338" s="506" t="s">
        <v>1311</v>
      </c>
      <c r="E338" s="507" t="s">
        <v>1311</v>
      </c>
      <c r="F338" s="508"/>
      <c r="G338" s="507" t="s">
        <v>1312</v>
      </c>
      <c r="H338" s="509">
        <v>0</v>
      </c>
      <c r="I338" s="509">
        <v>0</v>
      </c>
      <c r="J338" s="509">
        <v>0</v>
      </c>
      <c r="K338" s="509">
        <v>0</v>
      </c>
      <c r="L338" s="509">
        <v>0</v>
      </c>
      <c r="M338" s="509"/>
      <c r="N338" s="509">
        <v>0</v>
      </c>
      <c r="O338" s="510">
        <f t="shared" si="56"/>
        <v>0</v>
      </c>
      <c r="Q338" s="511">
        <f>SUMIF('CF.2'!$H$5:$H$24,'CF.1'!E338,'CF.2'!$J$5:$J$24)-SUMIF('CF.2'!$K$5:$K$24,'CF.1'!E338,'CF.2'!$M$5:$M$24)</f>
        <v>0</v>
      </c>
      <c r="R338" s="509">
        <f>SUMIF('CF.2'!$H$30:$H$59,'CF.1'!E338,'CF.2'!$J$30:$J$59)+SUMIF('CF.2'!$K$30:$K$59,'CF.1'!E338,'CF.2'!$M$30:$M$59)</f>
        <v>0</v>
      </c>
      <c r="S338" s="509">
        <f>SUMIF('CF.2'!$H$64:$H$97,'CF.1'!E338,'CF.2'!$J$64:$J$97)+SUMIF('CF.2'!$K$64:$K$97,'CF.1'!E338,'CF.2'!$M$64:$M$97)</f>
        <v>0</v>
      </c>
      <c r="T338" s="509">
        <f>SUMIF('CF.2'!$H$101:$H$107,'CF.1'!E338,'CF.2'!$J$101:$J$107)+SUMIF('CF.2'!$K$101:$K$107,'CF.1'!E338,'CF.2'!$M$101:$M$107)</f>
        <v>0</v>
      </c>
      <c r="U338" s="509">
        <f>SUMIF('CF.2'!$H$112:$H$120,'CF.1'!E338,'CF.2'!$J$112:$J$120)+SUMIF('CF.2'!$K$112:$K$120,'CF.1'!E338,'CF.2'!$M$112:$M$120)</f>
        <v>0</v>
      </c>
      <c r="V338" s="510">
        <f t="shared" si="57"/>
        <v>0</v>
      </c>
      <c r="X338" s="512">
        <f t="shared" si="58"/>
        <v>0</v>
      </c>
    </row>
    <row r="339" spans="4:26" ht="18" customHeight="1">
      <c r="D339" s="506" t="s">
        <v>1313</v>
      </c>
      <c r="E339" s="507" t="s">
        <v>1313</v>
      </c>
      <c r="F339" s="508" t="s">
        <v>1822</v>
      </c>
      <c r="G339" s="507" t="s">
        <v>1314</v>
      </c>
      <c r="H339" s="509">
        <v>-2006706960</v>
      </c>
      <c r="I339" s="509">
        <v>-2449811</v>
      </c>
      <c r="J339" s="509">
        <v>-43095217</v>
      </c>
      <c r="K339" s="509">
        <v>-275914923</v>
      </c>
      <c r="L339" s="509">
        <v>-163441142</v>
      </c>
      <c r="M339" s="509"/>
      <c r="N339" s="509">
        <v>0</v>
      </c>
      <c r="O339" s="510">
        <f t="shared" si="56"/>
        <v>-2491608053</v>
      </c>
      <c r="Q339" s="511">
        <f>SUMIF('CF.2'!$H$5:$H$24,'CF.1'!E339,'CF.2'!$J$5:$J$24)-SUMIF('CF.2'!$K$5:$K$24,'CF.1'!E339,'CF.2'!$M$5:$M$24)</f>
        <v>0</v>
      </c>
      <c r="R339" s="509">
        <f>SUMIF('CF.2'!$H$30:$H$59,'CF.1'!E339,'CF.2'!$J$30:$J$59)+SUMIF('CF.2'!$K$30:$K$59,'CF.1'!E339,'CF.2'!$M$30:$M$59)</f>
        <v>0</v>
      </c>
      <c r="S339" s="509">
        <f>SUMIF('CF.2'!$H$64:$H$97,'CF.1'!E339,'CF.2'!$J$64:$J$97)+SUMIF('CF.2'!$K$64:$K$97,'CF.1'!E339,'CF.2'!$M$64:$M$97)</f>
        <v>0</v>
      </c>
      <c r="T339" s="509">
        <f>SUMIF('CF.2'!$H$101:$H$107,'CF.1'!E339,'CF.2'!$J$101:$J$107)+SUMIF('CF.2'!$K$101:$K$107,'CF.1'!E339,'CF.2'!$M$101:$M$107)</f>
        <v>0</v>
      </c>
      <c r="U339" s="509">
        <f>SUMIF('CF.2'!$H$112:$H$120,'CF.1'!E339,'CF.2'!$J$112:$J$120)+SUMIF('CF.2'!$K$112:$K$120,'CF.1'!E339,'CF.2'!$M$112:$M$120)</f>
        <v>0</v>
      </c>
      <c r="V339" s="510">
        <f t="shared" si="57"/>
        <v>0</v>
      </c>
      <c r="X339" s="512">
        <f t="shared" si="58"/>
        <v>-2491608053</v>
      </c>
    </row>
    <row r="340" spans="4:26" ht="18" customHeight="1">
      <c r="D340" s="506" t="s">
        <v>1315</v>
      </c>
      <c r="E340" s="507" t="s">
        <v>1315</v>
      </c>
      <c r="F340" s="508"/>
      <c r="G340" s="507" t="s">
        <v>1316</v>
      </c>
      <c r="H340" s="509">
        <v>0</v>
      </c>
      <c r="I340" s="509">
        <v>0</v>
      </c>
      <c r="J340" s="509">
        <v>0</v>
      </c>
      <c r="K340" s="509">
        <v>0</v>
      </c>
      <c r="L340" s="509">
        <v>0</v>
      </c>
      <c r="M340" s="509"/>
      <c r="N340" s="509">
        <v>0</v>
      </c>
      <c r="O340" s="510">
        <f t="shared" si="56"/>
        <v>0</v>
      </c>
      <c r="Q340" s="511">
        <f>SUMIF('CF.2'!$H$5:$H$24,'CF.1'!E340,'CF.2'!$J$5:$J$24)-SUMIF('CF.2'!$K$5:$K$24,'CF.1'!E340,'CF.2'!$M$5:$M$24)</f>
        <v>0</v>
      </c>
      <c r="R340" s="509">
        <f>SUMIF('CF.2'!$H$30:$H$59,'CF.1'!E340,'CF.2'!$J$30:$J$59)+SUMIF('CF.2'!$K$30:$K$59,'CF.1'!E340,'CF.2'!$M$30:$M$59)</f>
        <v>0</v>
      </c>
      <c r="S340" s="509">
        <f>SUMIF('CF.2'!$H$64:$H$97,'CF.1'!E340,'CF.2'!$J$64:$J$97)+SUMIF('CF.2'!$K$64:$K$97,'CF.1'!E340,'CF.2'!$M$64:$M$97)</f>
        <v>0</v>
      </c>
      <c r="T340" s="509">
        <f>SUMIF('CF.2'!$H$101:$H$107,'CF.1'!E340,'CF.2'!$J$101:$J$107)+SUMIF('CF.2'!$K$101:$K$107,'CF.1'!E340,'CF.2'!$M$101:$M$107)</f>
        <v>0</v>
      </c>
      <c r="U340" s="509">
        <f>SUMIF('CF.2'!$H$112:$H$120,'CF.1'!E340,'CF.2'!$J$112:$J$120)+SUMIF('CF.2'!$K$112:$K$120,'CF.1'!E340,'CF.2'!$M$112:$M$120)</f>
        <v>0</v>
      </c>
      <c r="V340" s="510">
        <f t="shared" si="57"/>
        <v>0</v>
      </c>
      <c r="X340" s="512">
        <f t="shared" si="58"/>
        <v>0</v>
      </c>
    </row>
    <row r="341" spans="4:26" ht="18" customHeight="1">
      <c r="D341" s="506" t="s">
        <v>1317</v>
      </c>
      <c r="E341" s="507" t="s">
        <v>1317</v>
      </c>
      <c r="F341" s="508"/>
      <c r="G341" s="507" t="s">
        <v>1318</v>
      </c>
      <c r="H341" s="509">
        <v>0</v>
      </c>
      <c r="I341" s="509">
        <v>0</v>
      </c>
      <c r="J341" s="509">
        <v>0</v>
      </c>
      <c r="K341" s="509">
        <v>0</v>
      </c>
      <c r="L341" s="509">
        <v>0</v>
      </c>
      <c r="M341" s="509"/>
      <c r="N341" s="509">
        <v>0</v>
      </c>
      <c r="O341" s="510">
        <f t="shared" si="56"/>
        <v>0</v>
      </c>
      <c r="Q341" s="511">
        <f>SUMIF('CF.2'!$H$5:$H$24,'CF.1'!E341,'CF.2'!$J$5:$J$24)-SUMIF('CF.2'!$K$5:$K$24,'CF.1'!E341,'CF.2'!$M$5:$M$24)</f>
        <v>0</v>
      </c>
      <c r="R341" s="509">
        <f>SUMIF('CF.2'!$H$30:$H$59,'CF.1'!E341,'CF.2'!$J$30:$J$59)+SUMIF('CF.2'!$K$30:$K$59,'CF.1'!E341,'CF.2'!$M$30:$M$59)</f>
        <v>0</v>
      </c>
      <c r="S341" s="509">
        <f>SUMIF('CF.2'!$H$64:$H$97,'CF.1'!E341,'CF.2'!$J$64:$J$97)+SUMIF('CF.2'!$K$64:$K$97,'CF.1'!E341,'CF.2'!$M$64:$M$97)</f>
        <v>0</v>
      </c>
      <c r="T341" s="509">
        <f>SUMIF('CF.2'!$H$101:$H$107,'CF.1'!E341,'CF.2'!$J$101:$J$107)+SUMIF('CF.2'!$K$101:$K$107,'CF.1'!E341,'CF.2'!$M$101:$M$107)</f>
        <v>0</v>
      </c>
      <c r="U341" s="509">
        <f>SUMIF('CF.2'!$H$112:$H$120,'CF.1'!E341,'CF.2'!$J$112:$J$120)+SUMIF('CF.2'!$K$112:$K$120,'CF.1'!E341,'CF.2'!$M$112:$M$120)</f>
        <v>0</v>
      </c>
      <c r="V341" s="510">
        <f t="shared" si="57"/>
        <v>0</v>
      </c>
      <c r="X341" s="512">
        <f t="shared" si="58"/>
        <v>0</v>
      </c>
    </row>
    <row r="342" spans="4:26" ht="18" customHeight="1">
      <c r="D342" s="506" t="s">
        <v>1319</v>
      </c>
      <c r="E342" s="507" t="s">
        <v>1319</v>
      </c>
      <c r="F342" s="508" t="s">
        <v>1320</v>
      </c>
      <c r="G342" s="507" t="s">
        <v>1320</v>
      </c>
      <c r="H342" s="509">
        <v>-8065189</v>
      </c>
      <c r="I342" s="509">
        <v>0</v>
      </c>
      <c r="J342" s="509">
        <v>0</v>
      </c>
      <c r="K342" s="509">
        <v>0</v>
      </c>
      <c r="L342" s="509">
        <v>0</v>
      </c>
      <c r="M342" s="509"/>
      <c r="N342" s="509">
        <v>0</v>
      </c>
      <c r="O342" s="510">
        <f t="shared" si="56"/>
        <v>-8065189</v>
      </c>
      <c r="Q342" s="511">
        <f>SUMIF('CF.2'!$H$5:$H$24,'CF.1'!E342,'CF.2'!$J$5:$J$24)-SUMIF('CF.2'!$K$5:$K$24,'CF.1'!E342,'CF.2'!$M$5:$M$24)</f>
        <v>0</v>
      </c>
      <c r="R342" s="509">
        <f>SUMIF('CF.2'!$H$30:$H$59,'CF.1'!E342,'CF.2'!$J$30:$J$59)+SUMIF('CF.2'!$K$30:$K$59,'CF.1'!E342,'CF.2'!$M$30:$M$59)</f>
        <v>0</v>
      </c>
      <c r="S342" s="509">
        <f>SUMIF('CF.2'!$H$64:$H$97,'CF.1'!E342,'CF.2'!$J$64:$J$97)+SUMIF('CF.2'!$K$64:$K$97,'CF.1'!E342,'CF.2'!$M$64:$M$97)</f>
        <v>0</v>
      </c>
      <c r="T342" s="509">
        <f>SUMIF('CF.2'!$H$101:$H$107,'CF.1'!E342,'CF.2'!$J$101:$J$107)+SUMIF('CF.2'!$K$101:$K$107,'CF.1'!E342,'CF.2'!$M$101:$M$107)</f>
        <v>0</v>
      </c>
      <c r="U342" s="509">
        <f>SUMIF('CF.2'!$H$112:$H$120,'CF.1'!E342,'CF.2'!$J$112:$J$120)+SUMIF('CF.2'!$K$112:$K$120,'CF.1'!E342,'CF.2'!$M$112:$M$120)</f>
        <v>0</v>
      </c>
      <c r="V342" s="510">
        <f t="shared" si="57"/>
        <v>0</v>
      </c>
      <c r="X342" s="512">
        <f t="shared" si="58"/>
        <v>-8065189</v>
      </c>
      <c r="Z342" s="162" t="s">
        <v>1814</v>
      </c>
    </row>
    <row r="343" spans="4:26" ht="18" customHeight="1">
      <c r="D343" s="499" t="s">
        <v>1321</v>
      </c>
      <c r="E343" s="500" t="s">
        <v>1321</v>
      </c>
      <c r="F343" s="501"/>
      <c r="G343" s="500" t="s">
        <v>1322</v>
      </c>
      <c r="H343" s="502">
        <f t="shared" ref="H343:O344" si="59">H344</f>
        <v>-177515612</v>
      </c>
      <c r="I343" s="502">
        <f t="shared" si="59"/>
        <v>5125981</v>
      </c>
      <c r="J343" s="502">
        <f t="shared" si="59"/>
        <v>61319977</v>
      </c>
      <c r="K343" s="502">
        <f t="shared" si="59"/>
        <v>26306360</v>
      </c>
      <c r="L343" s="502">
        <f t="shared" si="59"/>
        <v>285348270</v>
      </c>
      <c r="M343" s="502">
        <f t="shared" si="59"/>
        <v>0</v>
      </c>
      <c r="N343" s="502">
        <f t="shared" si="59"/>
        <v>0</v>
      </c>
      <c r="O343" s="503">
        <f t="shared" si="59"/>
        <v>200584976</v>
      </c>
      <c r="Q343" s="504">
        <f t="shared" ref="Q343:X344" si="60">Q344</f>
        <v>-3633574</v>
      </c>
      <c r="R343" s="502">
        <f t="shared" si="60"/>
        <v>0</v>
      </c>
      <c r="S343" s="502">
        <f t="shared" si="60"/>
        <v>175000</v>
      </c>
      <c r="T343" s="502">
        <f t="shared" si="60"/>
        <v>0</v>
      </c>
      <c r="U343" s="502">
        <f t="shared" si="60"/>
        <v>0</v>
      </c>
      <c r="V343" s="503">
        <f t="shared" si="60"/>
        <v>-3458574</v>
      </c>
      <c r="X343" s="505">
        <f t="shared" si="60"/>
        <v>197126402</v>
      </c>
    </row>
    <row r="344" spans="4:26" ht="18" customHeight="1">
      <c r="D344" s="499" t="s">
        <v>1323</v>
      </c>
      <c r="E344" s="500" t="s">
        <v>1323</v>
      </c>
      <c r="F344" s="501"/>
      <c r="G344" s="500" t="s">
        <v>1322</v>
      </c>
      <c r="H344" s="502">
        <f t="shared" si="59"/>
        <v>-177515612</v>
      </c>
      <c r="I344" s="502">
        <f t="shared" si="59"/>
        <v>5125981</v>
      </c>
      <c r="J344" s="502">
        <f t="shared" si="59"/>
        <v>61319977</v>
      </c>
      <c r="K344" s="502">
        <f t="shared" si="59"/>
        <v>26306360</v>
      </c>
      <c r="L344" s="502">
        <f t="shared" si="59"/>
        <v>285348270</v>
      </c>
      <c r="M344" s="502">
        <f t="shared" si="59"/>
        <v>0</v>
      </c>
      <c r="N344" s="502">
        <f t="shared" si="59"/>
        <v>0</v>
      </c>
      <c r="O344" s="503">
        <f t="shared" si="59"/>
        <v>200584976</v>
      </c>
      <c r="Q344" s="504">
        <f t="shared" si="60"/>
        <v>-3633574</v>
      </c>
      <c r="R344" s="502">
        <f t="shared" si="60"/>
        <v>0</v>
      </c>
      <c r="S344" s="502">
        <f t="shared" si="60"/>
        <v>175000</v>
      </c>
      <c r="T344" s="502">
        <f t="shared" si="60"/>
        <v>0</v>
      </c>
      <c r="U344" s="502">
        <f t="shared" si="60"/>
        <v>0</v>
      </c>
      <c r="V344" s="503">
        <f t="shared" si="60"/>
        <v>-3458574</v>
      </c>
      <c r="X344" s="505">
        <f t="shared" si="60"/>
        <v>197126402</v>
      </c>
    </row>
    <row r="345" spans="4:26" ht="18" customHeight="1">
      <c r="D345" s="506" t="s">
        <v>1324</v>
      </c>
      <c r="E345" s="507" t="s">
        <v>1324</v>
      </c>
      <c r="F345" s="508"/>
      <c r="G345" s="507" t="s">
        <v>1325</v>
      </c>
      <c r="H345" s="509">
        <v>-177515612</v>
      </c>
      <c r="I345" s="509">
        <v>5125981</v>
      </c>
      <c r="J345" s="517">
        <v>61319977</v>
      </c>
      <c r="K345" s="509">
        <v>26306360</v>
      </c>
      <c r="L345" s="509">
        <v>285348270</v>
      </c>
      <c r="M345" s="509"/>
      <c r="N345" s="509">
        <v>0</v>
      </c>
      <c r="O345" s="510">
        <f t="shared" ref="O345" si="61">SUM(H345:N345)</f>
        <v>200584976</v>
      </c>
      <c r="Q345" s="511">
        <f>SUMIF('CF.2'!$H$5:$H$24,'CF.1'!E345,'CF.2'!$J$5:$J$24)-SUMIF('CF.2'!$K$5:$K$24,'CF.1'!E345,'CF.2'!$M$5:$M$24)</f>
        <v>-3633574</v>
      </c>
      <c r="R345" s="509">
        <f>SUMIF('CF.2'!$H$30:$H$59,'CF.1'!E345,'CF.2'!$J$30:$J$59)+SUMIF('CF.2'!$K$30:$K$59,'CF.1'!E345,'CF.2'!$M$30:$M$59)</f>
        <v>0</v>
      </c>
      <c r="S345" s="509">
        <f>SUMIF('CF.2'!$H$64:$H$97,'CF.1'!E345,'CF.2'!$J$64:$J$97)+SUMIF('CF.2'!$K$64:$K$97,'CF.1'!E345,'CF.2'!$M$64:$M$97)</f>
        <v>175000</v>
      </c>
      <c r="T345" s="509">
        <f>SUMIF('CF.2'!$H$101:$H$107,'CF.1'!E345,'CF.2'!$J$101:$J$107)+SUMIF('CF.2'!$K$101:$K$107,'CF.1'!E345,'CF.2'!$M$101:$M$107)</f>
        <v>0</v>
      </c>
      <c r="U345" s="509">
        <f>SUMIF('CF.2'!$H$112:$H$120,'CF.1'!E345,'CF.2'!$J$112:$J$120)+SUMIF('CF.2'!$K$112:$K$120,'CF.1'!E345,'CF.2'!$M$112:$M$120)</f>
        <v>0</v>
      </c>
      <c r="V345" s="510">
        <f>SUM(Q345:U345)</f>
        <v>-3458574</v>
      </c>
      <c r="X345" s="512">
        <f t="shared" ref="X345" si="62">V345+O345</f>
        <v>197126402</v>
      </c>
    </row>
    <row r="346" spans="4:26" ht="18" customHeight="1">
      <c r="D346" s="499" t="s">
        <v>1326</v>
      </c>
      <c r="E346" s="500" t="s">
        <v>1326</v>
      </c>
      <c r="F346" s="501"/>
      <c r="G346" s="500" t="s">
        <v>1327</v>
      </c>
      <c r="H346" s="502">
        <f t="shared" ref="H346:O347" si="63">H347</f>
        <v>0</v>
      </c>
      <c r="I346" s="502">
        <f t="shared" si="63"/>
        <v>0</v>
      </c>
      <c r="J346" s="502">
        <f t="shared" si="63"/>
        <v>0</v>
      </c>
      <c r="K346" s="502">
        <f t="shared" si="63"/>
        <v>0</v>
      </c>
      <c r="L346" s="502">
        <f t="shared" si="63"/>
        <v>0</v>
      </c>
      <c r="M346" s="502">
        <f t="shared" si="63"/>
        <v>0</v>
      </c>
      <c r="N346" s="502">
        <f t="shared" si="63"/>
        <v>0</v>
      </c>
      <c r="O346" s="503">
        <f t="shared" si="63"/>
        <v>0</v>
      </c>
      <c r="Q346" s="504">
        <f t="shared" ref="Q346:X347" si="64">Q347</f>
        <v>0</v>
      </c>
      <c r="R346" s="502">
        <f t="shared" si="64"/>
        <v>0</v>
      </c>
      <c r="S346" s="502">
        <f t="shared" si="64"/>
        <v>0</v>
      </c>
      <c r="T346" s="502">
        <f t="shared" si="64"/>
        <v>0</v>
      </c>
      <c r="U346" s="502">
        <f t="shared" si="64"/>
        <v>0</v>
      </c>
      <c r="V346" s="503">
        <f t="shared" si="64"/>
        <v>0</v>
      </c>
      <c r="X346" s="505">
        <f t="shared" si="64"/>
        <v>0</v>
      </c>
    </row>
    <row r="347" spans="4:26" ht="18" customHeight="1">
      <c r="D347" s="499" t="s">
        <v>1328</v>
      </c>
      <c r="E347" s="500" t="s">
        <v>1328</v>
      </c>
      <c r="F347" s="501"/>
      <c r="G347" s="500" t="s">
        <v>1327</v>
      </c>
      <c r="H347" s="502">
        <f t="shared" si="63"/>
        <v>0</v>
      </c>
      <c r="I347" s="502">
        <f t="shared" si="63"/>
        <v>0</v>
      </c>
      <c r="J347" s="502">
        <f t="shared" si="63"/>
        <v>0</v>
      </c>
      <c r="K347" s="502">
        <f t="shared" si="63"/>
        <v>0</v>
      </c>
      <c r="L347" s="502">
        <f t="shared" si="63"/>
        <v>0</v>
      </c>
      <c r="M347" s="502">
        <f t="shared" si="63"/>
        <v>0</v>
      </c>
      <c r="N347" s="502">
        <f t="shared" si="63"/>
        <v>0</v>
      </c>
      <c r="O347" s="503">
        <f t="shared" si="63"/>
        <v>0</v>
      </c>
      <c r="Q347" s="504">
        <f t="shared" si="64"/>
        <v>0</v>
      </c>
      <c r="R347" s="502">
        <f t="shared" si="64"/>
        <v>0</v>
      </c>
      <c r="S347" s="502">
        <f t="shared" si="64"/>
        <v>0</v>
      </c>
      <c r="T347" s="502">
        <f t="shared" si="64"/>
        <v>0</v>
      </c>
      <c r="U347" s="502">
        <f t="shared" si="64"/>
        <v>0</v>
      </c>
      <c r="V347" s="503">
        <f t="shared" si="64"/>
        <v>0</v>
      </c>
      <c r="X347" s="505">
        <f t="shared" si="64"/>
        <v>0</v>
      </c>
    </row>
    <row r="348" spans="4:26" ht="18" customHeight="1">
      <c r="D348" s="506" t="s">
        <v>1329</v>
      </c>
      <c r="E348" s="507" t="s">
        <v>1329</v>
      </c>
      <c r="F348" s="508"/>
      <c r="G348" s="507" t="s">
        <v>1330</v>
      </c>
      <c r="H348" s="509">
        <v>0</v>
      </c>
      <c r="I348" s="509">
        <v>0</v>
      </c>
      <c r="J348" s="509">
        <v>0</v>
      </c>
      <c r="K348" s="509">
        <v>0</v>
      </c>
      <c r="L348" s="509">
        <v>0</v>
      </c>
      <c r="M348" s="509"/>
      <c r="N348" s="509">
        <v>0</v>
      </c>
      <c r="O348" s="510">
        <f t="shared" ref="O348" si="65">SUM(H348:N348)</f>
        <v>0</v>
      </c>
      <c r="Q348" s="511">
        <f>SUMIF('CF.2'!$H$5:$H$24,'CF.1'!E348,'CF.2'!$J$5:$J$24)-SUMIF('CF.2'!$K$5:$K$24,'CF.1'!E348,'CF.2'!$M$5:$M$24)</f>
        <v>0</v>
      </c>
      <c r="R348" s="509">
        <f>SUMIF('CF.2'!$H$30:$H$59,'CF.1'!E348,'CF.2'!$J$30:$J$59)+SUMIF('CF.2'!$K$30:$K$59,'CF.1'!E348,'CF.2'!$M$30:$M$59)</f>
        <v>0</v>
      </c>
      <c r="S348" s="509">
        <f>SUMIF('CF.2'!$H$64:$H$97,'CF.1'!E348,'CF.2'!$J$64:$J$97)+SUMIF('CF.2'!$K$64:$K$97,'CF.1'!E348,'CF.2'!$M$64:$M$97)</f>
        <v>0</v>
      </c>
      <c r="T348" s="509">
        <f>SUMIF('CF.2'!$H$101:$H$107,'CF.1'!E348,'CF.2'!$J$101:$J$107)+SUMIF('CF.2'!$K$101:$K$107,'CF.1'!E348,'CF.2'!$M$101:$M$107)</f>
        <v>0</v>
      </c>
      <c r="U348" s="509">
        <f>SUMIF('CF.2'!$H$112:$H$120,'CF.1'!E348,'CF.2'!$J$112:$J$120)+SUMIF('CF.2'!$K$112:$K$120,'CF.1'!E348,'CF.2'!$M$112:$M$120)</f>
        <v>0</v>
      </c>
      <c r="V348" s="510">
        <f>SUM(Q348:U348)</f>
        <v>0</v>
      </c>
      <c r="X348" s="513">
        <f>V348+O348</f>
        <v>0</v>
      </c>
    </row>
    <row r="349" spans="4:26" ht="18" customHeight="1">
      <c r="D349" s="499" t="s">
        <v>1331</v>
      </c>
      <c r="E349" s="500" t="s">
        <v>1331</v>
      </c>
      <c r="F349" s="501"/>
      <c r="G349" s="500" t="s">
        <v>1332</v>
      </c>
      <c r="H349" s="502">
        <f t="shared" ref="H349:O349" si="66">SUM(H346,H343,H300,H181,H7)</f>
        <v>1427242044</v>
      </c>
      <c r="I349" s="502">
        <f t="shared" si="66"/>
        <v>-141349639</v>
      </c>
      <c r="J349" s="502">
        <f t="shared" si="66"/>
        <v>429582795</v>
      </c>
      <c r="K349" s="502">
        <f t="shared" si="66"/>
        <v>-161463024</v>
      </c>
      <c r="L349" s="502">
        <f t="shared" si="66"/>
        <v>-666014385</v>
      </c>
      <c r="M349" s="502">
        <f t="shared" si="66"/>
        <v>0</v>
      </c>
      <c r="N349" s="502">
        <f t="shared" si="66"/>
        <v>1155473209</v>
      </c>
      <c r="O349" s="503">
        <f t="shared" si="66"/>
        <v>2043471000</v>
      </c>
      <c r="Q349" s="504">
        <f t="shared" ref="Q349:U349" si="67">SUM(Q346,Q343,Q300,Q181,Q7)</f>
        <v>-8795439047</v>
      </c>
      <c r="R349" s="502">
        <f t="shared" si="67"/>
        <v>1181400000</v>
      </c>
      <c r="S349" s="502">
        <f t="shared" si="67"/>
        <v>-1181400000</v>
      </c>
      <c r="T349" s="502">
        <f t="shared" si="67"/>
        <v>0</v>
      </c>
      <c r="U349" s="502">
        <f t="shared" si="67"/>
        <v>0</v>
      </c>
      <c r="V349" s="503">
        <f t="shared" ref="V349:X349" si="68">SUM(V346,V343,V300,V181,V7)</f>
        <v>-8795439047</v>
      </c>
      <c r="X349" s="505">
        <f t="shared" si="68"/>
        <v>-6751968047</v>
      </c>
    </row>
    <row r="350" spans="4:26" ht="18" customHeight="1">
      <c r="D350" s="499" t="s">
        <v>1333</v>
      </c>
      <c r="E350" s="500" t="s">
        <v>1333</v>
      </c>
      <c r="F350" s="501"/>
      <c r="G350" s="500" t="s">
        <v>1334</v>
      </c>
      <c r="H350" s="502">
        <f t="shared" ref="H350:O351" si="69">H351</f>
        <v>82479179971</v>
      </c>
      <c r="I350" s="502">
        <f t="shared" si="69"/>
        <v>166192543</v>
      </c>
      <c r="J350" s="502">
        <f t="shared" si="69"/>
        <v>497016963</v>
      </c>
      <c r="K350" s="502">
        <f t="shared" si="69"/>
        <v>416360404</v>
      </c>
      <c r="L350" s="502">
        <f t="shared" si="69"/>
        <v>5636142142</v>
      </c>
      <c r="M350" s="502">
        <f t="shared" si="69"/>
        <v>0</v>
      </c>
      <c r="N350" s="502">
        <f t="shared" si="69"/>
        <v>6458468700</v>
      </c>
      <c r="O350" s="503">
        <f t="shared" si="69"/>
        <v>95653360723</v>
      </c>
      <c r="Q350" s="504">
        <f t="shared" ref="Q350:X351" si="70">Q351</f>
        <v>0</v>
      </c>
      <c r="R350" s="502">
        <f t="shared" si="70"/>
        <v>0</v>
      </c>
      <c r="S350" s="502">
        <f t="shared" si="70"/>
        <v>0</v>
      </c>
      <c r="T350" s="502">
        <f t="shared" si="70"/>
        <v>0</v>
      </c>
      <c r="U350" s="502">
        <f t="shared" si="70"/>
        <v>0</v>
      </c>
      <c r="V350" s="503">
        <f t="shared" si="70"/>
        <v>0</v>
      </c>
      <c r="X350" s="505">
        <f t="shared" si="70"/>
        <v>95653360723</v>
      </c>
    </row>
    <row r="351" spans="4:26" ht="18" customHeight="1">
      <c r="D351" s="499" t="s">
        <v>1335</v>
      </c>
      <c r="E351" s="500" t="s">
        <v>1335</v>
      </c>
      <c r="F351" s="501"/>
      <c r="G351" s="500" t="s">
        <v>1334</v>
      </c>
      <c r="H351" s="502">
        <f t="shared" si="69"/>
        <v>82479179971</v>
      </c>
      <c r="I351" s="502">
        <f t="shared" si="69"/>
        <v>166192543</v>
      </c>
      <c r="J351" s="502">
        <f t="shared" si="69"/>
        <v>497016963</v>
      </c>
      <c r="K351" s="502">
        <f t="shared" si="69"/>
        <v>416360404</v>
      </c>
      <c r="L351" s="502">
        <f t="shared" si="69"/>
        <v>5636142142</v>
      </c>
      <c r="M351" s="502">
        <f t="shared" si="69"/>
        <v>0</v>
      </c>
      <c r="N351" s="502">
        <f t="shared" si="69"/>
        <v>6458468700</v>
      </c>
      <c r="O351" s="503">
        <f t="shared" si="69"/>
        <v>95653360723</v>
      </c>
      <c r="Q351" s="504">
        <f t="shared" si="70"/>
        <v>0</v>
      </c>
      <c r="R351" s="502">
        <f t="shared" si="70"/>
        <v>0</v>
      </c>
      <c r="S351" s="502">
        <f t="shared" si="70"/>
        <v>0</v>
      </c>
      <c r="T351" s="502">
        <f t="shared" si="70"/>
        <v>0</v>
      </c>
      <c r="U351" s="502">
        <f t="shared" si="70"/>
        <v>0</v>
      </c>
      <c r="V351" s="503">
        <f t="shared" si="70"/>
        <v>0</v>
      </c>
      <c r="X351" s="505">
        <f t="shared" si="70"/>
        <v>95653360723</v>
      </c>
    </row>
    <row r="352" spans="4:26" ht="18" customHeight="1">
      <c r="D352" s="506" t="s">
        <v>1336</v>
      </c>
      <c r="E352" s="507" t="s">
        <v>1336</v>
      </c>
      <c r="F352" s="508"/>
      <c r="G352" s="507" t="s">
        <v>1337</v>
      </c>
      <c r="H352" s="509">
        <v>82479179971</v>
      </c>
      <c r="I352" s="509">
        <v>166192543</v>
      </c>
      <c r="J352" s="509">
        <v>497016963</v>
      </c>
      <c r="K352" s="509">
        <v>416360404</v>
      </c>
      <c r="L352" s="509">
        <v>5636142142</v>
      </c>
      <c r="M352" s="509"/>
      <c r="N352" s="509">
        <v>6458468700</v>
      </c>
      <c r="O352" s="510">
        <f>SUM(H352:N352)</f>
        <v>95653360723</v>
      </c>
      <c r="Q352" s="511">
        <f>SUMIF('CF.2'!$H$5:$H$24,'CF.1'!E352,'CF.2'!$J$5:$J$24)-SUMIF('CF.2'!$K$5:$K$24,'CF.1'!E352,'CF.2'!$M$5:$M$24)</f>
        <v>0</v>
      </c>
      <c r="R352" s="509">
        <f>SUMIF('CF.2'!$H$30:$H$59,'CF.1'!E352,'CF.2'!$J$30:$J$59)+SUMIF('CF.2'!$K$30:$K$59,'CF.1'!E352,'CF.2'!$M$30:$M$59)</f>
        <v>0</v>
      </c>
      <c r="S352" s="509">
        <f>SUMIF('CF.2'!$H$64:$H$97,'CF.1'!E352,'CF.2'!$J$64:$J$97)+SUMIF('CF.2'!$K$64:$K$97,'CF.1'!E352,'CF.2'!$M$64:$M$97)</f>
        <v>0</v>
      </c>
      <c r="T352" s="509">
        <f>SUMIF('CF.2'!$H$101:$H$107,'CF.1'!E352,'CF.2'!$J$101:$J$107)+SUMIF('CF.2'!$K$101:$K$107,'CF.1'!E352,'CF.2'!$M$101:$M$107)</f>
        <v>0</v>
      </c>
      <c r="U352" s="509">
        <f>SUMIF('CF.2'!$H$112:$H$120,'CF.1'!E352,'CF.2'!$J$112:$J$120)+SUMIF('CF.2'!$K$112:$K$120,'CF.1'!E352,'CF.2'!$M$112:$M$120)</f>
        <v>0</v>
      </c>
      <c r="V352" s="510">
        <f>SUM(Q352:U352)</f>
        <v>0</v>
      </c>
      <c r="X352" s="513">
        <f>V352+O352</f>
        <v>95653360723</v>
      </c>
      <c r="Z352" s="164" t="b">
        <f>'BS(공)'!I7=X352</f>
        <v>1</v>
      </c>
    </row>
    <row r="353" spans="4:26" ht="18" customHeight="1">
      <c r="D353" s="499" t="s">
        <v>1338</v>
      </c>
      <c r="E353" s="500" t="s">
        <v>1338</v>
      </c>
      <c r="F353" s="501"/>
      <c r="G353" s="500" t="s">
        <v>1339</v>
      </c>
      <c r="H353" s="502">
        <f t="shared" ref="H353:O354" si="71">H354</f>
        <v>83906422015</v>
      </c>
      <c r="I353" s="502">
        <f t="shared" si="71"/>
        <v>24842904</v>
      </c>
      <c r="J353" s="502">
        <f t="shared" si="71"/>
        <v>926599758</v>
      </c>
      <c r="K353" s="502">
        <f t="shared" si="71"/>
        <v>254897380</v>
      </c>
      <c r="L353" s="502">
        <f t="shared" si="71"/>
        <v>4970127757</v>
      </c>
      <c r="M353" s="502">
        <f t="shared" si="71"/>
        <v>0</v>
      </c>
      <c r="N353" s="502">
        <f t="shared" si="71"/>
        <v>7613941909</v>
      </c>
      <c r="O353" s="503">
        <f t="shared" si="71"/>
        <v>97696831723</v>
      </c>
      <c r="Q353" s="504">
        <f t="shared" ref="Q353:X354" si="72">Q354</f>
        <v>-8795439047</v>
      </c>
      <c r="R353" s="502">
        <f t="shared" si="72"/>
        <v>0</v>
      </c>
      <c r="S353" s="502">
        <f t="shared" si="72"/>
        <v>0</v>
      </c>
      <c r="T353" s="502">
        <f t="shared" si="72"/>
        <v>0</v>
      </c>
      <c r="U353" s="502">
        <f t="shared" si="72"/>
        <v>0</v>
      </c>
      <c r="V353" s="503">
        <f t="shared" si="72"/>
        <v>-8795439047</v>
      </c>
      <c r="X353" s="505">
        <f t="shared" si="72"/>
        <v>88901392676</v>
      </c>
    </row>
    <row r="354" spans="4:26" ht="18" customHeight="1">
      <c r="D354" s="499" t="s">
        <v>1340</v>
      </c>
      <c r="E354" s="500" t="s">
        <v>1340</v>
      </c>
      <c r="F354" s="501"/>
      <c r="G354" s="500" t="s">
        <v>1339</v>
      </c>
      <c r="H354" s="502">
        <f t="shared" si="71"/>
        <v>83906422015</v>
      </c>
      <c r="I354" s="502">
        <f t="shared" si="71"/>
        <v>24842904</v>
      </c>
      <c r="J354" s="502">
        <f t="shared" si="71"/>
        <v>926599758</v>
      </c>
      <c r="K354" s="502">
        <f t="shared" si="71"/>
        <v>254897380</v>
      </c>
      <c r="L354" s="502">
        <f t="shared" si="71"/>
        <v>4970127757</v>
      </c>
      <c r="M354" s="502">
        <f t="shared" si="71"/>
        <v>0</v>
      </c>
      <c r="N354" s="502">
        <f t="shared" si="71"/>
        <v>7613941909</v>
      </c>
      <c r="O354" s="503">
        <f t="shared" si="71"/>
        <v>97696831723</v>
      </c>
      <c r="Q354" s="504">
        <f t="shared" si="72"/>
        <v>-8795439047</v>
      </c>
      <c r="R354" s="502">
        <f t="shared" si="72"/>
        <v>0</v>
      </c>
      <c r="S354" s="502">
        <f t="shared" si="72"/>
        <v>0</v>
      </c>
      <c r="T354" s="502">
        <f t="shared" si="72"/>
        <v>0</v>
      </c>
      <c r="U354" s="502">
        <f t="shared" si="72"/>
        <v>0</v>
      </c>
      <c r="V354" s="503">
        <f t="shared" si="72"/>
        <v>-8795439047</v>
      </c>
      <c r="X354" s="505">
        <f t="shared" si="72"/>
        <v>88901392676</v>
      </c>
    </row>
    <row r="355" spans="4:26" ht="18" customHeight="1">
      <c r="D355" s="506" t="s">
        <v>1341</v>
      </c>
      <c r="E355" s="507" t="s">
        <v>1341</v>
      </c>
      <c r="F355" s="508"/>
      <c r="G355" s="507" t="s">
        <v>1342</v>
      </c>
      <c r="H355" s="509">
        <v>83906422015</v>
      </c>
      <c r="I355" s="509">
        <f>T_BS!I9</f>
        <v>24842904</v>
      </c>
      <c r="J355" s="509">
        <v>926599758</v>
      </c>
      <c r="K355" s="509">
        <v>254897380</v>
      </c>
      <c r="L355" s="509">
        <v>4970127757</v>
      </c>
      <c r="M355" s="509"/>
      <c r="N355" s="509">
        <v>7613941909</v>
      </c>
      <c r="O355" s="510">
        <f>SUM(H355:N355)</f>
        <v>97696831723</v>
      </c>
      <c r="Q355" s="511">
        <f>SUMIF('CF.2'!$H$5:$H$24,'CF.1'!E355,'CF.2'!$J$5:$J$24)-SUMIF('CF.2'!$K$5:$K$24,'CF.1'!E355,'CF.2'!$M$5:$M$24)</f>
        <v>-8795439047</v>
      </c>
      <c r="R355" s="509">
        <f>SUMIF('CF.2'!$H$30:$H$59,'CF.1'!E355,'CF.2'!$J$30:$J$59)+SUMIF('CF.2'!$K$30:$K$59,'CF.1'!E355,'CF.2'!$M$30:$M$59)</f>
        <v>0</v>
      </c>
      <c r="S355" s="509">
        <f>SUMIF('CF.2'!$H$64:$H$97,'CF.1'!E355,'CF.2'!$J$64:$J$97)+SUMIF('CF.2'!$K$64:$K$97,'CF.1'!E355,'CF.2'!$M$64:$M$97)</f>
        <v>0</v>
      </c>
      <c r="T355" s="509">
        <f>SUMIF('CF.2'!$H$101:$H$107,'CF.1'!E355,'CF.2'!$J$101:$J$107)+SUMIF('CF.2'!$K$101:$K$107,'CF.1'!E355,'CF.2'!$M$101:$M$107)</f>
        <v>0</v>
      </c>
      <c r="U355" s="509">
        <f>SUMIF('CF.2'!$H$112:$H$120,'CF.1'!E355,'CF.2'!$J$112:$J$120)+SUMIF('CF.2'!$K$112:$K$120,'CF.1'!E355,'CF.2'!$M$112:$M$120)</f>
        <v>0</v>
      </c>
      <c r="V355" s="510">
        <f>SUM(Q355:U355)</f>
        <v>-8795439047</v>
      </c>
      <c r="X355" s="513">
        <f>V355+O355</f>
        <v>88901392676</v>
      </c>
      <c r="Z355" s="36" t="b">
        <f>T_BS!AA9-X355=0</f>
        <v>1</v>
      </c>
    </row>
    <row r="356" spans="4:26" ht="18" customHeight="1">
      <c r="D356" s="499" t="s">
        <v>1343</v>
      </c>
      <c r="E356" s="500" t="s">
        <v>1343</v>
      </c>
      <c r="F356" s="501"/>
      <c r="G356" s="500" t="s">
        <v>1344</v>
      </c>
      <c r="H356" s="502"/>
      <c r="I356" s="502"/>
      <c r="J356" s="502"/>
      <c r="K356" s="502"/>
      <c r="L356" s="502"/>
      <c r="M356" s="502"/>
      <c r="N356" s="502"/>
      <c r="O356" s="503"/>
      <c r="Q356" s="504"/>
      <c r="R356" s="502"/>
      <c r="S356" s="502"/>
      <c r="T356" s="502"/>
      <c r="U356" s="502"/>
      <c r="V356" s="503"/>
      <c r="X356" s="505"/>
    </row>
    <row r="357" spans="4:26" ht="18" customHeight="1">
      <c r="D357" s="499" t="s">
        <v>1345</v>
      </c>
      <c r="E357" s="500" t="s">
        <v>1345</v>
      </c>
      <c r="F357" s="501"/>
      <c r="G357" s="500" t="s">
        <v>1344</v>
      </c>
      <c r="H357" s="502"/>
      <c r="I357" s="502"/>
      <c r="J357" s="502"/>
      <c r="K357" s="502"/>
      <c r="L357" s="502"/>
      <c r="M357" s="502"/>
      <c r="N357" s="502"/>
      <c r="O357" s="503"/>
      <c r="Q357" s="504"/>
      <c r="R357" s="502"/>
      <c r="S357" s="502"/>
      <c r="T357" s="502"/>
      <c r="U357" s="502"/>
      <c r="V357" s="503"/>
      <c r="X357" s="505"/>
    </row>
    <row r="358" spans="4:26" ht="18" customHeight="1" thickBot="1">
      <c r="D358" s="521" t="s">
        <v>1346</v>
      </c>
      <c r="E358" s="522" t="s">
        <v>1346</v>
      </c>
      <c r="F358" s="523"/>
      <c r="G358" s="522" t="s">
        <v>1347</v>
      </c>
      <c r="H358" s="524"/>
      <c r="I358" s="524"/>
      <c r="J358" s="524"/>
      <c r="K358" s="524"/>
      <c r="L358" s="524"/>
      <c r="M358" s="524"/>
      <c r="N358" s="524"/>
      <c r="O358" s="525"/>
      <c r="P358" s="526"/>
      <c r="Q358" s="730"/>
      <c r="R358" s="731"/>
      <c r="S358" s="731">
        <f>SUMIF('CF.2'!$H$64:$H$97,'CF.1'!E358,'CF.2'!$J$64:$J$97)+SUMIF('CF.2'!$K$64:$K$97,'CF.1'!E358,'CF.2'!$M$64:$M$97)</f>
        <v>0</v>
      </c>
      <c r="T358" s="731">
        <f>SUMIF('CF.2'!$H$101:$H$107,'CF.1'!E358,'CF.2'!$J$101:$J$107)+SUMIF('CF.2'!$K$101:$K$107,'CF.1'!E358,'CF.2'!$M$101:$M$107)</f>
        <v>0</v>
      </c>
      <c r="U358" s="731">
        <f>SUMIF('CF.2'!$H$112:$H$120,'CF.1'!E358,'CF.2'!$J$112:$J$120)+SUMIF('CF.2'!$K$112:$K$120,'CF.1'!E358,'CF.2'!$M$112:$M$120)</f>
        <v>0</v>
      </c>
      <c r="V358" s="732">
        <f>SUM(Q358:U358)</f>
        <v>0</v>
      </c>
      <c r="X358" s="527">
        <f>V358+O358</f>
        <v>0</v>
      </c>
    </row>
    <row r="359" spans="4:26" ht="18" customHeight="1" thickBot="1"/>
    <row r="360" spans="4:26" ht="18" customHeight="1">
      <c r="D360" s="466"/>
      <c r="E360" s="467"/>
      <c r="F360" s="528"/>
      <c r="G360" s="467" t="s">
        <v>1397</v>
      </c>
      <c r="H360" s="529">
        <f>H7</f>
        <v>-1433566959</v>
      </c>
      <c r="I360" s="529">
        <f t="shared" ref="I360:N360" si="73">I7</f>
        <v>-144025809</v>
      </c>
      <c r="J360" s="529">
        <f t="shared" si="73"/>
        <v>411358035</v>
      </c>
      <c r="K360" s="529">
        <f t="shared" si="73"/>
        <v>-664004954</v>
      </c>
      <c r="L360" s="529">
        <f t="shared" si="73"/>
        <v>-746212394</v>
      </c>
      <c r="M360" s="529">
        <f t="shared" si="73"/>
        <v>0</v>
      </c>
      <c r="N360" s="529">
        <f t="shared" si="73"/>
        <v>1225527209</v>
      </c>
      <c r="O360" s="529">
        <f t="shared" ref="O360" si="74">O7</f>
        <v>-1350924872</v>
      </c>
      <c r="P360" s="529">
        <f t="shared" ref="P360:X360" si="75">P7</f>
        <v>0</v>
      </c>
      <c r="Q360" s="529">
        <f t="shared" si="75"/>
        <v>0</v>
      </c>
      <c r="R360" s="529">
        <f t="shared" si="75"/>
        <v>1181400000</v>
      </c>
      <c r="S360" s="529">
        <f t="shared" si="75"/>
        <v>-1218170000</v>
      </c>
      <c r="T360" s="529">
        <f t="shared" si="75"/>
        <v>0</v>
      </c>
      <c r="U360" s="529">
        <f t="shared" si="75"/>
        <v>0</v>
      </c>
      <c r="V360" s="529">
        <f t="shared" si="75"/>
        <v>-36770000</v>
      </c>
      <c r="W360" s="529">
        <f t="shared" si="75"/>
        <v>0</v>
      </c>
      <c r="X360" s="530">
        <f t="shared" si="75"/>
        <v>-1387694872</v>
      </c>
    </row>
    <row r="361" spans="4:26" ht="18" customHeight="1">
      <c r="D361" s="470"/>
      <c r="G361" s="164" t="s">
        <v>1398</v>
      </c>
      <c r="H361" s="492">
        <f>H181</f>
        <v>5518832554</v>
      </c>
      <c r="I361" s="492">
        <f t="shared" ref="I361:O361" si="76">I181</f>
        <v>0</v>
      </c>
      <c r="J361" s="492">
        <f t="shared" si="76"/>
        <v>0</v>
      </c>
      <c r="K361" s="492">
        <f t="shared" si="76"/>
        <v>3143493</v>
      </c>
      <c r="L361" s="492">
        <f t="shared" si="76"/>
        <v>172242881</v>
      </c>
      <c r="M361" s="492">
        <f t="shared" si="76"/>
        <v>0</v>
      </c>
      <c r="N361" s="492">
        <f t="shared" si="76"/>
        <v>-70054000</v>
      </c>
      <c r="O361" s="492">
        <f t="shared" si="76"/>
        <v>5624164928</v>
      </c>
      <c r="P361" s="492">
        <f t="shared" ref="P361:X361" si="77">P181</f>
        <v>0</v>
      </c>
      <c r="Q361" s="492">
        <f t="shared" si="77"/>
        <v>-1177863564</v>
      </c>
      <c r="R361" s="492">
        <f t="shared" si="77"/>
        <v>0</v>
      </c>
      <c r="S361" s="492">
        <f t="shared" si="77"/>
        <v>571650000</v>
      </c>
      <c r="T361" s="492">
        <f t="shared" si="77"/>
        <v>-7613941909</v>
      </c>
      <c r="U361" s="492">
        <f t="shared" si="77"/>
        <v>0</v>
      </c>
      <c r="V361" s="492">
        <f t="shared" si="77"/>
        <v>-8220155473</v>
      </c>
      <c r="W361" s="492">
        <f t="shared" si="77"/>
        <v>0</v>
      </c>
      <c r="X361" s="531">
        <f t="shared" si="77"/>
        <v>-2595990545</v>
      </c>
    </row>
    <row r="362" spans="4:26" ht="18" customHeight="1" thickBot="1">
      <c r="D362" s="473"/>
      <c r="E362" s="474"/>
      <c r="F362" s="532"/>
      <c r="G362" s="474" t="s">
        <v>1399</v>
      </c>
      <c r="H362" s="533">
        <f>H300</f>
        <v>-2480507939</v>
      </c>
      <c r="I362" s="533">
        <f t="shared" ref="I362:O362" si="78">I300</f>
        <v>-2449811</v>
      </c>
      <c r="J362" s="533">
        <f t="shared" si="78"/>
        <v>-43095217</v>
      </c>
      <c r="K362" s="533">
        <f t="shared" si="78"/>
        <v>473092077</v>
      </c>
      <c r="L362" s="533">
        <f t="shared" si="78"/>
        <v>-377393142</v>
      </c>
      <c r="M362" s="533">
        <f t="shared" si="78"/>
        <v>0</v>
      </c>
      <c r="N362" s="533">
        <f t="shared" si="78"/>
        <v>0</v>
      </c>
      <c r="O362" s="533">
        <f t="shared" si="78"/>
        <v>-2430354032</v>
      </c>
      <c r="P362" s="533">
        <f t="shared" ref="P362:X362" si="79">P300</f>
        <v>0</v>
      </c>
      <c r="Q362" s="533">
        <f t="shared" si="79"/>
        <v>-7613941909</v>
      </c>
      <c r="R362" s="533">
        <f t="shared" si="79"/>
        <v>0</v>
      </c>
      <c r="S362" s="533">
        <f t="shared" si="79"/>
        <v>-535055000</v>
      </c>
      <c r="T362" s="533">
        <f t="shared" si="79"/>
        <v>7613941909</v>
      </c>
      <c r="U362" s="533">
        <f t="shared" si="79"/>
        <v>0</v>
      </c>
      <c r="V362" s="533">
        <f t="shared" si="79"/>
        <v>-535055000</v>
      </c>
      <c r="W362" s="533">
        <f t="shared" si="79"/>
        <v>0</v>
      </c>
      <c r="X362" s="534">
        <f t="shared" si="79"/>
        <v>-2965409032</v>
      </c>
    </row>
    <row r="364" spans="4:26" ht="18" customHeight="1" thickBot="1"/>
    <row r="365" spans="4:26" ht="18" customHeight="1">
      <c r="D365" s="466"/>
      <c r="E365" s="467"/>
      <c r="F365" s="528"/>
      <c r="G365" s="467" t="s">
        <v>303</v>
      </c>
      <c r="H365" s="529">
        <f>H14-SUM(T_IS!H65)</f>
        <v>0</v>
      </c>
      <c r="I365" s="529">
        <f>I14-SUM(T_IS!I65)</f>
        <v>0</v>
      </c>
      <c r="J365" s="529">
        <f>J14-SUM(T_IS!J65)</f>
        <v>0</v>
      </c>
      <c r="K365" s="529">
        <f>K14-SUM(T_IS!K65)</f>
        <v>0</v>
      </c>
      <c r="L365" s="529">
        <f>L14-SUM(T_IS!L65)</f>
        <v>0</v>
      </c>
      <c r="M365" s="529">
        <f>M14-SUM(T_IS!M65)</f>
        <v>0</v>
      </c>
      <c r="N365" s="529">
        <f>N14-SUM(T_IS!N65)</f>
        <v>0</v>
      </c>
      <c r="O365" s="529">
        <f>O14-SUM(T_IS!O65)</f>
        <v>0</v>
      </c>
      <c r="P365" s="467"/>
      <c r="Q365" s="529"/>
      <c r="R365" s="529"/>
      <c r="S365" s="529"/>
      <c r="T365" s="529"/>
      <c r="U365" s="529"/>
      <c r="V365" s="529"/>
      <c r="W365" s="467"/>
      <c r="X365" s="530">
        <f>X14-T_IS!AA65</f>
        <v>0</v>
      </c>
    </row>
    <row r="366" spans="4:26" ht="18" customHeight="1">
      <c r="D366" s="470"/>
      <c r="G366" s="164" t="s">
        <v>688</v>
      </c>
      <c r="H366" s="492">
        <f>H15-SUM(T_IS!H90:H91)</f>
        <v>0</v>
      </c>
      <c r="I366" s="492">
        <f>I15-SUM(T_IS!I90:I91)</f>
        <v>0</v>
      </c>
      <c r="J366" s="492">
        <f>J15-SUM(T_IS!J90:J91)</f>
        <v>0</v>
      </c>
      <c r="K366" s="492">
        <f>K15-SUM(T_IS!K90:K91)</f>
        <v>0</v>
      </c>
      <c r="L366" s="492">
        <f>L15-SUM(T_IS!L90:L91)</f>
        <v>0</v>
      </c>
      <c r="M366" s="492">
        <f>M15-SUM(T_IS!M90:M91)</f>
        <v>0</v>
      </c>
      <c r="N366" s="492">
        <f>N15-SUM(T_IS!N90:N91)</f>
        <v>0</v>
      </c>
      <c r="O366" s="492">
        <f>O15-SUM(T_IS!O90:O91)</f>
        <v>0</v>
      </c>
      <c r="P366" s="492"/>
      <c r="X366" s="531">
        <f>X15-SUM(T_IS!AA90:AA91)</f>
        <v>0</v>
      </c>
    </row>
    <row r="367" spans="4:26" ht="18" customHeight="1">
      <c r="D367" s="470"/>
      <c r="G367" s="164" t="s">
        <v>714</v>
      </c>
      <c r="H367" s="492">
        <f>H17-SUM(T_IS!H92)</f>
        <v>0</v>
      </c>
      <c r="I367" s="492">
        <f>I17-SUM(T_IS!I92)</f>
        <v>0</v>
      </c>
      <c r="J367" s="492">
        <f>J17-SUM(T_IS!J92)</f>
        <v>0</v>
      </c>
      <c r="K367" s="492">
        <f>K17-SUM(T_IS!K92)</f>
        <v>0</v>
      </c>
      <c r="L367" s="492">
        <f>L17-SUM(T_IS!L92)</f>
        <v>0</v>
      </c>
      <c r="M367" s="492">
        <f>M17-SUM(T_IS!M92)</f>
        <v>0</v>
      </c>
      <c r="N367" s="492">
        <f>N17-SUM(T_IS!N92)</f>
        <v>0</v>
      </c>
      <c r="O367" s="492">
        <f>O17-SUM(T_IS!O92)</f>
        <v>0</v>
      </c>
      <c r="P367" s="492"/>
      <c r="X367" s="531">
        <f>X17-T_IS!AA92</f>
        <v>0</v>
      </c>
    </row>
    <row r="368" spans="4:26" ht="18" customHeight="1">
      <c r="D368" s="470"/>
      <c r="G368" s="164" t="s">
        <v>692</v>
      </c>
      <c r="H368" s="492">
        <f>H29-SUM(T_IS!H101)</f>
        <v>0</v>
      </c>
      <c r="I368" s="492">
        <f>I29-SUM(T_IS!I101)</f>
        <v>0</v>
      </c>
      <c r="J368" s="492">
        <f>J29-SUM(T_IS!J101)</f>
        <v>0</v>
      </c>
      <c r="K368" s="492" t="s">
        <v>1812</v>
      </c>
      <c r="L368" s="492">
        <f>L29-SUM(T_IS!L101)</f>
        <v>0</v>
      </c>
      <c r="M368" s="492">
        <f>M29-SUM(T_IS!M101)</f>
        <v>0</v>
      </c>
      <c r="N368" s="492">
        <f>N29-SUM(T_IS!N101)</f>
        <v>0</v>
      </c>
      <c r="O368" s="492">
        <f>O29-SUM(T_IS!O101)</f>
        <v>0</v>
      </c>
      <c r="X368" s="531">
        <f>X29-T_IS!AA101</f>
        <v>0</v>
      </c>
    </row>
    <row r="369" spans="4:24" ht="18" customHeight="1">
      <c r="D369" s="470"/>
      <c r="G369" s="164" t="s">
        <v>483</v>
      </c>
      <c r="H369" s="492">
        <f>H32-T_IS!H108</f>
        <v>0</v>
      </c>
      <c r="I369" s="492">
        <f>I32-T_IS!I108</f>
        <v>0</v>
      </c>
      <c r="J369" s="492">
        <f>J32-T_IS!J108</f>
        <v>0</v>
      </c>
      <c r="K369" s="492">
        <f>K32-T_IS!K108</f>
        <v>0</v>
      </c>
      <c r="L369" s="492">
        <f>L32-T_IS!L108</f>
        <v>0</v>
      </c>
      <c r="M369" s="492">
        <f>M32-T_IS!M108</f>
        <v>0</v>
      </c>
      <c r="N369" s="492">
        <f>N32-T_IS!N108</f>
        <v>0</v>
      </c>
      <c r="O369" s="492">
        <f>O32-T_IS!O108</f>
        <v>0</v>
      </c>
      <c r="X369" s="531">
        <f>X32-T_IS!AA108</f>
        <v>0</v>
      </c>
    </row>
    <row r="370" spans="4:24" ht="18" customHeight="1">
      <c r="D370" s="470"/>
      <c r="G370" s="164" t="s">
        <v>691</v>
      </c>
      <c r="H370" s="492">
        <f>H33-T_IS!H100</f>
        <v>0</v>
      </c>
      <c r="I370" s="492">
        <f>I33-T_IS!I100</f>
        <v>0</v>
      </c>
      <c r="J370" s="492">
        <f>J33-T_IS!J100</f>
        <v>0</v>
      </c>
      <c r="K370" s="492">
        <f>K33-T_IS!K100</f>
        <v>0</v>
      </c>
      <c r="L370" s="492">
        <f>L33-T_IS!L100</f>
        <v>0</v>
      </c>
      <c r="M370" s="492">
        <f>M33-T_IS!M100</f>
        <v>0</v>
      </c>
      <c r="N370" s="492">
        <f>N33-T_IS!N100</f>
        <v>0</v>
      </c>
      <c r="O370" s="492">
        <f>O33-T_IS!O100</f>
        <v>0</v>
      </c>
      <c r="X370" s="531">
        <f>X33-T_IS!AA100</f>
        <v>-20593687255</v>
      </c>
    </row>
    <row r="371" spans="4:24" ht="18" customHeight="1">
      <c r="D371" s="470"/>
      <c r="G371" s="164" t="s">
        <v>686</v>
      </c>
      <c r="H371" s="492">
        <f>H61-SUM(T_IS!H83:H86)</f>
        <v>0</v>
      </c>
      <c r="I371" s="492">
        <f>I61-SUM(T_IS!I83:I86)</f>
        <v>0</v>
      </c>
      <c r="J371" s="492">
        <f>J61-SUM(T_IS!J83:J86)</f>
        <v>0</v>
      </c>
      <c r="K371" s="492">
        <f>K61-SUM(T_IS!K83:K86)</f>
        <v>0</v>
      </c>
      <c r="L371" s="492">
        <f>L61-SUM(T_IS!L83:L86)</f>
        <v>0</v>
      </c>
      <c r="M371" s="492">
        <f>M61-SUM(T_IS!M83:M86)</f>
        <v>0</v>
      </c>
      <c r="N371" s="492">
        <f>N61-SUM(T_IS!N83:N86)</f>
        <v>0</v>
      </c>
      <c r="O371" s="492">
        <f>O61-SUM(T_IS!O83:O86)</f>
        <v>0</v>
      </c>
      <c r="X371" s="531">
        <f>X61-SUM(T_IS!AA83:AA86)</f>
        <v>0</v>
      </c>
    </row>
    <row r="372" spans="4:24" ht="18" customHeight="1">
      <c r="D372" s="470"/>
      <c r="G372" s="164" t="s">
        <v>381</v>
      </c>
      <c r="H372" s="492">
        <f>H62-SUM(T_IS!H118)</f>
        <v>0</v>
      </c>
      <c r="I372" s="492">
        <f>I62-SUM(T_IS!I118)</f>
        <v>0</v>
      </c>
      <c r="J372" s="492">
        <f>J62-SUM(T_IS!J118)</f>
        <v>0</v>
      </c>
      <c r="K372" s="492">
        <f>K62-SUM(T_IS!K118)</f>
        <v>0</v>
      </c>
      <c r="L372" s="492">
        <f>L62-SUM(T_IS!L118)</f>
        <v>0</v>
      </c>
      <c r="M372" s="492">
        <f>M62-SUM(T_IS!M118)</f>
        <v>0</v>
      </c>
      <c r="N372" s="492">
        <f>N62-SUM(T_IS!N118)</f>
        <v>0</v>
      </c>
      <c r="O372" s="492">
        <f>O62-SUM(T_IS!O118)</f>
        <v>0</v>
      </c>
      <c r="X372" s="531">
        <f>X62-SUM(T_IS!AA118)</f>
        <v>0</v>
      </c>
    </row>
    <row r="373" spans="4:24" ht="18" customHeight="1">
      <c r="D373" s="470"/>
      <c r="G373" s="164" t="s">
        <v>678</v>
      </c>
      <c r="H373" s="492">
        <f>H110+SUM(T_IS!H73:H74)</f>
        <v>0</v>
      </c>
      <c r="I373" s="492">
        <f>I110+SUM(T_IS!I73:I74)</f>
        <v>0</v>
      </c>
      <c r="J373" s="492">
        <f>J110+SUM(T_IS!J73:J74)</f>
        <v>0</v>
      </c>
      <c r="K373" s="492">
        <f>K110+SUM(T_IS!K73:K74)</f>
        <v>0</v>
      </c>
      <c r="L373" s="492">
        <f>L110+SUM(T_IS!L73:L74)</f>
        <v>0</v>
      </c>
      <c r="M373" s="492">
        <f>M110+SUM(T_IS!M73:M74)</f>
        <v>0</v>
      </c>
      <c r="N373" s="492">
        <f>N110+SUM(T_IS!N73:N74)</f>
        <v>0</v>
      </c>
      <c r="O373" s="492">
        <f>O110+SUM(T_IS!O73:O74)</f>
        <v>0</v>
      </c>
      <c r="X373" s="531">
        <f>X110+SUM(T_IS!AA73:AA74)</f>
        <v>0</v>
      </c>
    </row>
    <row r="374" spans="4:24" ht="18" customHeight="1">
      <c r="D374" s="470"/>
      <c r="G374" s="164" t="s">
        <v>680</v>
      </c>
      <c r="H374" s="492">
        <f>H75+SUM(T_IS!H78:H79)</f>
        <v>0</v>
      </c>
      <c r="I374" s="492">
        <f>I75+SUM(T_IS!I78:I79)</f>
        <v>0</v>
      </c>
      <c r="J374" s="492">
        <f>J75+SUM(T_IS!J78:J79)</f>
        <v>0</v>
      </c>
      <c r="K374" s="492">
        <f>K75+SUM(T_IS!K78:K79)</f>
        <v>0</v>
      </c>
      <c r="L374" s="492">
        <f>L75+SUM(T_IS!L78:L79)</f>
        <v>0</v>
      </c>
      <c r="M374" s="492">
        <f>M75+SUM(T_IS!M78:M79)</f>
        <v>0</v>
      </c>
      <c r="N374" s="492">
        <f>N75+SUM(T_IS!N78:N79)</f>
        <v>0</v>
      </c>
      <c r="O374" s="492">
        <f>O75+SUM(T_IS!O78:O79)</f>
        <v>0</v>
      </c>
      <c r="X374" s="531">
        <f>X75+SUM(T_IS!AA78:AA79)</f>
        <v>0</v>
      </c>
    </row>
    <row r="375" spans="4:24" ht="18" customHeight="1">
      <c r="D375" s="470"/>
      <c r="G375" s="164" t="s">
        <v>815</v>
      </c>
      <c r="H375" s="492">
        <f>H115+SUM(T_IS!H81)</f>
        <v>0</v>
      </c>
      <c r="I375" s="492">
        <f>I115+SUM(T_IS!I81)</f>
        <v>0</v>
      </c>
      <c r="J375" s="492">
        <f>J115+SUM(T_IS!J81)</f>
        <v>0</v>
      </c>
      <c r="K375" s="492">
        <f>K115+SUM(T_IS!K81)</f>
        <v>0</v>
      </c>
      <c r="L375" s="492">
        <f>L115+SUM(T_IS!L81)</f>
        <v>0</v>
      </c>
      <c r="M375" s="492">
        <f>M115+SUM(T_IS!M81)</f>
        <v>0</v>
      </c>
      <c r="N375" s="492">
        <f>N115+SUM(T_IS!N81)</f>
        <v>0</v>
      </c>
      <c r="O375" s="492">
        <f>O115+SUM(T_IS!O81)</f>
        <v>0</v>
      </c>
      <c r="X375" s="531">
        <f>X115+SUM(T_IS!AA81)</f>
        <v>0</v>
      </c>
    </row>
    <row r="376" spans="4:24" ht="18" customHeight="1">
      <c r="D376" s="470"/>
      <c r="G376" s="164" t="s">
        <v>817</v>
      </c>
      <c r="H376" s="492">
        <f>H114+T_IS!H80</f>
        <v>0</v>
      </c>
      <c r="I376" s="492">
        <f>I114+T_IS!I80</f>
        <v>0</v>
      </c>
      <c r="J376" s="492">
        <f>J114+T_IS!J80</f>
        <v>0</v>
      </c>
      <c r="K376" s="492">
        <f>K114+T_IS!K80</f>
        <v>0</v>
      </c>
      <c r="L376" s="492">
        <f>L114+T_IS!L80</f>
        <v>0</v>
      </c>
      <c r="M376" s="492">
        <f>M114+T_IS!M80</f>
        <v>0</v>
      </c>
      <c r="N376" s="492">
        <f>N114+T_IS!N80</f>
        <v>0</v>
      </c>
      <c r="O376" s="492">
        <f>O114+T_IS!O80</f>
        <v>0</v>
      </c>
      <c r="X376" s="531">
        <f>X114+T_IS!AA80</f>
        <v>0</v>
      </c>
    </row>
    <row r="377" spans="4:24" ht="18" customHeight="1">
      <c r="D377" s="470"/>
      <c r="G377" s="164" t="s">
        <v>823</v>
      </c>
      <c r="H377" s="492">
        <f>H82+T_IS!H111</f>
        <v>0</v>
      </c>
      <c r="I377" s="492">
        <f>I80+T_IS!I111</f>
        <v>0</v>
      </c>
      <c r="J377" s="492">
        <f>J80+T_IS!J111</f>
        <v>0</v>
      </c>
      <c r="K377" s="492">
        <f>K80+T_IS!K111</f>
        <v>0</v>
      </c>
      <c r="L377" s="492">
        <f>L80+T_IS!L111</f>
        <v>0</v>
      </c>
      <c r="M377" s="492">
        <f>M80+T_IS!M111</f>
        <v>0</v>
      </c>
      <c r="N377" s="492">
        <f>N80+T_IS!N111</f>
        <v>0</v>
      </c>
      <c r="O377" s="492">
        <f>O80+T_IS!O111</f>
        <v>1199</v>
      </c>
      <c r="X377" s="531">
        <f>X80+T_IS!AA111</f>
        <v>-798640720</v>
      </c>
    </row>
    <row r="378" spans="4:24" ht="18" customHeight="1">
      <c r="D378" s="470"/>
      <c r="G378" s="164" t="s">
        <v>683</v>
      </c>
      <c r="H378" s="492">
        <f>H89+T_IS!H95</f>
        <v>0</v>
      </c>
      <c r="I378" s="492">
        <f>I89+T_IS!I95</f>
        <v>0</v>
      </c>
      <c r="J378" s="492">
        <f>J89+T_IS!J95</f>
        <v>0</v>
      </c>
      <c r="K378" s="492">
        <f>K89+T_IS!K95</f>
        <v>0</v>
      </c>
      <c r="L378" s="492">
        <f>L89+T_IS!L95</f>
        <v>0</v>
      </c>
      <c r="M378" s="492">
        <f>M89+T_IS!M95</f>
        <v>0</v>
      </c>
      <c r="N378" s="492">
        <f>N89+T_IS!N95</f>
        <v>0</v>
      </c>
      <c r="O378" s="492">
        <f>O89+T_IS!O95</f>
        <v>0</v>
      </c>
      <c r="X378" s="531">
        <f>X89+T_IS!AA95</f>
        <v>0</v>
      </c>
    </row>
    <row r="379" spans="4:24" ht="18" customHeight="1" thickBot="1">
      <c r="D379" s="473"/>
      <c r="E379" s="474"/>
      <c r="F379" s="532"/>
      <c r="G379" s="474" t="s">
        <v>684</v>
      </c>
      <c r="H379" s="533">
        <f>H91+T_IS!H96</f>
        <v>0</v>
      </c>
      <c r="I379" s="533">
        <f>I91+T_IS!I96</f>
        <v>0</v>
      </c>
      <c r="J379" s="533">
        <f>J91+T_IS!J96</f>
        <v>0</v>
      </c>
      <c r="K379" s="533">
        <f>K91+T_IS!K96</f>
        <v>0</v>
      </c>
      <c r="L379" s="533">
        <f>L91+T_IS!L96</f>
        <v>0</v>
      </c>
      <c r="M379" s="533">
        <f>M91+T_IS!M96</f>
        <v>0</v>
      </c>
      <c r="N379" s="533">
        <f>N91+T_IS!N96</f>
        <v>0</v>
      </c>
      <c r="O379" s="533">
        <f>O91+T_IS!O96</f>
        <v>0</v>
      </c>
      <c r="P379" s="474"/>
      <c r="Q379" s="533"/>
      <c r="R379" s="533"/>
      <c r="S379" s="533"/>
      <c r="T379" s="533"/>
      <c r="U379" s="533"/>
      <c r="V379" s="533"/>
      <c r="W379" s="474"/>
      <c r="X379" s="534">
        <f>X91+T_IS!AA96</f>
        <v>0</v>
      </c>
    </row>
  </sheetData>
  <autoFilter ref="D6:X358" xr:uid="{00000000-0009-0000-0000-00000A000000}"/>
  <phoneticPr fontId="18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00000"/>
  </sheetPr>
  <dimension ref="C3:N120"/>
  <sheetViews>
    <sheetView showGridLines="0" topLeftCell="A34" zoomScaleNormal="100" workbookViewId="0">
      <selection activeCell="H109" sqref="H109"/>
    </sheetView>
  </sheetViews>
  <sheetFormatPr defaultColWidth="8.75" defaultRowHeight="20.45" customHeight="1"/>
  <cols>
    <col min="1" max="3" width="2.375" style="28" customWidth="1"/>
    <col min="4" max="13" width="19.875" style="28" customWidth="1"/>
    <col min="14" max="15" width="25" style="28" customWidth="1"/>
    <col min="16" max="22" width="20.375" style="28" customWidth="1"/>
    <col min="23" max="16384" width="8.75" style="28"/>
  </cols>
  <sheetData>
    <row r="3" spans="3:13" s="206" customFormat="1" ht="20.45" customHeight="1">
      <c r="C3" s="206" t="s">
        <v>1509</v>
      </c>
    </row>
    <row r="4" spans="3:13" s="206" customFormat="1" ht="20.45" customHeight="1" thickBot="1">
      <c r="D4" s="206" t="s">
        <v>1515</v>
      </c>
    </row>
    <row r="5" spans="3:13" s="196" customFormat="1" ht="20.45" customHeight="1">
      <c r="D5" s="320" t="s">
        <v>503</v>
      </c>
      <c r="E5" s="321" t="s">
        <v>1510</v>
      </c>
      <c r="F5" s="321" t="s">
        <v>1512</v>
      </c>
      <c r="G5" s="478" t="s">
        <v>1511</v>
      </c>
      <c r="H5" s="320" t="s">
        <v>394</v>
      </c>
      <c r="I5" s="321" t="s">
        <v>1513</v>
      </c>
      <c r="J5" s="478" t="s">
        <v>1514</v>
      </c>
      <c r="K5" s="320" t="s">
        <v>394</v>
      </c>
      <c r="L5" s="321" t="s">
        <v>1513</v>
      </c>
      <c r="M5" s="478" t="s">
        <v>1514</v>
      </c>
    </row>
    <row r="6" spans="3:13" ht="20.45" customHeight="1">
      <c r="D6" s="202" t="s">
        <v>15</v>
      </c>
      <c r="E6" s="36">
        <v>82479179971</v>
      </c>
      <c r="F6" s="36">
        <f>'CF.1'!H352</f>
        <v>82479179971</v>
      </c>
      <c r="G6" s="201">
        <f>F6-E6</f>
        <v>0</v>
      </c>
      <c r="H6" s="202" t="s">
        <v>1336</v>
      </c>
      <c r="I6" s="36" t="s">
        <v>1337</v>
      </c>
      <c r="J6" s="201">
        <f>-G6</f>
        <v>0</v>
      </c>
      <c r="K6" s="202" t="s">
        <v>1336</v>
      </c>
      <c r="L6" s="36" t="s">
        <v>1337</v>
      </c>
      <c r="M6" s="201"/>
    </row>
    <row r="7" spans="3:13" ht="20.45" customHeight="1">
      <c r="D7" s="202" t="s">
        <v>218</v>
      </c>
      <c r="E7" s="36">
        <v>166192543</v>
      </c>
      <c r="F7" s="36">
        <f>'CF.1'!I352</f>
        <v>166192543</v>
      </c>
      <c r="G7" s="201">
        <f t="shared" ref="G7:G12" si="0">F7-E7</f>
        <v>0</v>
      </c>
      <c r="H7" s="202" t="s">
        <v>1336</v>
      </c>
      <c r="I7" s="36" t="s">
        <v>1337</v>
      </c>
      <c r="J7" s="201">
        <f t="shared" ref="J7:J12" si="1">-G7</f>
        <v>0</v>
      </c>
      <c r="K7" s="202" t="s">
        <v>1336</v>
      </c>
      <c r="L7" s="36" t="s">
        <v>1337</v>
      </c>
      <c r="M7" s="201"/>
    </row>
    <row r="8" spans="3:13" ht="20.45" customHeight="1">
      <c r="D8" s="202" t="s">
        <v>214</v>
      </c>
      <c r="E8" s="36">
        <v>497016963</v>
      </c>
      <c r="F8" s="36">
        <f>'CF.1'!J352</f>
        <v>497016963</v>
      </c>
      <c r="G8" s="201">
        <f t="shared" si="0"/>
        <v>0</v>
      </c>
      <c r="H8" s="202" t="s">
        <v>1336</v>
      </c>
      <c r="I8" s="36" t="s">
        <v>1337</v>
      </c>
      <c r="J8" s="201">
        <f t="shared" si="1"/>
        <v>0</v>
      </c>
      <c r="K8" s="202" t="s">
        <v>1336</v>
      </c>
      <c r="L8" s="36" t="s">
        <v>1337</v>
      </c>
      <c r="M8" s="201"/>
    </row>
    <row r="9" spans="3:13" ht="20.45" customHeight="1">
      <c r="D9" s="202" t="s">
        <v>215</v>
      </c>
      <c r="E9" s="36">
        <v>416360404</v>
      </c>
      <c r="F9" s="36">
        <f>'CF.1'!K352</f>
        <v>416360404</v>
      </c>
      <c r="G9" s="201">
        <f t="shared" si="0"/>
        <v>0</v>
      </c>
      <c r="H9" s="202" t="s">
        <v>1336</v>
      </c>
      <c r="I9" s="36" t="s">
        <v>1337</v>
      </c>
      <c r="J9" s="201">
        <f t="shared" si="1"/>
        <v>0</v>
      </c>
      <c r="K9" s="202" t="s">
        <v>1336</v>
      </c>
      <c r="L9" s="36" t="s">
        <v>1337</v>
      </c>
      <c r="M9" s="201"/>
    </row>
    <row r="10" spans="3:13" ht="20.45" customHeight="1">
      <c r="D10" s="202" t="s">
        <v>216</v>
      </c>
      <c r="E10" s="36">
        <v>5636142142</v>
      </c>
      <c r="F10" s="36">
        <f>'CF.1'!L352</f>
        <v>5636142142</v>
      </c>
      <c r="G10" s="201">
        <f t="shared" si="0"/>
        <v>0</v>
      </c>
      <c r="H10" s="202" t="s">
        <v>1336</v>
      </c>
      <c r="I10" s="36" t="s">
        <v>1337</v>
      </c>
      <c r="J10" s="201">
        <f t="shared" si="1"/>
        <v>0</v>
      </c>
      <c r="K10" s="202" t="s">
        <v>1336</v>
      </c>
      <c r="L10" s="36" t="s">
        <v>1337</v>
      </c>
      <c r="M10" s="201"/>
    </row>
    <row r="11" spans="3:13" ht="20.45" customHeight="1">
      <c r="D11" s="202" t="s">
        <v>534</v>
      </c>
      <c r="E11" s="36">
        <v>0</v>
      </c>
      <c r="F11" s="36">
        <f>'CF.1'!M352</f>
        <v>0</v>
      </c>
      <c r="G11" s="201">
        <f t="shared" si="0"/>
        <v>0</v>
      </c>
      <c r="H11" s="202" t="s">
        <v>1336</v>
      </c>
      <c r="I11" s="36" t="s">
        <v>1337</v>
      </c>
      <c r="J11" s="201">
        <f t="shared" si="1"/>
        <v>0</v>
      </c>
      <c r="K11" s="202" t="s">
        <v>1336</v>
      </c>
      <c r="L11" s="36" t="s">
        <v>1337</v>
      </c>
      <c r="M11" s="201"/>
    </row>
    <row r="12" spans="3:13" ht="20.45" customHeight="1" thickBot="1">
      <c r="D12" s="344" t="s">
        <v>217</v>
      </c>
      <c r="E12" s="345">
        <v>6458468700</v>
      </c>
      <c r="F12" s="345">
        <f>'CF.1'!N352</f>
        <v>6458468700</v>
      </c>
      <c r="G12" s="208">
        <f t="shared" si="0"/>
        <v>0</v>
      </c>
      <c r="H12" s="344" t="s">
        <v>1336</v>
      </c>
      <c r="I12" s="345" t="s">
        <v>1337</v>
      </c>
      <c r="J12" s="208">
        <f t="shared" si="1"/>
        <v>0</v>
      </c>
      <c r="K12" s="344" t="s">
        <v>1164</v>
      </c>
      <c r="L12" s="345" t="s">
        <v>1165</v>
      </c>
      <c r="M12" s="208">
        <f>J12</f>
        <v>0</v>
      </c>
    </row>
    <row r="13" spans="3:13" s="206" customFormat="1" ht="20.45" customHeight="1" thickBot="1">
      <c r="D13" s="346"/>
      <c r="E13" s="479">
        <f>SUM(E6:E12)</f>
        <v>95653360723</v>
      </c>
      <c r="F13" s="479">
        <f>SUM(F6:F12)</f>
        <v>95653360723</v>
      </c>
      <c r="G13" s="479"/>
      <c r="H13" s="479"/>
      <c r="I13" s="479"/>
      <c r="J13" s="479"/>
      <c r="K13" s="479"/>
      <c r="L13" s="479"/>
      <c r="M13" s="347"/>
    </row>
    <row r="15" spans="3:13" s="206" customFormat="1" ht="20.45" customHeight="1" thickBot="1">
      <c r="D15" s="206" t="s">
        <v>1516</v>
      </c>
    </row>
    <row r="16" spans="3:13" ht="20.45" customHeight="1">
      <c r="D16" s="320" t="s">
        <v>503</v>
      </c>
      <c r="E16" s="321" t="s">
        <v>1510</v>
      </c>
      <c r="F16" s="321" t="s">
        <v>1747</v>
      </c>
      <c r="G16" s="478" t="s">
        <v>1511</v>
      </c>
      <c r="H16" s="320" t="s">
        <v>394</v>
      </c>
      <c r="I16" s="321" t="s">
        <v>1513</v>
      </c>
      <c r="J16" s="478" t="s">
        <v>1514</v>
      </c>
      <c r="K16" s="320" t="s">
        <v>394</v>
      </c>
      <c r="L16" s="321" t="s">
        <v>1513</v>
      </c>
      <c r="M16" s="478" t="s">
        <v>1514</v>
      </c>
    </row>
    <row r="17" spans="3:13" ht="20.45" customHeight="1">
      <c r="D17" s="202" t="s">
        <v>15</v>
      </c>
      <c r="E17" s="36">
        <f>T_BS!H9</f>
        <v>83906422015</v>
      </c>
      <c r="F17" s="36">
        <f>'CF.1'!H355</f>
        <v>83906422015</v>
      </c>
      <c r="G17" s="201">
        <f t="shared" ref="G17:G24" si="2">F17-E17</f>
        <v>0</v>
      </c>
      <c r="H17" s="202" t="s">
        <v>1341</v>
      </c>
      <c r="I17" s="36" t="s">
        <v>1342</v>
      </c>
      <c r="J17" s="201">
        <f>-G17</f>
        <v>0</v>
      </c>
      <c r="K17" s="202" t="s">
        <v>1341</v>
      </c>
      <c r="L17" s="36" t="s">
        <v>1342</v>
      </c>
      <c r="M17" s="201"/>
    </row>
    <row r="18" spans="3:13" ht="20.45" customHeight="1">
      <c r="D18" s="202" t="s">
        <v>218</v>
      </c>
      <c r="E18" s="36">
        <f>T_BS!I9</f>
        <v>24842904</v>
      </c>
      <c r="F18" s="36">
        <f>'CF.1'!I355</f>
        <v>24842904</v>
      </c>
      <c r="G18" s="201">
        <f t="shared" si="2"/>
        <v>0</v>
      </c>
      <c r="H18" s="202" t="s">
        <v>1341</v>
      </c>
      <c r="I18" s="36" t="s">
        <v>1342</v>
      </c>
      <c r="J18" s="201">
        <f t="shared" ref="J18:J24" si="3">-G18</f>
        <v>0</v>
      </c>
      <c r="K18" s="202" t="s">
        <v>1341</v>
      </c>
      <c r="L18" s="36" t="s">
        <v>1342</v>
      </c>
      <c r="M18" s="201"/>
    </row>
    <row r="19" spans="3:13" ht="20.45" customHeight="1">
      <c r="D19" s="202" t="s">
        <v>214</v>
      </c>
      <c r="E19" s="36">
        <f>T_BS!J9</f>
        <v>0</v>
      </c>
      <c r="F19" s="36">
        <f>'CF.1'!J355</f>
        <v>926599758</v>
      </c>
      <c r="G19" s="201">
        <f t="shared" si="2"/>
        <v>926599758</v>
      </c>
      <c r="H19" s="202" t="s">
        <v>1341</v>
      </c>
      <c r="I19" s="36" t="s">
        <v>1342</v>
      </c>
      <c r="J19" s="201">
        <f t="shared" si="3"/>
        <v>-926599758</v>
      </c>
      <c r="K19" s="202" t="s">
        <v>1055</v>
      </c>
      <c r="L19" s="36" t="s">
        <v>1056</v>
      </c>
      <c r="M19" s="201">
        <f>-J19</f>
        <v>926599758</v>
      </c>
    </row>
    <row r="20" spans="3:13" ht="20.45" customHeight="1">
      <c r="D20" s="202" t="s">
        <v>215</v>
      </c>
      <c r="E20" s="36">
        <f>T_BS!K9</f>
        <v>0</v>
      </c>
      <c r="F20" s="36">
        <f>'CF.1'!K355</f>
        <v>254897380</v>
      </c>
      <c r="G20" s="201">
        <f t="shared" si="2"/>
        <v>254897380</v>
      </c>
      <c r="H20" s="202" t="s">
        <v>1341</v>
      </c>
      <c r="I20" s="36" t="s">
        <v>1342</v>
      </c>
      <c r="J20" s="201">
        <f t="shared" si="3"/>
        <v>-254897380</v>
      </c>
      <c r="K20" s="202" t="s">
        <v>1239</v>
      </c>
      <c r="L20" s="36" t="s">
        <v>1240</v>
      </c>
      <c r="M20" s="201">
        <f>-J20</f>
        <v>254897380</v>
      </c>
    </row>
    <row r="21" spans="3:13" ht="20.45" customHeight="1">
      <c r="D21" s="202"/>
      <c r="E21" s="36"/>
      <c r="F21" s="36"/>
      <c r="G21" s="201"/>
      <c r="H21" s="202" t="s">
        <v>1324</v>
      </c>
      <c r="I21" s="36" t="s">
        <v>1325</v>
      </c>
      <c r="J21" s="201">
        <f>M21</f>
        <v>-3633574</v>
      </c>
      <c r="K21" s="202" t="s">
        <v>1239</v>
      </c>
      <c r="L21" s="36" t="s">
        <v>1240</v>
      </c>
      <c r="M21" s="201">
        <v>-3633574</v>
      </c>
    </row>
    <row r="22" spans="3:13" ht="20.45" customHeight="1">
      <c r="D22" s="202" t="s">
        <v>216</v>
      </c>
      <c r="E22" s="36">
        <f>T_BS!L9</f>
        <v>4970127757</v>
      </c>
      <c r="F22" s="36">
        <f>'CF.1'!L355</f>
        <v>4970127757</v>
      </c>
      <c r="G22" s="201">
        <f t="shared" si="2"/>
        <v>0</v>
      </c>
      <c r="H22" s="202" t="s">
        <v>1341</v>
      </c>
      <c r="I22" s="36" t="s">
        <v>1342</v>
      </c>
      <c r="J22" s="201">
        <f t="shared" si="3"/>
        <v>0</v>
      </c>
      <c r="K22" s="202" t="s">
        <v>1341</v>
      </c>
      <c r="L22" s="36" t="s">
        <v>1342</v>
      </c>
      <c r="M22" s="201"/>
    </row>
    <row r="23" spans="3:13" ht="20.45" customHeight="1">
      <c r="D23" s="202" t="s">
        <v>534</v>
      </c>
      <c r="E23" s="36">
        <f>T_BS!M9</f>
        <v>0</v>
      </c>
      <c r="F23" s="36">
        <f>'CF.1'!M355</f>
        <v>0</v>
      </c>
      <c r="G23" s="201">
        <f t="shared" si="2"/>
        <v>0</v>
      </c>
      <c r="H23" s="202" t="s">
        <v>1341</v>
      </c>
      <c r="I23" s="36" t="s">
        <v>1342</v>
      </c>
      <c r="J23" s="201">
        <f t="shared" si="3"/>
        <v>0</v>
      </c>
      <c r="K23" s="202" t="s">
        <v>1269</v>
      </c>
      <c r="L23" s="36" t="s">
        <v>1270</v>
      </c>
      <c r="M23" s="201">
        <f>-J23</f>
        <v>0</v>
      </c>
    </row>
    <row r="24" spans="3:13" ht="20.45" customHeight="1" thickBot="1">
      <c r="D24" s="344" t="s">
        <v>217</v>
      </c>
      <c r="E24" s="345">
        <f>T_BS!N9</f>
        <v>0</v>
      </c>
      <c r="F24" s="345">
        <f>'CF.1'!N355</f>
        <v>7613941909</v>
      </c>
      <c r="G24" s="208">
        <f t="shared" si="2"/>
        <v>7613941909</v>
      </c>
      <c r="H24" s="344" t="s">
        <v>1341</v>
      </c>
      <c r="I24" s="345" t="s">
        <v>1342</v>
      </c>
      <c r="J24" s="208">
        <f t="shared" si="3"/>
        <v>-7613941909</v>
      </c>
      <c r="K24" s="202" t="s">
        <v>1269</v>
      </c>
      <c r="L24" s="36" t="s">
        <v>1270</v>
      </c>
      <c r="M24" s="201">
        <f>-J24</f>
        <v>7613941909</v>
      </c>
    </row>
    <row r="25" spans="3:13" ht="20.45" customHeight="1" thickBot="1">
      <c r="D25" s="480"/>
      <c r="E25" s="481">
        <f>SUM(E17:E24)</f>
        <v>88901392676</v>
      </c>
      <c r="F25" s="481">
        <f>SUM(F17:F24)</f>
        <v>97696831723</v>
      </c>
      <c r="G25" s="481"/>
      <c r="H25" s="481"/>
      <c r="I25" s="481"/>
      <c r="J25" s="481"/>
      <c r="K25" s="481"/>
      <c r="L25" s="481"/>
      <c r="M25" s="482"/>
    </row>
    <row r="27" spans="3:13" s="206" customFormat="1" ht="20.45" customHeight="1">
      <c r="C27" s="206" t="s">
        <v>1517</v>
      </c>
    </row>
    <row r="28" spans="3:13" s="206" customFormat="1" ht="20.45" customHeight="1" thickBot="1">
      <c r="D28" s="206" t="s">
        <v>1518</v>
      </c>
    </row>
    <row r="29" spans="3:13" ht="20.45" customHeight="1">
      <c r="D29" s="320" t="s">
        <v>416</v>
      </c>
      <c r="E29" s="321" t="s">
        <v>1510</v>
      </c>
      <c r="F29" s="321"/>
      <c r="G29" s="478" t="s">
        <v>1511</v>
      </c>
      <c r="H29" s="320" t="s">
        <v>394</v>
      </c>
      <c r="I29" s="321" t="s">
        <v>1513</v>
      </c>
      <c r="J29" s="478" t="s">
        <v>1514</v>
      </c>
      <c r="K29" s="320" t="s">
        <v>394</v>
      </c>
      <c r="L29" s="321" t="s">
        <v>1513</v>
      </c>
      <c r="M29" s="478" t="s">
        <v>1514</v>
      </c>
    </row>
    <row r="30" spans="3:13" ht="20.45" customHeight="1">
      <c r="D30" s="202" t="s">
        <v>492</v>
      </c>
      <c r="E30" s="36">
        <v>0</v>
      </c>
      <c r="F30" s="36"/>
      <c r="G30" s="201">
        <f t="shared" ref="G30:G36" si="4">F30-E30</f>
        <v>0</v>
      </c>
      <c r="H30" s="202" t="s">
        <v>702</v>
      </c>
      <c r="I30" s="36" t="s">
        <v>210</v>
      </c>
      <c r="J30" s="201">
        <f>G30</f>
        <v>0</v>
      </c>
      <c r="K30" s="202" t="s">
        <v>706</v>
      </c>
      <c r="L30" s="36" t="s">
        <v>492</v>
      </c>
      <c r="M30" s="201">
        <f>-J30</f>
        <v>0</v>
      </c>
    </row>
    <row r="31" spans="3:13" ht="20.45" customHeight="1">
      <c r="D31" s="202" t="s">
        <v>387</v>
      </c>
      <c r="E31" s="36">
        <f>'5.0'!J8</f>
        <v>685224178</v>
      </c>
      <c r="F31" s="36"/>
      <c r="G31" s="201">
        <f t="shared" si="4"/>
        <v>-685224178</v>
      </c>
      <c r="H31" s="202" t="s">
        <v>702</v>
      </c>
      <c r="I31" s="36" t="s">
        <v>210</v>
      </c>
      <c r="J31" s="201">
        <f>G31</f>
        <v>-685224178</v>
      </c>
      <c r="K31" s="202" t="s">
        <v>707</v>
      </c>
      <c r="L31" s="36" t="s">
        <v>387</v>
      </c>
      <c r="M31" s="201">
        <f t="shared" ref="M31:M33" si="5">-J31</f>
        <v>685224178</v>
      </c>
    </row>
    <row r="32" spans="3:13" ht="20.45" customHeight="1">
      <c r="D32" s="202" t="s">
        <v>381</v>
      </c>
      <c r="E32" s="36">
        <f>'5.0'!J9</f>
        <v>-238526523</v>
      </c>
      <c r="F32" s="36"/>
      <c r="G32" s="201">
        <f t="shared" si="4"/>
        <v>238526523</v>
      </c>
      <c r="H32" s="202" t="s">
        <v>702</v>
      </c>
      <c r="I32" s="36" t="s">
        <v>210</v>
      </c>
      <c r="J32" s="201">
        <f>G32</f>
        <v>238526523</v>
      </c>
      <c r="K32" s="202" t="s">
        <v>790</v>
      </c>
      <c r="L32" s="36" t="s">
        <v>381</v>
      </c>
      <c r="M32" s="201">
        <f t="shared" si="5"/>
        <v>-238526523</v>
      </c>
    </row>
    <row r="33" spans="4:13" ht="20.45" customHeight="1">
      <c r="D33" s="202" t="s">
        <v>691</v>
      </c>
      <c r="E33" s="36">
        <f>'5.0'!I25</f>
        <v>0</v>
      </c>
      <c r="F33" s="36"/>
      <c r="G33" s="201">
        <f t="shared" si="4"/>
        <v>0</v>
      </c>
      <c r="H33" s="202" t="s">
        <v>702</v>
      </c>
      <c r="I33" s="36" t="s">
        <v>210</v>
      </c>
      <c r="J33" s="201">
        <f>G33</f>
        <v>0</v>
      </c>
      <c r="K33" s="202" t="s">
        <v>743</v>
      </c>
      <c r="L33" s="36" t="s">
        <v>691</v>
      </c>
      <c r="M33" s="201">
        <f t="shared" si="5"/>
        <v>0</v>
      </c>
    </row>
    <row r="34" spans="4:13" ht="20.45" customHeight="1">
      <c r="D34" s="202"/>
      <c r="E34" s="36"/>
      <c r="F34" s="36"/>
      <c r="G34" s="201">
        <f t="shared" si="4"/>
        <v>0</v>
      </c>
      <c r="H34" s="202"/>
      <c r="I34" s="36"/>
      <c r="J34" s="201"/>
      <c r="K34" s="202"/>
      <c r="L34" s="36"/>
      <c r="M34" s="201"/>
    </row>
    <row r="35" spans="4:13" ht="20.45" customHeight="1">
      <c r="D35" s="202"/>
      <c r="E35" s="36"/>
      <c r="F35" s="36"/>
      <c r="G35" s="201">
        <f t="shared" si="4"/>
        <v>0</v>
      </c>
      <c r="H35" s="202"/>
      <c r="I35" s="36"/>
      <c r="J35" s="201"/>
      <c r="K35" s="202"/>
      <c r="L35" s="36"/>
      <c r="M35" s="201"/>
    </row>
    <row r="36" spans="4:13" ht="20.45" customHeight="1" thickBot="1">
      <c r="D36" s="344"/>
      <c r="E36" s="345"/>
      <c r="F36" s="345"/>
      <c r="G36" s="208">
        <f t="shared" si="4"/>
        <v>0</v>
      </c>
      <c r="H36" s="344"/>
      <c r="I36" s="345"/>
      <c r="J36" s="208"/>
      <c r="K36" s="344"/>
      <c r="L36" s="345"/>
      <c r="M36" s="208"/>
    </row>
    <row r="37" spans="4:13" ht="20.45" customHeight="1" thickBot="1">
      <c r="D37" s="480"/>
      <c r="E37" s="481">
        <f>SUM(E30:E36)</f>
        <v>446697655</v>
      </c>
      <c r="F37" s="481">
        <f>SUM(F30:F36)</f>
        <v>0</v>
      </c>
      <c r="G37" s="481"/>
      <c r="H37" s="481"/>
      <c r="I37" s="481"/>
      <c r="J37" s="481"/>
      <c r="K37" s="481"/>
      <c r="L37" s="481"/>
      <c r="M37" s="482"/>
    </row>
    <row r="39" spans="4:13" s="206" customFormat="1" ht="20.45" customHeight="1" thickBot="1">
      <c r="D39" s="206" t="s">
        <v>1524</v>
      </c>
    </row>
    <row r="40" spans="4:13" ht="20.45" customHeight="1">
      <c r="D40" s="320" t="s">
        <v>416</v>
      </c>
      <c r="E40" s="321" t="s">
        <v>1510</v>
      </c>
      <c r="F40" s="321"/>
      <c r="G40" s="478" t="s">
        <v>1511</v>
      </c>
      <c r="H40" s="320" t="s">
        <v>394</v>
      </c>
      <c r="I40" s="321" t="s">
        <v>1513</v>
      </c>
      <c r="J40" s="478" t="s">
        <v>1514</v>
      </c>
      <c r="K40" s="320" t="s">
        <v>394</v>
      </c>
      <c r="L40" s="321" t="s">
        <v>1513</v>
      </c>
      <c r="M40" s="478" t="s">
        <v>1514</v>
      </c>
    </row>
    <row r="41" spans="4:13" ht="20.45" customHeight="1">
      <c r="D41" s="202" t="s">
        <v>243</v>
      </c>
      <c r="E41" s="36">
        <f>-SUM('4.0'!J36,'4.0'!J34,'4.0'!J16,'4.0'!J14,'4.0'!J51)-1</f>
        <v>556469157</v>
      </c>
      <c r="F41" s="36"/>
      <c r="G41" s="201">
        <f t="shared" ref="G41:G47" si="6">F41-E41</f>
        <v>-556469157</v>
      </c>
      <c r="H41" s="202" t="s">
        <v>702</v>
      </c>
      <c r="I41" s="36" t="s">
        <v>210</v>
      </c>
      <c r="J41" s="201">
        <f>-G41</f>
        <v>556469157</v>
      </c>
      <c r="K41" s="202" t="s">
        <v>929</v>
      </c>
      <c r="L41" s="36" t="s">
        <v>930</v>
      </c>
      <c r="M41" s="201">
        <f>-J41</f>
        <v>-556469157</v>
      </c>
    </row>
    <row r="42" spans="4:13" ht="20.45" customHeight="1">
      <c r="D42" s="202" t="s">
        <v>303</v>
      </c>
      <c r="E42" s="36">
        <f>-'4.0'!J59</f>
        <v>0</v>
      </c>
      <c r="F42" s="36"/>
      <c r="G42" s="201">
        <f t="shared" si="6"/>
        <v>0</v>
      </c>
      <c r="H42" s="202" t="s">
        <v>702</v>
      </c>
      <c r="I42" s="36" t="s">
        <v>210</v>
      </c>
      <c r="J42" s="201">
        <f t="shared" ref="J42:J43" si="7">-G42</f>
        <v>0</v>
      </c>
      <c r="K42" s="202" t="s">
        <v>709</v>
      </c>
      <c r="L42" s="36" t="s">
        <v>303</v>
      </c>
      <c r="M42" s="201">
        <f t="shared" ref="M42:M44" si="8">-J42</f>
        <v>0</v>
      </c>
    </row>
    <row r="43" spans="4:13" ht="20.45" customHeight="1">
      <c r="D43" s="202" t="s">
        <v>297</v>
      </c>
      <c r="E43" s="36">
        <f>-'4.0'!J65</f>
        <v>1181400000</v>
      </c>
      <c r="F43" s="36"/>
      <c r="G43" s="201">
        <f t="shared" si="6"/>
        <v>-1181400000</v>
      </c>
      <c r="H43" s="202" t="s">
        <v>702</v>
      </c>
      <c r="I43" s="36" t="s">
        <v>210</v>
      </c>
      <c r="J43" s="201">
        <f t="shared" si="7"/>
        <v>1181400000</v>
      </c>
      <c r="K43" s="202"/>
      <c r="L43" s="36"/>
      <c r="M43" s="201"/>
    </row>
    <row r="44" spans="4:13" ht="20.45" customHeight="1">
      <c r="D44" s="202"/>
      <c r="E44" s="36"/>
      <c r="F44" s="36"/>
      <c r="G44" s="201">
        <f t="shared" si="6"/>
        <v>0</v>
      </c>
      <c r="H44" s="202"/>
      <c r="I44" s="36"/>
      <c r="J44" s="201"/>
      <c r="K44" s="202"/>
      <c r="L44" s="36"/>
      <c r="M44" s="201">
        <f t="shared" si="8"/>
        <v>0</v>
      </c>
    </row>
    <row r="45" spans="4:13" ht="20.45" customHeight="1">
      <c r="D45" s="202"/>
      <c r="E45" s="36"/>
      <c r="F45" s="36"/>
      <c r="G45" s="201">
        <f t="shared" si="6"/>
        <v>0</v>
      </c>
      <c r="H45" s="202"/>
      <c r="I45" s="36"/>
      <c r="J45" s="201"/>
      <c r="K45" s="202"/>
      <c r="L45" s="36"/>
      <c r="M45" s="201"/>
    </row>
    <row r="46" spans="4:13" ht="20.45" customHeight="1">
      <c r="D46" s="202"/>
      <c r="E46" s="36"/>
      <c r="F46" s="36"/>
      <c r="G46" s="201">
        <f t="shared" si="6"/>
        <v>0</v>
      </c>
      <c r="H46" s="202"/>
      <c r="I46" s="36"/>
      <c r="J46" s="201"/>
      <c r="K46" s="202"/>
      <c r="L46" s="36"/>
      <c r="M46" s="201"/>
    </row>
    <row r="47" spans="4:13" ht="20.45" customHeight="1" thickBot="1">
      <c r="D47" s="344"/>
      <c r="E47" s="345"/>
      <c r="F47" s="345"/>
      <c r="G47" s="208">
        <f t="shared" si="6"/>
        <v>0</v>
      </c>
      <c r="H47" s="344"/>
      <c r="I47" s="345"/>
      <c r="J47" s="208"/>
      <c r="K47" s="344"/>
      <c r="L47" s="345"/>
      <c r="M47" s="208"/>
    </row>
    <row r="48" spans="4:13" ht="20.45" customHeight="1" thickBot="1">
      <c r="D48" s="480"/>
      <c r="E48" s="481">
        <f>SUM(E41:E47)</f>
        <v>1737869157</v>
      </c>
      <c r="F48" s="481">
        <f>SUM(F41:F47)</f>
        <v>0</v>
      </c>
      <c r="G48" s="481"/>
      <c r="H48" s="481"/>
      <c r="I48" s="481"/>
      <c r="J48" s="481"/>
      <c r="K48" s="481"/>
      <c r="L48" s="481"/>
      <c r="M48" s="482"/>
    </row>
    <row r="50" spans="3:14" s="206" customFormat="1" ht="20.45" customHeight="1" thickBot="1">
      <c r="D50" s="206" t="s">
        <v>1875</v>
      </c>
    </row>
    <row r="51" spans="3:14" ht="20.45" customHeight="1">
      <c r="D51" s="320" t="s">
        <v>416</v>
      </c>
      <c r="E51" s="321" t="s">
        <v>1510</v>
      </c>
      <c r="F51" s="321"/>
      <c r="G51" s="478" t="s">
        <v>1511</v>
      </c>
      <c r="H51" s="320" t="s">
        <v>394</v>
      </c>
      <c r="I51" s="321" t="s">
        <v>1513</v>
      </c>
      <c r="J51" s="478" t="s">
        <v>1514</v>
      </c>
      <c r="K51" s="320" t="s">
        <v>394</v>
      </c>
      <c r="L51" s="321" t="s">
        <v>1513</v>
      </c>
      <c r="M51" s="478" t="s">
        <v>1514</v>
      </c>
    </row>
    <row r="52" spans="3:14" ht="20.45" customHeight="1">
      <c r="D52" s="202" t="s">
        <v>823</v>
      </c>
      <c r="E52" s="36">
        <f>-'7.0'!I6</f>
        <v>0</v>
      </c>
      <c r="F52" s="36"/>
      <c r="G52" s="201">
        <f t="shared" ref="G52:G58" si="9">F52-E52</f>
        <v>0</v>
      </c>
      <c r="H52" s="202" t="s">
        <v>702</v>
      </c>
      <c r="I52" s="36" t="s">
        <v>210</v>
      </c>
      <c r="J52" s="201">
        <f>-G52</f>
        <v>0</v>
      </c>
      <c r="K52" s="202" t="s">
        <v>822</v>
      </c>
      <c r="L52" s="36" t="s">
        <v>823</v>
      </c>
      <c r="M52" s="201">
        <f>-J52</f>
        <v>0</v>
      </c>
    </row>
    <row r="53" spans="3:14" ht="20.45" customHeight="1">
      <c r="D53" s="202" t="s">
        <v>825</v>
      </c>
      <c r="E53" s="36">
        <f>-'3.0'!I291</f>
        <v>0</v>
      </c>
      <c r="F53" s="36"/>
      <c r="G53" s="201">
        <f t="shared" si="9"/>
        <v>0</v>
      </c>
      <c r="H53" s="202" t="s">
        <v>702</v>
      </c>
      <c r="I53" s="36" t="s">
        <v>210</v>
      </c>
      <c r="J53" s="201">
        <f t="shared" ref="J53:J58" si="10">-G53</f>
        <v>0</v>
      </c>
      <c r="K53" s="202" t="s">
        <v>824</v>
      </c>
      <c r="L53" s="36" t="s">
        <v>825</v>
      </c>
      <c r="M53" s="201">
        <f t="shared" ref="M53:M58" si="11">-J53</f>
        <v>0</v>
      </c>
    </row>
    <row r="54" spans="3:14" ht="20.45" customHeight="1">
      <c r="D54" s="202" t="s">
        <v>827</v>
      </c>
      <c r="E54" s="36">
        <f>-'3.0'!I238</f>
        <v>0</v>
      </c>
      <c r="F54" s="36"/>
      <c r="G54" s="201">
        <f t="shared" si="9"/>
        <v>0</v>
      </c>
      <c r="H54" s="202" t="s">
        <v>702</v>
      </c>
      <c r="I54" s="36" t="s">
        <v>210</v>
      </c>
      <c r="J54" s="201">
        <f t="shared" si="10"/>
        <v>0</v>
      </c>
      <c r="K54" s="202" t="s">
        <v>826</v>
      </c>
      <c r="L54" s="36" t="s">
        <v>827</v>
      </c>
      <c r="M54" s="201">
        <f t="shared" si="11"/>
        <v>0</v>
      </c>
    </row>
    <row r="55" spans="3:14" ht="20.45" customHeight="1">
      <c r="D55" s="202" t="s">
        <v>720</v>
      </c>
      <c r="E55" s="36">
        <f>T_IS!AA111</f>
        <v>-798641919</v>
      </c>
      <c r="F55" s="36"/>
      <c r="G55" s="201">
        <f t="shared" si="9"/>
        <v>798641919</v>
      </c>
      <c r="H55" s="202" t="s">
        <v>702</v>
      </c>
      <c r="I55" s="36" t="s">
        <v>210</v>
      </c>
      <c r="J55" s="201">
        <f t="shared" si="10"/>
        <v>-798641919</v>
      </c>
      <c r="K55" s="202" t="s">
        <v>719</v>
      </c>
      <c r="L55" s="36" t="s">
        <v>720</v>
      </c>
      <c r="M55" s="201">
        <f t="shared" si="11"/>
        <v>798641919</v>
      </c>
    </row>
    <row r="56" spans="3:14" ht="20.45" customHeight="1">
      <c r="D56" s="202" t="s">
        <v>722</v>
      </c>
      <c r="E56" s="36"/>
      <c r="F56" s="36"/>
      <c r="G56" s="201">
        <f t="shared" si="9"/>
        <v>0</v>
      </c>
      <c r="H56" s="202" t="s">
        <v>702</v>
      </c>
      <c r="I56" s="36" t="s">
        <v>210</v>
      </c>
      <c r="J56" s="201">
        <f t="shared" si="10"/>
        <v>0</v>
      </c>
      <c r="K56" s="202" t="s">
        <v>721</v>
      </c>
      <c r="L56" s="36" t="s">
        <v>722</v>
      </c>
      <c r="M56" s="201">
        <f t="shared" si="11"/>
        <v>0</v>
      </c>
    </row>
    <row r="57" spans="3:14" ht="20.45" customHeight="1">
      <c r="D57" s="202" t="s">
        <v>724</v>
      </c>
      <c r="E57" s="36">
        <f>-'1.0'!I25</f>
        <v>0</v>
      </c>
      <c r="F57" s="36"/>
      <c r="G57" s="201">
        <f t="shared" si="9"/>
        <v>0</v>
      </c>
      <c r="H57" s="202" t="s">
        <v>702</v>
      </c>
      <c r="I57" s="36" t="s">
        <v>210</v>
      </c>
      <c r="J57" s="201">
        <f t="shared" si="10"/>
        <v>0</v>
      </c>
      <c r="K57" s="202" t="s">
        <v>723</v>
      </c>
      <c r="L57" s="36" t="s">
        <v>724</v>
      </c>
      <c r="M57" s="201">
        <f t="shared" si="11"/>
        <v>0</v>
      </c>
    </row>
    <row r="58" spans="3:14" ht="20.45" customHeight="1" thickBot="1">
      <c r="D58" s="344"/>
      <c r="E58" s="345"/>
      <c r="F58" s="345"/>
      <c r="G58" s="208">
        <f t="shared" si="9"/>
        <v>0</v>
      </c>
      <c r="H58" s="202" t="s">
        <v>702</v>
      </c>
      <c r="I58" s="36" t="s">
        <v>210</v>
      </c>
      <c r="J58" s="201">
        <f t="shared" si="10"/>
        <v>0</v>
      </c>
      <c r="K58" s="344"/>
      <c r="L58" s="345"/>
      <c r="M58" s="201">
        <f t="shared" si="11"/>
        <v>0</v>
      </c>
    </row>
    <row r="59" spans="3:14" ht="20.45" customHeight="1" thickBot="1">
      <c r="D59" s="480"/>
      <c r="E59" s="481">
        <f>SUM(E52:E58)</f>
        <v>-798641919</v>
      </c>
      <c r="F59" s="481">
        <f>SUM(F52:F58)</f>
        <v>0</v>
      </c>
      <c r="G59" s="481"/>
      <c r="H59" s="481"/>
      <c r="I59" s="481"/>
      <c r="J59" s="481"/>
      <c r="K59" s="481"/>
      <c r="L59" s="481"/>
      <c r="M59" s="482"/>
    </row>
    <row r="62" spans="3:14" s="206" customFormat="1" ht="20.45" customHeight="1">
      <c r="C62" s="206" t="s">
        <v>1506</v>
      </c>
    </row>
    <row r="63" spans="3:14" s="206" customFormat="1" ht="20.45" customHeight="1" thickBot="1">
      <c r="D63" s="206" t="s">
        <v>1522</v>
      </c>
    </row>
    <row r="64" spans="3:14" ht="20.45" customHeight="1">
      <c r="D64" s="483" t="s">
        <v>416</v>
      </c>
      <c r="E64" s="484" t="s">
        <v>394</v>
      </c>
      <c r="F64" s="484" t="s">
        <v>395</v>
      </c>
      <c r="G64" s="728" t="s">
        <v>399</v>
      </c>
      <c r="H64" s="483"/>
      <c r="I64" s="484"/>
      <c r="J64" s="485"/>
      <c r="K64" s="484" t="s">
        <v>394</v>
      </c>
      <c r="L64" s="484" t="s">
        <v>1513</v>
      </c>
      <c r="M64" s="485" t="s">
        <v>1514</v>
      </c>
      <c r="N64" s="36"/>
    </row>
    <row r="65" spans="4:14" ht="20.45" customHeight="1">
      <c r="D65" s="35" t="s">
        <v>26</v>
      </c>
      <c r="E65" s="486">
        <v>111731</v>
      </c>
      <c r="F65" s="36">
        <v>-6052814792</v>
      </c>
      <c r="G65" s="38">
        <f>SUMIF('3.0'!$D:$D,'CF.2'!E65,'3.0'!$H:$H)</f>
        <v>-919969835</v>
      </c>
      <c r="H65" s="35"/>
      <c r="I65" s="36"/>
      <c r="J65" s="38"/>
      <c r="K65" s="36" t="s">
        <v>911</v>
      </c>
      <c r="L65" s="36" t="s">
        <v>912</v>
      </c>
      <c r="M65" s="38">
        <f>F65-G65</f>
        <v>-5132844957</v>
      </c>
      <c r="N65" s="36"/>
    </row>
    <row r="66" spans="4:14" ht="20.45" customHeight="1">
      <c r="D66" s="35" t="s">
        <v>24</v>
      </c>
      <c r="E66" s="486">
        <v>111711</v>
      </c>
      <c r="F66" s="36">
        <v>0</v>
      </c>
      <c r="G66" s="38">
        <f>SUMIF('3.0'!$D:$D,'CF.2'!E66,'3.0'!$H:$H)</f>
        <v>-57500000</v>
      </c>
      <c r="H66" s="35"/>
      <c r="I66" s="36"/>
      <c r="J66" s="38"/>
      <c r="K66" s="36" t="s">
        <v>911</v>
      </c>
      <c r="L66" s="36" t="s">
        <v>912</v>
      </c>
      <c r="M66" s="38">
        <f>F66-G66</f>
        <v>57500000</v>
      </c>
      <c r="N66" s="36"/>
    </row>
    <row r="67" spans="4:14" ht="20.45" customHeight="1">
      <c r="D67" s="35" t="s">
        <v>33</v>
      </c>
      <c r="E67" s="486">
        <v>112113</v>
      </c>
      <c r="F67" s="36">
        <v>-33439765</v>
      </c>
      <c r="G67" s="38">
        <f>SUMIF('3.0'!$D:$D,'CF.2'!E67,'3.0'!$H:$H)</f>
        <v>-30087098</v>
      </c>
      <c r="H67" s="35"/>
      <c r="I67" s="36"/>
      <c r="J67" s="38"/>
      <c r="K67" s="36" t="s">
        <v>913</v>
      </c>
      <c r="L67" s="36" t="s">
        <v>914</v>
      </c>
      <c r="M67" s="38">
        <f t="shared" ref="M67:M74" si="12">F67-G67</f>
        <v>-3352667</v>
      </c>
      <c r="N67" s="36"/>
    </row>
    <row r="68" spans="4:14" ht="20.45" customHeight="1">
      <c r="D68" s="35" t="s">
        <v>36</v>
      </c>
      <c r="E68" s="486">
        <v>112300</v>
      </c>
      <c r="F68" s="36">
        <v>-61815941</v>
      </c>
      <c r="G68" s="38">
        <f>SUMIF('3.0'!$D:$D,'CF.2'!E68,'3.0'!$H:$H)</f>
        <v>-3933393</v>
      </c>
      <c r="H68" s="35"/>
      <c r="I68" s="36"/>
      <c r="J68" s="38"/>
      <c r="K68" s="36" t="s">
        <v>915</v>
      </c>
      <c r="L68" s="36" t="s">
        <v>916</v>
      </c>
      <c r="M68" s="38">
        <f t="shared" si="12"/>
        <v>-57882548</v>
      </c>
      <c r="N68" s="36"/>
    </row>
    <row r="69" spans="4:14" ht="20.45" customHeight="1">
      <c r="D69" s="35" t="s">
        <v>63</v>
      </c>
      <c r="E69" s="486">
        <v>112531</v>
      </c>
      <c r="F69" s="36">
        <v>-1401208582</v>
      </c>
      <c r="G69" s="38">
        <f>SUMIF('3.0'!$D:$D,'CF.2'!E69,'3.0'!$H:$H)</f>
        <v>0</v>
      </c>
      <c r="H69" s="35"/>
      <c r="I69" s="36"/>
      <c r="J69" s="38"/>
      <c r="K69" s="36" t="s">
        <v>917</v>
      </c>
      <c r="L69" s="36" t="s">
        <v>918</v>
      </c>
      <c r="M69" s="38">
        <f t="shared" si="12"/>
        <v>-1401208582</v>
      </c>
      <c r="N69" s="36"/>
    </row>
    <row r="70" spans="4:14" ht="20.45" customHeight="1">
      <c r="D70" s="35" t="s">
        <v>139</v>
      </c>
      <c r="E70" s="486">
        <v>211121</v>
      </c>
      <c r="F70" s="36">
        <v>5660614359</v>
      </c>
      <c r="G70" s="38">
        <f>SUMIF('3.0'!$D:$D,'CF.2'!E70,'3.0'!$H:$H)</f>
        <v>919969835</v>
      </c>
      <c r="H70" s="35"/>
      <c r="I70" s="36"/>
      <c r="J70" s="38"/>
      <c r="K70" s="36" t="s">
        <v>947</v>
      </c>
      <c r="L70" s="36" t="s">
        <v>948</v>
      </c>
      <c r="M70" s="38">
        <f t="shared" si="12"/>
        <v>4740644524</v>
      </c>
      <c r="N70" s="36"/>
    </row>
    <row r="71" spans="4:14" ht="20.45" customHeight="1">
      <c r="D71" s="35" t="s">
        <v>145</v>
      </c>
      <c r="E71" s="486">
        <v>213150</v>
      </c>
      <c r="F71" s="36">
        <v>425640198</v>
      </c>
      <c r="G71" s="38">
        <f>SUMIF('3.0'!$D:$D,'CF.2'!E71,'3.0'!$H:$H)</f>
        <v>87587098</v>
      </c>
      <c r="H71" s="35"/>
      <c r="I71" s="36"/>
      <c r="J71" s="38"/>
      <c r="K71" s="36" t="s">
        <v>955</v>
      </c>
      <c r="L71" s="36" t="s">
        <v>956</v>
      </c>
      <c r="M71" s="38">
        <f t="shared" si="12"/>
        <v>338053100</v>
      </c>
      <c r="N71" s="36"/>
    </row>
    <row r="72" spans="4:14" ht="20.45" customHeight="1">
      <c r="D72" s="35" t="s">
        <v>151</v>
      </c>
      <c r="E72" s="486">
        <v>217200</v>
      </c>
      <c r="F72" s="36">
        <v>61815941</v>
      </c>
      <c r="G72" s="38">
        <f>SUMIF('3.0'!$D:$D,'CF.2'!E72,'3.0'!$H:$H)</f>
        <v>3933393</v>
      </c>
      <c r="H72" s="35"/>
      <c r="I72" s="36"/>
      <c r="J72" s="38"/>
      <c r="K72" s="36" t="s">
        <v>957</v>
      </c>
      <c r="L72" s="36" t="s">
        <v>958</v>
      </c>
      <c r="M72" s="38">
        <f t="shared" si="12"/>
        <v>57882548</v>
      </c>
      <c r="N72" s="36"/>
    </row>
    <row r="73" spans="4:14" ht="20.45" customHeight="1">
      <c r="D73" s="35" t="s">
        <v>164</v>
      </c>
      <c r="E73" s="486">
        <v>214200</v>
      </c>
      <c r="F73" s="36">
        <v>219808582</v>
      </c>
      <c r="G73" s="38">
        <f>SUMIF('3.0'!$D:$D,'CF.2'!E73,'3.0'!$H:$H)</f>
        <v>0</v>
      </c>
      <c r="H73" s="35"/>
      <c r="I73" s="36"/>
      <c r="J73" s="38"/>
      <c r="K73" s="36" t="s">
        <v>949</v>
      </c>
      <c r="L73" s="36" t="s">
        <v>950</v>
      </c>
      <c r="M73" s="38">
        <f t="shared" si="12"/>
        <v>219808582</v>
      </c>
      <c r="N73" s="36"/>
    </row>
    <row r="74" spans="4:14" ht="20.45" customHeight="1" thickBot="1">
      <c r="D74" s="348" t="s">
        <v>210</v>
      </c>
      <c r="E74" s="487" t="s">
        <v>1365</v>
      </c>
      <c r="F74" s="217">
        <v>0</v>
      </c>
      <c r="G74" s="218">
        <f>SUMIF('3.0'!$D:$D,'CF.2'!E74,'3.0'!$H:$H)</f>
        <v>0</v>
      </c>
      <c r="H74" s="348"/>
      <c r="I74" s="217"/>
      <c r="J74" s="218"/>
      <c r="K74" s="217" t="s">
        <v>702</v>
      </c>
      <c r="L74" s="217" t="s">
        <v>210</v>
      </c>
      <c r="M74" s="218">
        <f t="shared" si="12"/>
        <v>0</v>
      </c>
      <c r="N74" s="36"/>
    </row>
    <row r="75" spans="4:14" ht="20.45" customHeight="1">
      <c r="D75" s="36"/>
      <c r="E75" s="486"/>
      <c r="F75" s="36"/>
      <c r="G75" s="36"/>
      <c r="H75" s="36"/>
      <c r="I75" s="36"/>
      <c r="J75" s="36"/>
      <c r="K75" s="36"/>
      <c r="L75" s="36"/>
      <c r="N75" s="36"/>
    </row>
    <row r="76" spans="4:14" s="206" customFormat="1" ht="20.45" customHeight="1" thickBot="1">
      <c r="D76" s="58" t="s">
        <v>1523</v>
      </c>
      <c r="E76" s="488"/>
      <c r="F76" s="58"/>
      <c r="G76" s="58"/>
      <c r="H76" s="58"/>
      <c r="I76" s="58"/>
      <c r="J76" s="58"/>
      <c r="K76" s="58"/>
      <c r="L76" s="58"/>
      <c r="M76" s="58"/>
      <c r="N76" s="58"/>
    </row>
    <row r="77" spans="4:14" ht="20.45" customHeight="1">
      <c r="D77" s="320" t="s">
        <v>416</v>
      </c>
      <c r="E77" s="321" t="s">
        <v>1510</v>
      </c>
      <c r="F77" s="321"/>
      <c r="G77" s="478" t="s">
        <v>1511</v>
      </c>
      <c r="H77" s="320" t="s">
        <v>394</v>
      </c>
      <c r="I77" s="321" t="s">
        <v>1513</v>
      </c>
      <c r="J77" s="478" t="s">
        <v>1514</v>
      </c>
      <c r="K77" s="320" t="s">
        <v>394</v>
      </c>
      <c r="L77" s="321" t="s">
        <v>1513</v>
      </c>
      <c r="M77" s="478" t="s">
        <v>1514</v>
      </c>
      <c r="N77" s="36"/>
    </row>
    <row r="78" spans="4:14" ht="20.45" customHeight="1">
      <c r="D78" s="202" t="s">
        <v>678</v>
      </c>
      <c r="E78" s="36">
        <f>-'3.0'!H269</f>
        <v>-18156386</v>
      </c>
      <c r="F78" s="36"/>
      <c r="G78" s="201">
        <f>F78-E78</f>
        <v>18156386</v>
      </c>
      <c r="H78" s="202" t="s">
        <v>702</v>
      </c>
      <c r="I78" s="36" t="s">
        <v>210</v>
      </c>
      <c r="J78" s="201">
        <f>-G78</f>
        <v>-18156386</v>
      </c>
      <c r="K78" s="202" t="s">
        <v>880</v>
      </c>
      <c r="L78" s="36" t="s">
        <v>678</v>
      </c>
      <c r="M78" s="201">
        <f>-J78</f>
        <v>18156386</v>
      </c>
      <c r="N78" s="36"/>
    </row>
    <row r="79" spans="4:14" ht="20.45" customHeight="1">
      <c r="D79" s="202" t="s">
        <v>686</v>
      </c>
      <c r="E79" s="36">
        <f>-'3.0'!H279</f>
        <v>18156386</v>
      </c>
      <c r="F79" s="36"/>
      <c r="G79" s="201">
        <f>F79-E79</f>
        <v>-18156386</v>
      </c>
      <c r="H79" s="202" t="s">
        <v>702</v>
      </c>
      <c r="I79" s="36" t="s">
        <v>210</v>
      </c>
      <c r="J79" s="201">
        <f>-G79</f>
        <v>18156386</v>
      </c>
      <c r="K79" s="202" t="s">
        <v>789</v>
      </c>
      <c r="L79" s="36" t="s">
        <v>686</v>
      </c>
      <c r="M79" s="201">
        <f>-J79</f>
        <v>-18156386</v>
      </c>
      <c r="N79" s="36"/>
    </row>
    <row r="80" spans="4:14" ht="20.45" customHeight="1">
      <c r="D80" s="202"/>
      <c r="E80" s="36"/>
      <c r="F80" s="36"/>
      <c r="G80" s="201"/>
      <c r="H80" s="202"/>
      <c r="I80" s="36"/>
      <c r="J80" s="201"/>
      <c r="K80" s="202"/>
      <c r="L80" s="36"/>
      <c r="M80" s="201"/>
      <c r="N80" s="36"/>
    </row>
    <row r="81" spans="4:14" ht="20.45" customHeight="1">
      <c r="D81" s="202"/>
      <c r="E81" s="36"/>
      <c r="F81" s="36"/>
      <c r="G81" s="201"/>
      <c r="H81" s="202"/>
      <c r="I81" s="36"/>
      <c r="J81" s="201"/>
      <c r="K81" s="202"/>
      <c r="L81" s="36"/>
      <c r="M81" s="201"/>
      <c r="N81" s="36"/>
    </row>
    <row r="82" spans="4:14" ht="20.45" customHeight="1">
      <c r="D82" s="202"/>
      <c r="E82" s="36"/>
      <c r="F82" s="36"/>
      <c r="G82" s="201">
        <f>F82-E82</f>
        <v>0</v>
      </c>
      <c r="H82" s="202"/>
      <c r="I82" s="36"/>
      <c r="J82" s="201"/>
      <c r="K82" s="202"/>
      <c r="L82" s="36"/>
      <c r="M82" s="201"/>
      <c r="N82" s="36"/>
    </row>
    <row r="83" spans="4:14" ht="20.45" customHeight="1">
      <c r="D83" s="202"/>
      <c r="E83" s="36"/>
      <c r="F83" s="36"/>
      <c r="G83" s="201">
        <f>F83-E83</f>
        <v>0</v>
      </c>
      <c r="H83" s="202"/>
      <c r="I83" s="36"/>
      <c r="J83" s="201"/>
      <c r="K83" s="202"/>
      <c r="L83" s="36"/>
      <c r="M83" s="201"/>
      <c r="N83" s="36"/>
    </row>
    <row r="84" spans="4:14" ht="20.45" customHeight="1" thickBot="1">
      <c r="D84" s="344"/>
      <c r="E84" s="345"/>
      <c r="F84" s="345"/>
      <c r="G84" s="208">
        <f>F84-E84</f>
        <v>0</v>
      </c>
      <c r="H84" s="344"/>
      <c r="I84" s="345"/>
      <c r="J84" s="208"/>
      <c r="K84" s="344"/>
      <c r="L84" s="345"/>
      <c r="M84" s="208"/>
      <c r="N84" s="36"/>
    </row>
    <row r="85" spans="4:14" ht="20.45" customHeight="1" thickBot="1">
      <c r="D85" s="480"/>
      <c r="E85" s="481">
        <f>SUM(E78:E84)</f>
        <v>0</v>
      </c>
      <c r="F85" s="481">
        <f>SUM(F78:F84)</f>
        <v>0</v>
      </c>
      <c r="G85" s="481"/>
      <c r="H85" s="481"/>
      <c r="I85" s="481"/>
      <c r="J85" s="481"/>
      <c r="K85" s="481"/>
      <c r="L85" s="481"/>
      <c r="M85" s="482"/>
      <c r="N85" s="36"/>
    </row>
    <row r="86" spans="4:14" ht="20.45" customHeight="1">
      <c r="D86" s="36"/>
      <c r="E86" s="486"/>
      <c r="F86" s="36"/>
      <c r="G86" s="36"/>
      <c r="H86" s="36"/>
      <c r="I86" s="36"/>
      <c r="J86" s="36"/>
      <c r="K86" s="36"/>
      <c r="L86" s="36"/>
      <c r="M86" s="28" t="b">
        <f>SUM(J78:J84)+SUM(M78:M84)=0</f>
        <v>1</v>
      </c>
      <c r="N86" s="36"/>
    </row>
    <row r="87" spans="4:14" s="206" customFormat="1" ht="20.45" customHeight="1" thickBot="1">
      <c r="D87" s="58" t="s">
        <v>1525</v>
      </c>
      <c r="E87" s="488"/>
      <c r="F87" s="58"/>
      <c r="G87" s="58"/>
      <c r="H87" s="58"/>
      <c r="I87" s="58"/>
      <c r="J87" s="58"/>
      <c r="K87" s="58"/>
      <c r="L87" s="58"/>
      <c r="M87" s="58"/>
      <c r="N87" s="58"/>
    </row>
    <row r="88" spans="4:14" ht="20.45" customHeight="1">
      <c r="D88" s="320" t="s">
        <v>1526</v>
      </c>
      <c r="E88" s="321" t="s">
        <v>1527</v>
      </c>
      <c r="F88" s="321" t="s">
        <v>1514</v>
      </c>
      <c r="G88" s="478" t="s">
        <v>1511</v>
      </c>
      <c r="H88" s="320" t="s">
        <v>394</v>
      </c>
      <c r="I88" s="321" t="s">
        <v>1513</v>
      </c>
      <c r="J88" s="478" t="s">
        <v>1514</v>
      </c>
      <c r="K88" s="320" t="s">
        <v>394</v>
      </c>
      <c r="L88" s="321" t="s">
        <v>1513</v>
      </c>
      <c r="M88" s="478" t="s">
        <v>1514</v>
      </c>
      <c r="N88" s="36"/>
    </row>
    <row r="89" spans="4:14" ht="20.45" customHeight="1">
      <c r="D89" s="202" t="s">
        <v>15</v>
      </c>
      <c r="E89" s="36" t="s">
        <v>1528</v>
      </c>
      <c r="F89" s="36">
        <v>0</v>
      </c>
      <c r="G89" s="201">
        <f t="shared" ref="G89:G96" si="13">-F89</f>
        <v>0</v>
      </c>
      <c r="H89" s="202" t="s">
        <v>1287</v>
      </c>
      <c r="I89" s="36" t="s">
        <v>1288</v>
      </c>
      <c r="J89" s="201">
        <f t="shared" ref="J89:J93" si="14">-G89</f>
        <v>0</v>
      </c>
      <c r="K89" s="202" t="s">
        <v>1025</v>
      </c>
      <c r="L89" s="36" t="s">
        <v>1026</v>
      </c>
      <c r="M89" s="201">
        <f t="shared" ref="M89:M93" si="15">G89</f>
        <v>0</v>
      </c>
      <c r="N89" s="36"/>
    </row>
    <row r="90" spans="4:14" ht="20.45" customHeight="1">
      <c r="D90" s="202" t="s">
        <v>1748</v>
      </c>
      <c r="E90" s="36" t="s">
        <v>1529</v>
      </c>
      <c r="F90" s="36">
        <f>'CF.1'!L183</f>
        <v>374416000</v>
      </c>
      <c r="G90" s="201">
        <f t="shared" si="13"/>
        <v>-374416000</v>
      </c>
      <c r="H90" s="202" t="s">
        <v>1287</v>
      </c>
      <c r="I90" s="36" t="s">
        <v>1288</v>
      </c>
      <c r="J90" s="201">
        <f t="shared" si="14"/>
        <v>374416000</v>
      </c>
      <c r="K90" s="202" t="s">
        <v>1025</v>
      </c>
      <c r="L90" s="36" t="s">
        <v>1026</v>
      </c>
      <c r="M90" s="201">
        <f t="shared" si="15"/>
        <v>-374416000</v>
      </c>
      <c r="N90" s="36"/>
    </row>
    <row r="91" spans="4:14" ht="20.45" customHeight="1">
      <c r="D91" s="202" t="s">
        <v>15</v>
      </c>
      <c r="E91" s="36" t="s">
        <v>1529</v>
      </c>
      <c r="F91" s="36">
        <f>-'CF.1'!H242</f>
        <v>571650000</v>
      </c>
      <c r="G91" s="201">
        <f t="shared" si="13"/>
        <v>-571650000</v>
      </c>
      <c r="H91" s="202" t="s">
        <v>1134</v>
      </c>
      <c r="I91" s="36" t="s">
        <v>1135</v>
      </c>
      <c r="J91" s="201">
        <f t="shared" si="14"/>
        <v>571650000</v>
      </c>
      <c r="K91" s="202" t="s">
        <v>1249</v>
      </c>
      <c r="L91" s="36" t="s">
        <v>1250</v>
      </c>
      <c r="M91" s="201">
        <f t="shared" si="15"/>
        <v>-571650000</v>
      </c>
      <c r="N91" s="36"/>
    </row>
    <row r="92" spans="4:14" ht="20.45" customHeight="1">
      <c r="D92" s="202" t="s">
        <v>15</v>
      </c>
      <c r="E92" s="36" t="s">
        <v>217</v>
      </c>
      <c r="F92" s="36"/>
      <c r="G92" s="201">
        <f t="shared" si="13"/>
        <v>0</v>
      </c>
      <c r="H92" s="202" t="s">
        <v>1134</v>
      </c>
      <c r="I92" s="36" t="s">
        <v>1135</v>
      </c>
      <c r="J92" s="201">
        <f t="shared" si="14"/>
        <v>0</v>
      </c>
      <c r="K92" s="202" t="s">
        <v>1249</v>
      </c>
      <c r="L92" s="36" t="s">
        <v>1250</v>
      </c>
      <c r="M92" s="201">
        <f t="shared" si="15"/>
        <v>0</v>
      </c>
      <c r="N92" s="36"/>
    </row>
    <row r="93" spans="4:14" ht="20.45" customHeight="1">
      <c r="D93" s="202" t="s">
        <v>1748</v>
      </c>
      <c r="E93" s="36" t="s">
        <v>1529</v>
      </c>
      <c r="F93" s="36">
        <f>-'CF.1'!L242</f>
        <v>374416000</v>
      </c>
      <c r="G93" s="201">
        <f t="shared" si="13"/>
        <v>-374416000</v>
      </c>
      <c r="H93" s="202" t="s">
        <v>1134</v>
      </c>
      <c r="I93" s="36" t="s">
        <v>1135</v>
      </c>
      <c r="J93" s="201">
        <f t="shared" si="14"/>
        <v>374416000</v>
      </c>
      <c r="K93" s="202" t="s">
        <v>1249</v>
      </c>
      <c r="L93" s="36" t="s">
        <v>1250</v>
      </c>
      <c r="M93" s="201">
        <f t="shared" si="15"/>
        <v>-374416000</v>
      </c>
      <c r="N93" s="36"/>
    </row>
    <row r="94" spans="4:14" ht="20.45" customHeight="1">
      <c r="D94" s="202"/>
      <c r="E94" s="36"/>
      <c r="F94" s="36"/>
      <c r="G94" s="201"/>
      <c r="H94" s="202" t="s">
        <v>1324</v>
      </c>
      <c r="I94" s="36" t="s">
        <v>1325</v>
      </c>
      <c r="J94" s="201">
        <f>-M94</f>
        <v>-37500</v>
      </c>
      <c r="K94" s="202" t="s">
        <v>1287</v>
      </c>
      <c r="L94" s="36" t="s">
        <v>1288</v>
      </c>
      <c r="M94" s="201">
        <v>37500</v>
      </c>
      <c r="N94" s="36"/>
    </row>
    <row r="95" spans="4:14" ht="20.45" customHeight="1">
      <c r="D95" s="202"/>
      <c r="E95" s="36"/>
      <c r="F95" s="36"/>
      <c r="G95" s="201"/>
      <c r="H95" s="202" t="s">
        <v>1324</v>
      </c>
      <c r="I95" s="36" t="s">
        <v>1325</v>
      </c>
      <c r="J95" s="201">
        <f>-M95</f>
        <v>212500</v>
      </c>
      <c r="K95" s="202" t="s">
        <v>1249</v>
      </c>
      <c r="L95" s="36" t="s">
        <v>1250</v>
      </c>
      <c r="M95" s="201">
        <v>-212500</v>
      </c>
      <c r="N95" s="36"/>
    </row>
    <row r="96" spans="4:14" ht="20.45" customHeight="1" thickBot="1">
      <c r="D96" s="344"/>
      <c r="E96" s="345"/>
      <c r="F96" s="345"/>
      <c r="G96" s="201">
        <f t="shared" si="13"/>
        <v>0</v>
      </c>
      <c r="H96" s="344" t="s">
        <v>911</v>
      </c>
      <c r="I96" s="345" t="s">
        <v>912</v>
      </c>
      <c r="J96" s="208">
        <v>-36770000</v>
      </c>
      <c r="K96" s="344" t="s">
        <v>1249</v>
      </c>
      <c r="L96" s="345" t="s">
        <v>1250</v>
      </c>
      <c r="M96" s="201">
        <f>-J96</f>
        <v>36770000</v>
      </c>
      <c r="N96" s="36" t="s">
        <v>1884</v>
      </c>
    </row>
    <row r="97" spans="3:14" ht="20.45" customHeight="1" thickBot="1">
      <c r="D97" s="480"/>
      <c r="E97" s="481">
        <f>SUM(E89:E96)</f>
        <v>0</v>
      </c>
      <c r="F97" s="481">
        <f>SUM(F89:F96)</f>
        <v>1320482000</v>
      </c>
      <c r="G97" s="481"/>
      <c r="H97" s="481"/>
      <c r="I97" s="481"/>
      <c r="J97" s="481"/>
      <c r="K97" s="481"/>
      <c r="L97" s="481"/>
      <c r="M97" s="482"/>
      <c r="N97" s="36"/>
    </row>
    <row r="98" spans="3:14" ht="20.45" customHeight="1">
      <c r="D98" s="36"/>
      <c r="E98" s="486"/>
      <c r="F98" s="36"/>
      <c r="G98" s="36"/>
      <c r="H98" s="36"/>
      <c r="I98" s="36"/>
      <c r="J98" s="36"/>
      <c r="K98" s="36"/>
      <c r="L98" s="36"/>
      <c r="M98" s="28" t="b">
        <f>SUM(J89:J96)+SUM(M89:M96)=0</f>
        <v>1</v>
      </c>
      <c r="N98" s="36"/>
    </row>
    <row r="99" spans="3:14" s="206" customFormat="1" ht="20.45" customHeight="1" thickBot="1">
      <c r="C99" s="206" t="s">
        <v>1521</v>
      </c>
    </row>
    <row r="100" spans="3:14" ht="20.45" customHeight="1" thickBot="1">
      <c r="D100" s="320" t="s">
        <v>503</v>
      </c>
      <c r="E100" s="321" t="s">
        <v>1510</v>
      </c>
      <c r="F100" s="321"/>
      <c r="G100" s="478" t="s">
        <v>1511</v>
      </c>
      <c r="H100" s="320" t="s">
        <v>394</v>
      </c>
      <c r="I100" s="321" t="s">
        <v>1513</v>
      </c>
      <c r="J100" s="478" t="s">
        <v>1514</v>
      </c>
      <c r="K100" s="320" t="s">
        <v>394</v>
      </c>
      <c r="L100" s="321" t="s">
        <v>1513</v>
      </c>
      <c r="M100" s="478" t="s">
        <v>1514</v>
      </c>
    </row>
    <row r="101" spans="3:14" ht="20.45" customHeight="1">
      <c r="D101" s="202" t="s">
        <v>217</v>
      </c>
      <c r="E101" s="36">
        <f>-'7.0'!F35</f>
        <v>0</v>
      </c>
      <c r="F101" s="36"/>
      <c r="G101" s="36">
        <v>0</v>
      </c>
      <c r="H101" s="489" t="s">
        <v>1160</v>
      </c>
      <c r="I101" s="490" t="s">
        <v>1161</v>
      </c>
      <c r="J101" s="491">
        <f>-G101</f>
        <v>0</v>
      </c>
      <c r="K101" s="489" t="s">
        <v>1164</v>
      </c>
      <c r="L101" s="490" t="s">
        <v>1165</v>
      </c>
      <c r="M101" s="491">
        <f>-J101</f>
        <v>0</v>
      </c>
    </row>
    <row r="102" spans="3:14" ht="20.45" customHeight="1">
      <c r="D102" s="202" t="s">
        <v>217</v>
      </c>
      <c r="E102" s="36">
        <f>-'3.0'!H320</f>
        <v>0</v>
      </c>
      <c r="F102" s="36"/>
      <c r="G102" s="36">
        <v>0</v>
      </c>
      <c r="H102" s="35" t="s">
        <v>1160</v>
      </c>
      <c r="I102" s="36" t="s">
        <v>1161</v>
      </c>
      <c r="J102" s="38">
        <f>-G102</f>
        <v>0</v>
      </c>
      <c r="K102" s="35" t="s">
        <v>1269</v>
      </c>
      <c r="L102" s="36" t="s">
        <v>1270</v>
      </c>
      <c r="M102" s="38">
        <f t="shared" ref="M102:M107" si="16">-J102</f>
        <v>0</v>
      </c>
    </row>
    <row r="103" spans="3:14" ht="20.45" customHeight="1">
      <c r="D103" s="202" t="s">
        <v>217</v>
      </c>
      <c r="E103" s="36">
        <f>-'CF.1'!H240</f>
        <v>-7613941909</v>
      </c>
      <c r="F103" s="36"/>
      <c r="G103" s="36">
        <f t="shared" ref="G103:G107" si="17">F103-E103</f>
        <v>7613941909</v>
      </c>
      <c r="H103" s="35" t="s">
        <v>1130</v>
      </c>
      <c r="I103" s="36" t="s">
        <v>1131</v>
      </c>
      <c r="J103" s="38">
        <f>-G103</f>
        <v>-7613941909</v>
      </c>
      <c r="K103" s="35" t="s">
        <v>1269</v>
      </c>
      <c r="L103" s="36" t="s">
        <v>1270</v>
      </c>
      <c r="M103" s="38">
        <f t="shared" si="16"/>
        <v>7613941909</v>
      </c>
    </row>
    <row r="104" spans="3:14" ht="20.45" customHeight="1">
      <c r="D104" s="202" t="s">
        <v>214</v>
      </c>
      <c r="E104" s="36"/>
      <c r="F104" s="36"/>
      <c r="G104" s="36">
        <f t="shared" si="17"/>
        <v>0</v>
      </c>
      <c r="H104" s="35" t="s">
        <v>860</v>
      </c>
      <c r="I104" s="36" t="s">
        <v>861</v>
      </c>
      <c r="J104" s="38">
        <v>3510577560</v>
      </c>
      <c r="K104" s="35" t="s">
        <v>709</v>
      </c>
      <c r="L104" s="36" t="s">
        <v>1471</v>
      </c>
      <c r="M104" s="38">
        <v>-920006498</v>
      </c>
    </row>
    <row r="105" spans="3:14" ht="20.45" customHeight="1">
      <c r="D105" s="202"/>
      <c r="E105" s="36"/>
      <c r="F105" s="36"/>
      <c r="G105" s="36">
        <f t="shared" si="17"/>
        <v>0</v>
      </c>
      <c r="H105" s="35" t="s">
        <v>822</v>
      </c>
      <c r="I105" s="36" t="s">
        <v>823</v>
      </c>
      <c r="J105" s="38">
        <f>T_IS!H111</f>
        <v>1199</v>
      </c>
      <c r="K105" s="35" t="s">
        <v>702</v>
      </c>
      <c r="L105" s="36" t="s">
        <v>210</v>
      </c>
      <c r="M105" s="38">
        <f>-J104-M104-J105-J106</f>
        <v>-2590572260</v>
      </c>
    </row>
    <row r="106" spans="3:14" ht="20.45" customHeight="1">
      <c r="D106" s="202"/>
      <c r="E106" s="36">
        <f>-'1.0'!F54</f>
        <v>0</v>
      </c>
      <c r="F106" s="36"/>
      <c r="G106" s="36">
        <f t="shared" si="17"/>
        <v>0</v>
      </c>
      <c r="H106" s="35" t="s">
        <v>911</v>
      </c>
      <c r="I106" s="36" t="s">
        <v>912</v>
      </c>
      <c r="J106" s="38">
        <v>-1</v>
      </c>
      <c r="K106" s="35"/>
      <c r="L106" s="36"/>
      <c r="M106" s="38"/>
      <c r="N106" s="28" t="s">
        <v>1877</v>
      </c>
    </row>
    <row r="107" spans="3:14" ht="20.45" customHeight="1" thickBot="1">
      <c r="D107" s="344"/>
      <c r="E107" s="345"/>
      <c r="F107" s="345"/>
      <c r="G107" s="345">
        <f t="shared" si="17"/>
        <v>0</v>
      </c>
      <c r="H107" s="348"/>
      <c r="I107" s="217"/>
      <c r="J107" s="218"/>
      <c r="K107" s="348"/>
      <c r="L107" s="217"/>
      <c r="M107" s="218">
        <f t="shared" si="16"/>
        <v>0</v>
      </c>
    </row>
    <row r="108" spans="3:14" ht="20.45" customHeight="1" thickBot="1">
      <c r="D108" s="480"/>
      <c r="E108" s="481">
        <f>SUM(E101:E107)</f>
        <v>-7613941909</v>
      </c>
      <c r="F108" s="481">
        <f>SUM(F101:F107)</f>
        <v>0</v>
      </c>
      <c r="G108" s="481"/>
      <c r="H108" s="345"/>
      <c r="I108" s="345"/>
      <c r="J108" s="345"/>
      <c r="K108" s="345"/>
      <c r="L108" s="345"/>
      <c r="M108" s="208"/>
    </row>
    <row r="109" spans="3:14" ht="20.45" customHeight="1">
      <c r="M109" s="28" t="b">
        <f>SUM(J101:J107)+SUM(M101:M107)=0</f>
        <v>1</v>
      </c>
    </row>
    <row r="111" spans="3:14" s="206" customFormat="1" ht="20.45" customHeight="1" thickBot="1">
      <c r="C111" s="206" t="s">
        <v>542</v>
      </c>
    </row>
    <row r="112" spans="3:14" ht="20.45" customHeight="1">
      <c r="D112" s="320" t="s">
        <v>416</v>
      </c>
      <c r="E112" s="321" t="s">
        <v>1510</v>
      </c>
      <c r="F112" s="321"/>
      <c r="G112" s="478" t="s">
        <v>1511</v>
      </c>
      <c r="H112" s="320" t="s">
        <v>394</v>
      </c>
      <c r="I112" s="321" t="s">
        <v>1513</v>
      </c>
      <c r="J112" s="478" t="s">
        <v>1514</v>
      </c>
      <c r="K112" s="320" t="s">
        <v>394</v>
      </c>
      <c r="L112" s="321" t="s">
        <v>1513</v>
      </c>
      <c r="M112" s="478" t="s">
        <v>1514</v>
      </c>
    </row>
    <row r="113" spans="4:13" ht="20.45" customHeight="1">
      <c r="D113" s="202" t="s">
        <v>303</v>
      </c>
      <c r="E113" s="36">
        <f>'6.0'!J12</f>
        <v>0</v>
      </c>
      <c r="F113" s="36"/>
      <c r="G113" s="201">
        <f>-E113</f>
        <v>0</v>
      </c>
      <c r="H113" s="202" t="s">
        <v>709</v>
      </c>
      <c r="I113" s="36" t="s">
        <v>1471</v>
      </c>
      <c r="J113" s="201">
        <f>-G113</f>
        <v>0</v>
      </c>
      <c r="K113" s="202" t="s">
        <v>911</v>
      </c>
      <c r="L113" s="36" t="s">
        <v>1477</v>
      </c>
      <c r="M113" s="201">
        <f>-J113</f>
        <v>0</v>
      </c>
    </row>
    <row r="114" spans="4:13" ht="20.45" customHeight="1">
      <c r="D114" s="202" t="s">
        <v>378</v>
      </c>
      <c r="E114" s="36">
        <f>T_IS!O114</f>
        <v>25472597960</v>
      </c>
      <c r="F114" s="36"/>
      <c r="G114" s="201">
        <f>-E114</f>
        <v>-25472597960</v>
      </c>
      <c r="H114" s="202" t="s">
        <v>702</v>
      </c>
      <c r="I114" s="36" t="s">
        <v>210</v>
      </c>
      <c r="J114" s="201">
        <f>-G114</f>
        <v>25472597960</v>
      </c>
      <c r="K114" s="202" t="s">
        <v>723</v>
      </c>
      <c r="L114" s="36" t="s">
        <v>724</v>
      </c>
      <c r="M114" s="201">
        <f t="shared" ref="M114:M119" si="18">-J114</f>
        <v>-25472597960</v>
      </c>
    </row>
    <row r="115" spans="4:13" ht="20.45" customHeight="1">
      <c r="D115" s="202" t="s">
        <v>1931</v>
      </c>
      <c r="E115" s="36">
        <f>'5.0'!J25</f>
        <v>20593687255</v>
      </c>
      <c r="F115" s="36"/>
      <c r="G115" s="201">
        <f t="shared" ref="G115:G119" si="19">F115-E115</f>
        <v>-20593687255</v>
      </c>
      <c r="H115" s="202" t="s">
        <v>1932</v>
      </c>
      <c r="I115" s="36" t="s">
        <v>1931</v>
      </c>
      <c r="J115" s="201">
        <f>-G115</f>
        <v>20593687255</v>
      </c>
      <c r="K115" s="202" t="s">
        <v>702</v>
      </c>
      <c r="L115" s="36" t="s">
        <v>210</v>
      </c>
      <c r="M115" s="201">
        <f t="shared" si="18"/>
        <v>-20593687255</v>
      </c>
    </row>
    <row r="116" spans="4:13" ht="20.45" customHeight="1">
      <c r="D116" s="202" t="s">
        <v>1966</v>
      </c>
      <c r="E116" s="36">
        <f>'6.0'!J16</f>
        <v>327031541</v>
      </c>
      <c r="F116" s="36"/>
      <c r="G116" s="201">
        <f t="shared" si="19"/>
        <v>-327031541</v>
      </c>
      <c r="H116" s="202" t="s">
        <v>913</v>
      </c>
      <c r="I116" s="36" t="s">
        <v>914</v>
      </c>
      <c r="J116" s="201">
        <f>G116</f>
        <v>-327031541</v>
      </c>
      <c r="K116" s="202" t="s">
        <v>911</v>
      </c>
      <c r="L116" s="36" t="s">
        <v>912</v>
      </c>
      <c r="M116" s="201">
        <f t="shared" si="18"/>
        <v>327031541</v>
      </c>
    </row>
    <row r="117" spans="4:13" ht="20.45" customHeight="1">
      <c r="D117" s="202" t="s">
        <v>1967</v>
      </c>
      <c r="E117" s="36">
        <f>'6.0'!J18</f>
        <v>300136621</v>
      </c>
      <c r="F117" s="36"/>
      <c r="G117" s="201">
        <f t="shared" si="19"/>
        <v>-300136621</v>
      </c>
      <c r="H117" s="202" t="s">
        <v>941</v>
      </c>
      <c r="I117" s="36" t="s">
        <v>942</v>
      </c>
      <c r="J117" s="201">
        <f>G117</f>
        <v>-300136621</v>
      </c>
      <c r="K117" s="202" t="s">
        <v>911</v>
      </c>
      <c r="L117" s="36" t="s">
        <v>912</v>
      </c>
      <c r="M117" s="201">
        <f t="shared" si="18"/>
        <v>300136621</v>
      </c>
    </row>
    <row r="118" spans="4:13" ht="20.45" customHeight="1">
      <c r="D118" s="202"/>
      <c r="E118" s="36">
        <f>-'1.0'!F66</f>
        <v>0</v>
      </c>
      <c r="F118" s="36"/>
      <c r="G118" s="201">
        <f t="shared" si="19"/>
        <v>0</v>
      </c>
      <c r="H118" s="202"/>
      <c r="I118" s="36"/>
      <c r="J118" s="201"/>
      <c r="K118" s="202"/>
      <c r="L118" s="36"/>
      <c r="M118" s="201">
        <f t="shared" si="18"/>
        <v>0</v>
      </c>
    </row>
    <row r="119" spans="4:13" ht="20.45" customHeight="1" thickBot="1">
      <c r="D119" s="344"/>
      <c r="E119" s="345"/>
      <c r="F119" s="345"/>
      <c r="G119" s="208">
        <f t="shared" si="19"/>
        <v>0</v>
      </c>
      <c r="H119" s="202"/>
      <c r="I119" s="36"/>
      <c r="J119" s="201"/>
      <c r="K119" s="344"/>
      <c r="L119" s="345"/>
      <c r="M119" s="201">
        <f t="shared" si="18"/>
        <v>0</v>
      </c>
    </row>
    <row r="120" spans="4:13" ht="20.45" customHeight="1" thickBot="1">
      <c r="D120" s="480"/>
      <c r="E120" s="481">
        <f>SUM(E113:E119)</f>
        <v>46693453377</v>
      </c>
      <c r="F120" s="481">
        <f>SUM(F113:F119)</f>
        <v>0</v>
      </c>
      <c r="G120" s="481"/>
      <c r="H120" s="481"/>
      <c r="I120" s="481"/>
      <c r="J120" s="481"/>
      <c r="K120" s="481"/>
      <c r="L120" s="481"/>
      <c r="M120" s="48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D2:J53"/>
  <sheetViews>
    <sheetView showGridLines="0" zoomScale="115" zoomScaleNormal="115" workbookViewId="0">
      <pane xSplit="6" ySplit="4" topLeftCell="G29" activePane="bottomRight" state="frozen"/>
      <selection activeCell="H85" sqref="H85"/>
      <selection pane="topRight" activeCell="H85" sqref="H85"/>
      <selection pane="bottomLeft" activeCell="H85" sqref="H85"/>
      <selection pane="bottomRight" activeCell="H39" sqref="H39"/>
    </sheetView>
  </sheetViews>
  <sheetFormatPr defaultColWidth="9" defaultRowHeight="18" customHeight="1"/>
  <cols>
    <col min="1" max="3" width="2.375" style="30" customWidth="1"/>
    <col min="4" max="4" width="46.25" style="30" customWidth="1"/>
    <col min="5" max="5" width="31.375" style="30" customWidth="1"/>
    <col min="6" max="6" width="11.25" style="30" bestFit="1" customWidth="1"/>
    <col min="7" max="10" width="19.375" style="30" customWidth="1"/>
    <col min="11" max="16384" width="9" style="30"/>
  </cols>
  <sheetData>
    <row r="2" spans="4:10" ht="18" customHeight="1" thickBot="1"/>
    <row r="3" spans="4:10" s="29" customFormat="1" ht="18" customHeight="1">
      <c r="D3" s="441"/>
      <c r="E3" s="442"/>
      <c r="F3" s="442"/>
      <c r="G3" s="443" t="s">
        <v>1930</v>
      </c>
      <c r="H3" s="443"/>
      <c r="I3" s="443" t="s">
        <v>1756</v>
      </c>
      <c r="J3" s="444"/>
    </row>
    <row r="4" spans="4:10" ht="18" customHeight="1">
      <c r="D4" s="445" t="s">
        <v>1757</v>
      </c>
      <c r="E4" s="446" t="s">
        <v>1400</v>
      </c>
      <c r="F4" s="446" t="s">
        <v>1758</v>
      </c>
      <c r="G4" s="447" t="s">
        <v>1975</v>
      </c>
      <c r="H4" s="447"/>
      <c r="I4" s="447" t="s">
        <v>1759</v>
      </c>
      <c r="J4" s="448"/>
    </row>
    <row r="5" spans="4:10" ht="18" customHeight="1">
      <c r="D5" s="449"/>
      <c r="E5" s="450" t="s">
        <v>1760</v>
      </c>
      <c r="F5" s="450"/>
      <c r="G5" s="451"/>
      <c r="H5" s="451"/>
      <c r="I5" s="451"/>
      <c r="J5" s="452"/>
    </row>
    <row r="6" spans="4:10" ht="18" customHeight="1">
      <c r="D6" s="453"/>
      <c r="E6" s="454" t="s">
        <v>1761</v>
      </c>
      <c r="F6" s="454"/>
      <c r="G6" s="455"/>
      <c r="H6" s="455">
        <f>SUM(G7:G12)</f>
        <v>136268490827</v>
      </c>
      <c r="I6" s="455"/>
      <c r="J6" s="456">
        <v>150013247292</v>
      </c>
    </row>
    <row r="7" spans="4:10" ht="18" customHeight="1">
      <c r="D7" s="457" t="s">
        <v>1</v>
      </c>
      <c r="E7" s="458" t="s">
        <v>1</v>
      </c>
      <c r="F7" s="459" t="s">
        <v>1762</v>
      </c>
      <c r="G7" s="460">
        <f>SUMIF(T_BS!$E:$E,'BS(공)'!D7,T_BS!$AA:$AA)</f>
        <v>88901392676</v>
      </c>
      <c r="H7" s="460"/>
      <c r="I7" s="460">
        <v>95653360723</v>
      </c>
      <c r="J7" s="461"/>
    </row>
    <row r="8" spans="4:10" ht="18" customHeight="1">
      <c r="D8" s="457" t="s">
        <v>1763</v>
      </c>
      <c r="E8" s="458" t="s">
        <v>23</v>
      </c>
      <c r="F8" s="459" t="s">
        <v>1995</v>
      </c>
      <c r="G8" s="460">
        <f>SUMIF(T_BS!$E:$E,'BS(공)'!D8,T_BS!$AA:$AA)</f>
        <v>37314849276</v>
      </c>
      <c r="H8" s="460"/>
      <c r="I8" s="460">
        <v>27783916336</v>
      </c>
      <c r="J8" s="461"/>
    </row>
    <row r="9" spans="4:10" ht="18" customHeight="1">
      <c r="D9" s="457" t="s">
        <v>38</v>
      </c>
      <c r="E9" s="458" t="s">
        <v>38</v>
      </c>
      <c r="F9" s="459" t="s">
        <v>1764</v>
      </c>
      <c r="G9" s="460">
        <f>SUMIF(T_BS!$E:$E,'BS(공)'!D9,T_BS!$AA:$AA)</f>
        <v>0</v>
      </c>
      <c r="H9" s="460"/>
      <c r="I9" s="460">
        <v>5366337088</v>
      </c>
      <c r="J9" s="461"/>
    </row>
    <row r="10" spans="4:10" ht="18" customHeight="1">
      <c r="D10" s="457" t="s">
        <v>2</v>
      </c>
      <c r="E10" s="458" t="s">
        <v>2</v>
      </c>
      <c r="F10" s="459">
        <v>9</v>
      </c>
      <c r="G10" s="460">
        <f>SUMIF(T_BS!$E:$E,'BS(공)'!D10,T_BS!$AA:$AA)</f>
        <v>7130214686</v>
      </c>
      <c r="H10" s="460"/>
      <c r="I10" s="460">
        <v>16457154007</v>
      </c>
      <c r="J10" s="461"/>
    </row>
    <row r="11" spans="4:10" ht="18" customHeight="1">
      <c r="D11" s="457" t="s">
        <v>3</v>
      </c>
      <c r="E11" s="458" t="s">
        <v>3</v>
      </c>
      <c r="F11" s="459"/>
      <c r="G11" s="460">
        <f>SUMIF(T_BS!$E:$E,'BS(공)'!D11,T_BS!$AA:$AA)</f>
        <v>324941593</v>
      </c>
      <c r="H11" s="460"/>
      <c r="I11" s="460">
        <v>123183784</v>
      </c>
      <c r="J11" s="461"/>
    </row>
    <row r="12" spans="4:10" ht="18" customHeight="1">
      <c r="D12" s="457" t="s">
        <v>4</v>
      </c>
      <c r="E12" s="458" t="s">
        <v>4</v>
      </c>
      <c r="F12" s="459">
        <v>10</v>
      </c>
      <c r="G12" s="460">
        <f>SUMIF(T_BS!$E:$E,'BS(공)'!D12,T_BS!$AA:$AA)</f>
        <v>2597092596</v>
      </c>
      <c r="H12" s="460"/>
      <c r="I12" s="460">
        <v>4629295354</v>
      </c>
      <c r="J12" s="461"/>
    </row>
    <row r="13" spans="4:10" ht="18" customHeight="1">
      <c r="D13" s="453"/>
      <c r="E13" s="454" t="s">
        <v>1765</v>
      </c>
      <c r="F13" s="454"/>
      <c r="G13" s="455"/>
      <c r="H13" s="455">
        <f>SUM(G14:G19)</f>
        <v>35317064027</v>
      </c>
      <c r="I13" s="455"/>
      <c r="J13" s="456">
        <v>54465274753</v>
      </c>
    </row>
    <row r="14" spans="4:10" ht="18" customHeight="1">
      <c r="D14" s="457" t="s">
        <v>1766</v>
      </c>
      <c r="E14" s="458" t="s">
        <v>23</v>
      </c>
      <c r="F14" s="459" t="s">
        <v>1764</v>
      </c>
      <c r="G14" s="460">
        <f>SUMIF(T_BS!$E:$E,'BS(공)'!D14,T_BS!$AA:$AA)</f>
        <v>2143158640</v>
      </c>
      <c r="H14" s="460"/>
      <c r="I14" s="460">
        <v>1654246176</v>
      </c>
      <c r="J14" s="461"/>
    </row>
    <row r="15" spans="4:10" ht="18" customHeight="1">
      <c r="D15" s="457" t="s">
        <v>76</v>
      </c>
      <c r="E15" s="458" t="s">
        <v>76</v>
      </c>
      <c r="F15" s="459" t="s">
        <v>1764</v>
      </c>
      <c r="G15" s="460">
        <f>SUMIF(T_BS!$E:$E,'BS(공)'!D15,T_BS!$AA:$AA)</f>
        <v>996359683</v>
      </c>
      <c r="H15" s="460"/>
      <c r="I15" s="460">
        <v>978026298</v>
      </c>
      <c r="J15" s="461"/>
    </row>
    <row r="16" spans="4:10" ht="18" customHeight="1">
      <c r="D16" s="457" t="s">
        <v>83</v>
      </c>
      <c r="E16" s="458" t="s">
        <v>83</v>
      </c>
      <c r="F16" s="459">
        <v>11</v>
      </c>
      <c r="G16" s="460">
        <f>SUMIF(T_BS!$E:$E,'BS(공)'!D16,T_BS!$AA:$AA)</f>
        <v>0</v>
      </c>
      <c r="H16" s="460"/>
      <c r="I16" s="460">
        <v>0</v>
      </c>
      <c r="J16" s="461"/>
    </row>
    <row r="17" spans="4:10" ht="18" customHeight="1">
      <c r="D17" s="457" t="s">
        <v>5</v>
      </c>
      <c r="E17" s="458" t="s">
        <v>5</v>
      </c>
      <c r="F17" s="459" t="s">
        <v>1996</v>
      </c>
      <c r="G17" s="460">
        <f>SUMIF(T_BS!$E:$E,'BS(공)'!D17,T_BS!$AA:$AA)</f>
        <v>5328505320</v>
      </c>
      <c r="H17" s="460"/>
      <c r="I17" s="460">
        <v>2286255773</v>
      </c>
      <c r="J17" s="461"/>
    </row>
    <row r="18" spans="4:10" ht="18" customHeight="1">
      <c r="D18" s="457" t="s">
        <v>6</v>
      </c>
      <c r="E18" s="458" t="s">
        <v>6</v>
      </c>
      <c r="F18" s="459" t="s">
        <v>1997</v>
      </c>
      <c r="G18" s="460">
        <f>SUMIF(T_BS!$E:$E,'BS(공)'!D18,T_BS!$AA:$AA)</f>
        <v>26598624855</v>
      </c>
      <c r="H18" s="460"/>
      <c r="I18" s="460">
        <v>49430124489</v>
      </c>
      <c r="J18" s="461"/>
    </row>
    <row r="19" spans="4:10" ht="18" customHeight="1">
      <c r="D19" s="457" t="s">
        <v>7</v>
      </c>
      <c r="E19" s="458" t="s">
        <v>7</v>
      </c>
      <c r="F19" s="459" t="s">
        <v>1767</v>
      </c>
      <c r="G19" s="460">
        <f>SUMIF(T_BS!$E:$E,'BS(공)'!D19,T_BS!$AA:$AA)</f>
        <v>250415529</v>
      </c>
      <c r="H19" s="460"/>
      <c r="I19" s="460">
        <v>116622017</v>
      </c>
      <c r="J19" s="461"/>
    </row>
    <row r="20" spans="4:10" ht="18" customHeight="1">
      <c r="D20" s="449"/>
      <c r="E20" s="450" t="s">
        <v>1768</v>
      </c>
      <c r="F20" s="450"/>
      <c r="G20" s="451"/>
      <c r="H20" s="451">
        <f>SUM(H6,H13)</f>
        <v>171585554854</v>
      </c>
      <c r="I20" s="451"/>
      <c r="J20" s="452">
        <v>204478522045</v>
      </c>
    </row>
    <row r="21" spans="4:10" ht="18" customHeight="1">
      <c r="D21" s="449"/>
      <c r="E21" s="450" t="s">
        <v>1769</v>
      </c>
      <c r="F21" s="450"/>
      <c r="G21" s="451"/>
      <c r="H21" s="451"/>
      <c r="I21" s="451"/>
      <c r="J21" s="452"/>
    </row>
    <row r="22" spans="4:10" ht="18" customHeight="1">
      <c r="D22" s="453"/>
      <c r="E22" s="454" t="s">
        <v>1770</v>
      </c>
      <c r="F22" s="454"/>
      <c r="G22" s="455"/>
      <c r="H22" s="455">
        <f>SUM(G23:G27)</f>
        <v>49775319297</v>
      </c>
      <c r="I22" s="455"/>
      <c r="J22" s="456">
        <v>41956229192</v>
      </c>
    </row>
    <row r="23" spans="4:10" ht="18" customHeight="1">
      <c r="D23" s="457" t="s">
        <v>137</v>
      </c>
      <c r="E23" s="458" t="s">
        <v>137</v>
      </c>
      <c r="F23" s="459" t="s">
        <v>1998</v>
      </c>
      <c r="G23" s="460">
        <f>SUMIF(T_BS!$E:$E,'BS(공)'!D23,T_BS!$AA:$AA)</f>
        <v>36253305936</v>
      </c>
      <c r="H23" s="460"/>
      <c r="I23" s="460">
        <v>22557298691</v>
      </c>
      <c r="J23" s="461"/>
    </row>
    <row r="24" spans="4:10" ht="18" customHeight="1">
      <c r="D24" s="457" t="s">
        <v>156</v>
      </c>
      <c r="E24" s="458" t="s">
        <v>156</v>
      </c>
      <c r="F24" s="459" t="s">
        <v>1999</v>
      </c>
      <c r="G24" s="460">
        <f>SUMIF(T_BS!$E:$E,'BS(공)'!D24,T_BS!$AA:$AA)</f>
        <v>0</v>
      </c>
      <c r="H24" s="460"/>
      <c r="I24" s="460">
        <v>5084665142</v>
      </c>
      <c r="J24" s="461"/>
    </row>
    <row r="25" spans="4:10" ht="18" customHeight="1">
      <c r="D25" s="457" t="s">
        <v>162</v>
      </c>
      <c r="E25" s="458" t="s">
        <v>162</v>
      </c>
      <c r="F25" s="459" t="s">
        <v>2000</v>
      </c>
      <c r="G25" s="460">
        <f>SUMIF(T_BS!$E:$E,'BS(공)'!D25,T_BS!$AA:$AA)</f>
        <v>10909561538</v>
      </c>
      <c r="H25" s="460"/>
      <c r="I25" s="460">
        <v>13914830289</v>
      </c>
      <c r="J25" s="461"/>
    </row>
    <row r="26" spans="4:10" ht="18" customHeight="1">
      <c r="D26" s="457" t="s">
        <v>1771</v>
      </c>
      <c r="E26" s="458" t="s">
        <v>1772</v>
      </c>
      <c r="F26" s="459" t="s">
        <v>2001</v>
      </c>
      <c r="G26" s="460">
        <f>SUMIF(T_BS!$E:$E,'BS(공)'!D26,T_BS!$AA:$AA)</f>
        <v>2550691866</v>
      </c>
      <c r="H26" s="460"/>
      <c r="I26" s="460">
        <v>0</v>
      </c>
      <c r="J26" s="461"/>
    </row>
    <row r="27" spans="4:10" ht="18" customHeight="1">
      <c r="D27" s="457" t="s">
        <v>1752</v>
      </c>
      <c r="E27" s="458" t="s">
        <v>1752</v>
      </c>
      <c r="F27" s="459"/>
      <c r="G27" s="460">
        <f>SUMIF(T_BS!$E:$E,'BS(공)'!D27,T_BS!$AA:$AA)</f>
        <v>61759957</v>
      </c>
      <c r="H27" s="460"/>
      <c r="I27" s="460">
        <v>399435070</v>
      </c>
      <c r="J27" s="461"/>
    </row>
    <row r="28" spans="4:10" ht="18" customHeight="1">
      <c r="D28" s="453"/>
      <c r="E28" s="454" t="s">
        <v>1773</v>
      </c>
      <c r="F28" s="454"/>
      <c r="G28" s="455"/>
      <c r="H28" s="455">
        <f>SUM(G29:G34)</f>
        <v>3893195718</v>
      </c>
      <c r="I28" s="455"/>
      <c r="J28" s="456">
        <f>SUM(I29:I34)</f>
        <v>2663481524</v>
      </c>
    </row>
    <row r="29" spans="4:10" ht="18" customHeight="1">
      <c r="D29" s="457" t="s">
        <v>1631</v>
      </c>
      <c r="E29" s="458" t="s">
        <v>137</v>
      </c>
      <c r="F29" s="459" t="s">
        <v>2002</v>
      </c>
      <c r="G29" s="460">
        <f>SUMIF(T_BS!$E:$E,'BS(공)'!D29,T_BS!$AA:$AA)</f>
        <v>11500000</v>
      </c>
      <c r="H29" s="460"/>
      <c r="I29" s="460">
        <v>0</v>
      </c>
      <c r="J29" s="461"/>
    </row>
    <row r="30" spans="4:10" ht="18" customHeight="1">
      <c r="D30" s="457" t="s">
        <v>1774</v>
      </c>
      <c r="E30" s="458" t="s">
        <v>1774</v>
      </c>
      <c r="F30" s="459"/>
      <c r="G30" s="460">
        <f>SUMIF(T_BS!$E:$E,'BS(공)'!D30,T_BS!$AA:$AA)</f>
        <v>0</v>
      </c>
      <c r="H30" s="460"/>
      <c r="I30" s="460">
        <v>0</v>
      </c>
      <c r="J30" s="461"/>
    </row>
    <row r="31" spans="4:10" ht="18" customHeight="1">
      <c r="D31" s="457" t="s">
        <v>185</v>
      </c>
      <c r="E31" s="458" t="s">
        <v>185</v>
      </c>
      <c r="F31" s="459">
        <v>16</v>
      </c>
      <c r="G31" s="460">
        <f>SUMIF(T_BS!$E:$E,'BS(공)'!D31,T_BS!$AA:$AA)</f>
        <v>1215669271</v>
      </c>
      <c r="H31" s="460"/>
      <c r="I31" s="460">
        <v>553536216</v>
      </c>
      <c r="J31" s="461"/>
    </row>
    <row r="32" spans="4:10" ht="18" customHeight="1">
      <c r="D32" s="457" t="s">
        <v>1753</v>
      </c>
      <c r="E32" s="458" t="s">
        <v>1753</v>
      </c>
      <c r="F32" s="459">
        <v>14</v>
      </c>
      <c r="G32" s="460">
        <f>SUMIF(T_BS!$E:$E,'BS(공)'!D32,T_BS!$AA:$AA)</f>
        <v>118066714</v>
      </c>
      <c r="H32" s="460"/>
      <c r="I32" s="460">
        <v>114807149</v>
      </c>
      <c r="J32" s="461"/>
    </row>
    <row r="33" spans="4:10" ht="18" customHeight="1">
      <c r="D33" s="457" t="s">
        <v>1775</v>
      </c>
      <c r="E33" s="458" t="s">
        <v>1689</v>
      </c>
      <c r="F33" s="459"/>
      <c r="G33" s="460">
        <f>SUMIF(T_BS!$E:$E,'BS(공)'!D33,T_BS!$AA:$AA)</f>
        <v>695426099</v>
      </c>
      <c r="H33" s="460"/>
      <c r="I33" s="460">
        <v>0</v>
      </c>
      <c r="J33" s="461"/>
    </row>
    <row r="34" spans="4:10" ht="18" customHeight="1">
      <c r="D34" s="457" t="s">
        <v>1755</v>
      </c>
      <c r="E34" s="458" t="s">
        <v>669</v>
      </c>
      <c r="F34" s="459">
        <v>24</v>
      </c>
      <c r="G34" s="460">
        <f>SUMIF(T_BS!$E:$E,'BS(공)'!D34,T_BS!$AA:$AA)</f>
        <v>1852533634</v>
      </c>
      <c r="H34" s="460"/>
      <c r="I34" s="460">
        <v>1995138159</v>
      </c>
      <c r="J34" s="461"/>
    </row>
    <row r="35" spans="4:10" ht="18" customHeight="1">
      <c r="D35" s="449"/>
      <c r="E35" s="450" t="s">
        <v>1776</v>
      </c>
      <c r="F35" s="450"/>
      <c r="G35" s="451"/>
      <c r="H35" s="451">
        <f>SUM(H22,H28)</f>
        <v>53668515015</v>
      </c>
      <c r="I35" s="451"/>
      <c r="J35" s="452">
        <v>44619710716</v>
      </c>
    </row>
    <row r="36" spans="4:10" ht="18" customHeight="1">
      <c r="D36" s="449"/>
      <c r="E36" s="450" t="s">
        <v>1777</v>
      </c>
      <c r="F36" s="450"/>
      <c r="G36" s="451"/>
      <c r="H36" s="451"/>
      <c r="I36" s="451"/>
      <c r="J36" s="452"/>
    </row>
    <row r="37" spans="4:10" ht="18" customHeight="1">
      <c r="D37" s="453"/>
      <c r="E37" s="454" t="s">
        <v>1778</v>
      </c>
      <c r="F37" s="454"/>
      <c r="G37" s="455"/>
      <c r="H37" s="455">
        <f>SUM(G38:G41)</f>
        <v>117917039839</v>
      </c>
      <c r="I37" s="455"/>
      <c r="J37" s="456">
        <v>159858811329</v>
      </c>
    </row>
    <row r="38" spans="4:10" ht="18" customHeight="1">
      <c r="D38" s="457" t="s">
        <v>10</v>
      </c>
      <c r="E38" s="458" t="s">
        <v>1779</v>
      </c>
      <c r="F38" s="459" t="s">
        <v>2003</v>
      </c>
      <c r="G38" s="460">
        <f>SUMIF(T_BS!$E:$E,'BS(공)'!D38,T_BS!$AA:$AA)</f>
        <v>28429923500</v>
      </c>
      <c r="H38" s="460"/>
      <c r="I38" s="460">
        <v>27779139500</v>
      </c>
      <c r="J38" s="461"/>
    </row>
    <row r="39" spans="4:10" ht="18" customHeight="1">
      <c r="D39" s="457" t="s">
        <v>12</v>
      </c>
      <c r="E39" s="458" t="s">
        <v>1780</v>
      </c>
      <c r="F39" s="459">
        <v>17</v>
      </c>
      <c r="G39" s="460">
        <f>SUMIF(T_BS!$E:$E,'BS(공)'!D39,T_BS!$AA:$AA)</f>
        <v>178559577856</v>
      </c>
      <c r="H39" s="460"/>
      <c r="I39" s="460">
        <v>173855395328</v>
      </c>
      <c r="J39" s="461"/>
    </row>
    <row r="40" spans="4:10" ht="18" customHeight="1">
      <c r="D40" s="457" t="s">
        <v>195</v>
      </c>
      <c r="E40" s="458" t="s">
        <v>1781</v>
      </c>
      <c r="F40" s="459" t="s">
        <v>2004</v>
      </c>
      <c r="G40" s="460">
        <f>SUMIF(T_BS!$E:$E,'BS(공)'!D40,T_BS!$AA:$AA)</f>
        <v>-1301501750</v>
      </c>
      <c r="H40" s="460"/>
      <c r="I40" s="460">
        <v>-2776797396</v>
      </c>
      <c r="J40" s="461"/>
    </row>
    <row r="41" spans="4:10" ht="18" customHeight="1">
      <c r="D41" s="457" t="s">
        <v>13</v>
      </c>
      <c r="E41" s="458" t="s">
        <v>1782</v>
      </c>
      <c r="F41" s="459">
        <v>19</v>
      </c>
      <c r="G41" s="460">
        <f>SUMIF(T_BS!$E:$E,'BS(공)'!D41,T_BS!$AA:$AA)</f>
        <v>-87770959767</v>
      </c>
      <c r="H41" s="460"/>
      <c r="I41" s="460">
        <v>-38998926103</v>
      </c>
      <c r="J41" s="461"/>
    </row>
    <row r="42" spans="4:10" ht="18" customHeight="1">
      <c r="D42" s="449"/>
      <c r="E42" s="450" t="s">
        <v>1783</v>
      </c>
      <c r="F42" s="450"/>
      <c r="G42" s="451"/>
      <c r="H42" s="451">
        <f>SUM(H37)</f>
        <v>117917039839</v>
      </c>
      <c r="I42" s="451"/>
      <c r="J42" s="452">
        <v>159858811329</v>
      </c>
    </row>
    <row r="43" spans="4:10" ht="18" customHeight="1" thickBot="1">
      <c r="D43" s="462"/>
      <c r="E43" s="463" t="s">
        <v>1784</v>
      </c>
      <c r="F43" s="463"/>
      <c r="G43" s="464"/>
      <c r="H43" s="464">
        <f>SUM(H42,H35)</f>
        <v>171585554854</v>
      </c>
      <c r="I43" s="464"/>
      <c r="J43" s="465">
        <v>204478522045</v>
      </c>
    </row>
    <row r="44" spans="4:10" ht="18" customHeight="1" thickBot="1"/>
    <row r="45" spans="4:10" ht="18" customHeight="1">
      <c r="D45" s="466"/>
      <c r="E45" s="467" t="s">
        <v>1785</v>
      </c>
      <c r="F45" s="467"/>
      <c r="G45" s="467"/>
      <c r="H45" s="468" t="b">
        <f>H20=H43</f>
        <v>1</v>
      </c>
      <c r="I45" s="468"/>
      <c r="J45" s="469"/>
    </row>
    <row r="46" spans="4:10" ht="18" customHeight="1">
      <c r="D46" s="470"/>
      <c r="E46" s="164" t="s">
        <v>1786</v>
      </c>
      <c r="F46" s="164"/>
      <c r="G46" s="164"/>
      <c r="H46" s="471" t="b">
        <f>H6=T_BS!AA8</f>
        <v>1</v>
      </c>
      <c r="I46" s="471"/>
      <c r="J46" s="472"/>
    </row>
    <row r="47" spans="4:10" ht="18" customHeight="1" thickBot="1">
      <c r="D47" s="473"/>
      <c r="E47" s="474"/>
      <c r="F47" s="474"/>
      <c r="G47" s="474"/>
      <c r="H47" s="475"/>
      <c r="I47" s="475"/>
      <c r="J47" s="476"/>
    </row>
    <row r="49" spans="7:9" ht="18" customHeight="1">
      <c r="G49" s="766" t="s">
        <v>1987</v>
      </c>
      <c r="H49" s="767">
        <f>G41-I41</f>
        <v>-48772033664</v>
      </c>
    </row>
    <row r="50" spans="7:9" ht="18" customHeight="1">
      <c r="G50" s="766" t="s">
        <v>1984</v>
      </c>
      <c r="H50" s="768">
        <f>'IS(공)'!G18</f>
        <v>-48005522146</v>
      </c>
    </row>
    <row r="51" spans="7:9" ht="18" customHeight="1" thickBot="1">
      <c r="G51" s="769" t="s">
        <v>1985</v>
      </c>
      <c r="H51" s="770">
        <f>'IS(공)'!G23</f>
        <v>-766511518</v>
      </c>
      <c r="I51" s="477"/>
    </row>
    <row r="52" spans="7:9" ht="18" customHeight="1" thickTop="1" thickBot="1">
      <c r="G52" s="764" t="s">
        <v>1986</v>
      </c>
      <c r="H52" s="765">
        <f>H49-H50-H51</f>
        <v>0</v>
      </c>
    </row>
    <row r="53" spans="7:9" ht="18" customHeight="1" thickTop="1"/>
  </sheetData>
  <phoneticPr fontId="18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00000"/>
  </sheetPr>
  <dimension ref="D3:N29"/>
  <sheetViews>
    <sheetView showGridLines="0" tabSelected="1" topLeftCell="A4" zoomScaleNormal="100" workbookViewId="0">
      <selection activeCell="L21" sqref="L21"/>
    </sheetView>
  </sheetViews>
  <sheetFormatPr defaultColWidth="8.75" defaultRowHeight="18" customHeight="1"/>
  <cols>
    <col min="1" max="3" width="2.375" style="28" customWidth="1"/>
    <col min="4" max="4" width="34.75" style="36" bestFit="1" customWidth="1"/>
    <col min="5" max="14" width="19.125" style="36" customWidth="1"/>
    <col min="15" max="16384" width="8.75" style="28"/>
  </cols>
  <sheetData>
    <row r="3" spans="4:12" ht="18" customHeight="1" thickBot="1"/>
    <row r="4" spans="4:12" ht="18" customHeight="1">
      <c r="D4" s="799" t="s">
        <v>1735</v>
      </c>
      <c r="E4" s="801" t="s">
        <v>1736</v>
      </c>
      <c r="F4" s="801"/>
      <c r="G4" s="801"/>
      <c r="H4" s="801"/>
      <c r="I4" s="801"/>
      <c r="J4" s="801" t="s">
        <v>1737</v>
      </c>
      <c r="K4" s="803" t="s">
        <v>14</v>
      </c>
    </row>
    <row r="5" spans="4:12" ht="18" customHeight="1">
      <c r="D5" s="800"/>
      <c r="E5" s="430" t="s">
        <v>1738</v>
      </c>
      <c r="F5" s="430" t="s">
        <v>12</v>
      </c>
      <c r="G5" s="430" t="s">
        <v>195</v>
      </c>
      <c r="H5" s="430" t="s">
        <v>1739</v>
      </c>
      <c r="I5" s="430" t="s">
        <v>1740</v>
      </c>
      <c r="J5" s="802"/>
      <c r="K5" s="804"/>
    </row>
    <row r="6" spans="4:12" ht="18" customHeight="1">
      <c r="D6" s="771" t="s">
        <v>1933</v>
      </c>
      <c r="E6" s="772">
        <v>23774296000</v>
      </c>
      <c r="F6" s="772">
        <v>107818533440</v>
      </c>
      <c r="G6" s="772">
        <v>-530771383</v>
      </c>
      <c r="H6" s="772">
        <v>-17388436366</v>
      </c>
      <c r="I6" s="773">
        <f t="shared" ref="I6:I14" si="0">SUM(E6:H6)</f>
        <v>113673621691</v>
      </c>
      <c r="J6" s="772" t="s">
        <v>616</v>
      </c>
      <c r="K6" s="774">
        <f t="shared" ref="K6:K15" si="1">SUM(I6:J6)</f>
        <v>113673621691</v>
      </c>
    </row>
    <row r="7" spans="4:12" ht="18" customHeight="1">
      <c r="D7" s="435" t="s">
        <v>1741</v>
      </c>
      <c r="E7" s="436">
        <f>SUM(E8:E10)</f>
        <v>0</v>
      </c>
      <c r="F7" s="436">
        <f t="shared" ref="F7:J7" si="2">SUM(F8:F10)</f>
        <v>0</v>
      </c>
      <c r="G7" s="436">
        <f t="shared" si="2"/>
        <v>485843075</v>
      </c>
      <c r="H7" s="436">
        <f t="shared" si="2"/>
        <v>-21610489737</v>
      </c>
      <c r="I7" s="436">
        <f t="shared" si="2"/>
        <v>-21124646662</v>
      </c>
      <c r="J7" s="436">
        <f t="shared" si="2"/>
        <v>0</v>
      </c>
      <c r="K7" s="438">
        <f t="shared" si="1"/>
        <v>-21124646662</v>
      </c>
    </row>
    <row r="8" spans="4:12" ht="18" customHeight="1">
      <c r="D8" s="431" t="s">
        <v>1934</v>
      </c>
      <c r="E8" s="432" t="s">
        <v>616</v>
      </c>
      <c r="F8" s="432" t="s">
        <v>616</v>
      </c>
      <c r="G8" s="432" t="s">
        <v>616</v>
      </c>
      <c r="H8" s="432">
        <v>-21314253571</v>
      </c>
      <c r="I8" s="433">
        <f t="shared" si="0"/>
        <v>-21314253571</v>
      </c>
      <c r="J8" s="432" t="s">
        <v>616</v>
      </c>
      <c r="K8" s="434">
        <f t="shared" si="1"/>
        <v>-21314253571</v>
      </c>
      <c r="L8" s="36" t="b">
        <f>K8='IS(공)'!H18</f>
        <v>1</v>
      </c>
    </row>
    <row r="9" spans="4:12" ht="18" customHeight="1">
      <c r="D9" s="431" t="s">
        <v>1742</v>
      </c>
      <c r="E9" s="432" t="s">
        <v>616</v>
      </c>
      <c r="F9" s="432" t="s">
        <v>616</v>
      </c>
      <c r="G9" s="432" t="s">
        <v>616</v>
      </c>
      <c r="H9" s="432">
        <v>-296236166</v>
      </c>
      <c r="I9" s="433">
        <f t="shared" si="0"/>
        <v>-296236166</v>
      </c>
      <c r="J9" s="432" t="s">
        <v>616</v>
      </c>
      <c r="K9" s="434">
        <f t="shared" si="1"/>
        <v>-296236166</v>
      </c>
    </row>
    <row r="10" spans="4:12" ht="18" customHeight="1">
      <c r="D10" s="431" t="s">
        <v>1743</v>
      </c>
      <c r="E10" s="432" t="s">
        <v>616</v>
      </c>
      <c r="F10" s="432" t="s">
        <v>616</v>
      </c>
      <c r="G10" s="432">
        <v>485843075</v>
      </c>
      <c r="H10" s="432" t="s">
        <v>616</v>
      </c>
      <c r="I10" s="433">
        <f t="shared" si="0"/>
        <v>485843075</v>
      </c>
      <c r="J10" s="432" t="s">
        <v>616</v>
      </c>
      <c r="K10" s="434">
        <f t="shared" si="1"/>
        <v>485843075</v>
      </c>
    </row>
    <row r="11" spans="4:12" ht="18" customHeight="1">
      <c r="D11" s="435" t="s">
        <v>1744</v>
      </c>
      <c r="E11" s="436">
        <f>SUM(E12:E14)</f>
        <v>4004843500</v>
      </c>
      <c r="F11" s="436">
        <f t="shared" ref="F11:J11" si="3">SUM(F12:F14)</f>
        <v>66036861888</v>
      </c>
      <c r="G11" s="436">
        <f t="shared" si="3"/>
        <v>-2731869088</v>
      </c>
      <c r="H11" s="436">
        <f t="shared" si="3"/>
        <v>0</v>
      </c>
      <c r="I11" s="437">
        <f t="shared" si="3"/>
        <v>67309836300</v>
      </c>
      <c r="J11" s="436">
        <f t="shared" si="3"/>
        <v>0</v>
      </c>
      <c r="K11" s="438">
        <f t="shared" si="1"/>
        <v>67309836300</v>
      </c>
    </row>
    <row r="12" spans="4:12" ht="18" customHeight="1">
      <c r="D12" s="431" t="s">
        <v>1745</v>
      </c>
      <c r="E12" s="432">
        <v>9410000</v>
      </c>
      <c r="F12" s="432">
        <v>60512538</v>
      </c>
      <c r="G12" s="432" t="s">
        <v>616</v>
      </c>
      <c r="H12" s="432" t="s">
        <v>616</v>
      </c>
      <c r="I12" s="433">
        <f t="shared" si="0"/>
        <v>69922538</v>
      </c>
      <c r="J12" s="432" t="s">
        <v>616</v>
      </c>
      <c r="K12" s="434">
        <f t="shared" si="1"/>
        <v>69922538</v>
      </c>
    </row>
    <row r="13" spans="4:12" ht="18" customHeight="1">
      <c r="D13" s="431" t="s">
        <v>1988</v>
      </c>
      <c r="E13" s="432">
        <v>3995433500</v>
      </c>
      <c r="F13" s="432">
        <v>65976349350</v>
      </c>
      <c r="G13" s="432"/>
      <c r="H13" s="432"/>
      <c r="I13" s="433">
        <f t="shared" si="0"/>
        <v>69971782850</v>
      </c>
      <c r="J13" s="432"/>
      <c r="K13" s="434">
        <f t="shared" si="1"/>
        <v>69971782850</v>
      </c>
    </row>
    <row r="14" spans="4:12" ht="18" customHeight="1">
      <c r="D14" s="431" t="s">
        <v>1989</v>
      </c>
      <c r="E14" s="432"/>
      <c r="F14" s="432"/>
      <c r="G14" s="432">
        <v>-2731869088</v>
      </c>
      <c r="H14" s="432"/>
      <c r="I14" s="433">
        <f t="shared" si="0"/>
        <v>-2731869088</v>
      </c>
      <c r="J14" s="432"/>
      <c r="K14" s="434">
        <f t="shared" si="1"/>
        <v>-2731869088</v>
      </c>
    </row>
    <row r="15" spans="4:12" ht="18" customHeight="1">
      <c r="D15" s="771" t="s">
        <v>1935</v>
      </c>
      <c r="E15" s="772">
        <f>E6+E7+E11</f>
        <v>27779139500</v>
      </c>
      <c r="F15" s="772">
        <f t="shared" ref="F15:I15" si="4">F6+F7+F11</f>
        <v>173855395328</v>
      </c>
      <c r="G15" s="772">
        <f t="shared" si="4"/>
        <v>-2776797396</v>
      </c>
      <c r="H15" s="772">
        <f t="shared" si="4"/>
        <v>-38998926103</v>
      </c>
      <c r="I15" s="773">
        <f t="shared" si="4"/>
        <v>159858811329</v>
      </c>
      <c r="J15" s="772" t="s">
        <v>616</v>
      </c>
      <c r="K15" s="774">
        <f t="shared" si="1"/>
        <v>159858811329</v>
      </c>
    </row>
    <row r="16" spans="4:12" ht="18" customHeight="1">
      <c r="D16" s="775" t="s">
        <v>1936</v>
      </c>
      <c r="E16" s="773">
        <v>27779139500</v>
      </c>
      <c r="F16" s="773">
        <v>173855395328</v>
      </c>
      <c r="G16" s="773">
        <v>-2776797396</v>
      </c>
      <c r="H16" s="773">
        <v>-38998926103</v>
      </c>
      <c r="I16" s="773">
        <f>SUM(E16:H16)</f>
        <v>159858811329</v>
      </c>
      <c r="J16" s="773">
        <v>0</v>
      </c>
      <c r="K16" s="774">
        <f>SUM(I16:J16)</f>
        <v>159858811329</v>
      </c>
    </row>
    <row r="17" spans="4:12" ht="18" customHeight="1">
      <c r="D17" s="435" t="s">
        <v>1741</v>
      </c>
      <c r="E17" s="436">
        <f>SUM(E18:E20)</f>
        <v>0</v>
      </c>
      <c r="F17" s="436">
        <f t="shared" ref="F17:K17" si="5">SUM(F18:F20)</f>
        <v>0</v>
      </c>
      <c r="G17" s="436">
        <f t="shared" si="5"/>
        <v>800612257</v>
      </c>
      <c r="H17" s="436">
        <f t="shared" si="5"/>
        <v>-48772033664</v>
      </c>
      <c r="I17" s="436">
        <f t="shared" si="5"/>
        <v>-47971421407</v>
      </c>
      <c r="J17" s="436">
        <f t="shared" si="5"/>
        <v>0</v>
      </c>
      <c r="K17" s="440">
        <f t="shared" si="5"/>
        <v>-47971421407</v>
      </c>
    </row>
    <row r="18" spans="4:12" ht="18" customHeight="1">
      <c r="D18" s="431" t="s">
        <v>1979</v>
      </c>
      <c r="E18" s="432" t="s">
        <v>616</v>
      </c>
      <c r="F18" s="432" t="s">
        <v>616</v>
      </c>
      <c r="G18" s="432" t="s">
        <v>616</v>
      </c>
      <c r="H18" s="432">
        <f>T_CE!J27</f>
        <v>-48005522146</v>
      </c>
      <c r="I18" s="433">
        <f t="shared" ref="I18:I27" si="6">SUM(E18:H18)</f>
        <v>-48005522146</v>
      </c>
      <c r="J18" s="432" t="s">
        <v>616</v>
      </c>
      <c r="K18" s="434">
        <f t="shared" ref="K18:K23" si="7">SUM(I18:J18)</f>
        <v>-48005522146</v>
      </c>
      <c r="L18" s="36" t="b">
        <f>H18=T_IS!AA120</f>
        <v>1</v>
      </c>
    </row>
    <row r="19" spans="4:12" ht="18" customHeight="1">
      <c r="D19" s="431" t="s">
        <v>1742</v>
      </c>
      <c r="E19" s="432" t="s">
        <v>616</v>
      </c>
      <c r="F19" s="432" t="s">
        <v>616</v>
      </c>
      <c r="G19" s="432" t="s">
        <v>616</v>
      </c>
      <c r="H19" s="432">
        <f>T_CE!L25</f>
        <v>-766511518</v>
      </c>
      <c r="I19" s="433">
        <f t="shared" si="6"/>
        <v>-766511518</v>
      </c>
      <c r="J19" s="432" t="s">
        <v>616</v>
      </c>
      <c r="K19" s="434">
        <f t="shared" si="7"/>
        <v>-766511518</v>
      </c>
    </row>
    <row r="20" spans="4:12" ht="18" customHeight="1">
      <c r="D20" s="439" t="s">
        <v>1743</v>
      </c>
      <c r="E20" s="433"/>
      <c r="F20" s="433"/>
      <c r="G20" s="433">
        <f>T_CE!J22</f>
        <v>800612257</v>
      </c>
      <c r="H20" s="433"/>
      <c r="I20" s="433">
        <f t="shared" si="6"/>
        <v>800612257</v>
      </c>
      <c r="J20" s="432" t="s">
        <v>616</v>
      </c>
      <c r="K20" s="434">
        <f t="shared" si="7"/>
        <v>800612257</v>
      </c>
    </row>
    <row r="21" spans="4:12" ht="18" customHeight="1">
      <c r="D21" s="435" t="s">
        <v>1744</v>
      </c>
      <c r="E21" s="437">
        <f t="shared" ref="E21:F21" si="8">SUM(E22:E23)</f>
        <v>650784000</v>
      </c>
      <c r="F21" s="437">
        <f t="shared" si="8"/>
        <v>4704182528</v>
      </c>
      <c r="G21" s="437">
        <f>SUM(G22:G23)</f>
        <v>674683389</v>
      </c>
      <c r="H21" s="437">
        <f t="shared" ref="H21:K21" si="9">SUM(H22:H23)</f>
        <v>0</v>
      </c>
      <c r="I21" s="437">
        <f t="shared" si="9"/>
        <v>6029649917</v>
      </c>
      <c r="J21" s="437">
        <f t="shared" si="9"/>
        <v>0</v>
      </c>
      <c r="K21" s="438">
        <f t="shared" si="9"/>
        <v>6029649917</v>
      </c>
    </row>
    <row r="22" spans="4:12" ht="18" customHeight="1">
      <c r="D22" s="431" t="s">
        <v>1745</v>
      </c>
      <c r="E22" s="433">
        <f>T_CE!L9</f>
        <v>650784000</v>
      </c>
      <c r="F22" s="433">
        <f>T_CE!L11+T_CE!L12</f>
        <v>4704182528</v>
      </c>
      <c r="G22" s="433"/>
      <c r="H22" s="433"/>
      <c r="I22" s="433">
        <f t="shared" si="6"/>
        <v>5354966528</v>
      </c>
      <c r="J22" s="433"/>
      <c r="K22" s="434">
        <f t="shared" si="7"/>
        <v>5354966528</v>
      </c>
    </row>
    <row r="23" spans="4:12" ht="18" customHeight="1">
      <c r="D23" s="431" t="s">
        <v>1746</v>
      </c>
      <c r="E23" s="433"/>
      <c r="F23" s="433"/>
      <c r="G23" s="433">
        <f>T_CE!L18</f>
        <v>674683389</v>
      </c>
      <c r="H23" s="433"/>
      <c r="I23" s="433">
        <f t="shared" si="6"/>
        <v>674683389</v>
      </c>
      <c r="J23" s="433"/>
      <c r="K23" s="434">
        <f t="shared" si="7"/>
        <v>674683389</v>
      </c>
    </row>
    <row r="24" spans="4:12" ht="18" customHeight="1" thickBot="1">
      <c r="D24" s="776" t="s">
        <v>1990</v>
      </c>
      <c r="E24" s="777">
        <f>SUM(E21,E16)+E17</f>
        <v>28429923500</v>
      </c>
      <c r="F24" s="777">
        <f t="shared" ref="F24:K24" si="10">SUM(F21,F16)+F17</f>
        <v>178559577856</v>
      </c>
      <c r="G24" s="777">
        <f t="shared" si="10"/>
        <v>-1301501750</v>
      </c>
      <c r="H24" s="777">
        <f t="shared" si="10"/>
        <v>-87770959767</v>
      </c>
      <c r="I24" s="777">
        <f t="shared" si="10"/>
        <v>117917039839</v>
      </c>
      <c r="J24" s="777">
        <f t="shared" si="10"/>
        <v>0</v>
      </c>
      <c r="K24" s="778">
        <f t="shared" si="10"/>
        <v>117917039839</v>
      </c>
    </row>
    <row r="26" spans="4:12" ht="18" customHeight="1">
      <c r="D26" s="36" t="s">
        <v>1991</v>
      </c>
      <c r="E26" s="36">
        <f>'BS(공)'!I38</f>
        <v>27779139500</v>
      </c>
      <c r="F26" s="36">
        <f>'BS(공)'!I39</f>
        <v>173855395328</v>
      </c>
      <c r="G26" s="36">
        <f>'BS(공)'!I40</f>
        <v>-2776797396</v>
      </c>
      <c r="H26" s="36">
        <f>'BS(공)'!I41</f>
        <v>-38998926103</v>
      </c>
      <c r="I26" s="36">
        <f t="shared" si="6"/>
        <v>159858811329</v>
      </c>
      <c r="K26" s="36">
        <f>'BS(공)'!J42</f>
        <v>159858811329</v>
      </c>
    </row>
    <row r="27" spans="4:12" ht="18" customHeight="1">
      <c r="D27" s="36" t="s">
        <v>1992</v>
      </c>
      <c r="E27" s="36">
        <f>T_BS!AA205</f>
        <v>28429923500</v>
      </c>
      <c r="F27" s="36">
        <f>T_BS!AA207</f>
        <v>178559577856</v>
      </c>
      <c r="G27" s="36">
        <f>T_BS!AA211</f>
        <v>-1301501750</v>
      </c>
      <c r="H27" s="36">
        <f>T_BS!AA221</f>
        <v>-87770959767</v>
      </c>
      <c r="I27" s="36">
        <f t="shared" si="6"/>
        <v>117917039839</v>
      </c>
      <c r="K27" s="36">
        <f>T_BS!AA204</f>
        <v>117917039839</v>
      </c>
    </row>
    <row r="28" spans="4:12" ht="18" customHeight="1">
      <c r="E28" s="36">
        <f>E16-E26</f>
        <v>0</v>
      </c>
      <c r="F28" s="36">
        <f t="shared" ref="F28:K28" si="11">F16-F26</f>
        <v>0</v>
      </c>
      <c r="G28" s="36">
        <f t="shared" si="11"/>
        <v>0</v>
      </c>
      <c r="H28" s="36">
        <f t="shared" si="11"/>
        <v>0</v>
      </c>
      <c r="I28" s="36">
        <f t="shared" si="11"/>
        <v>0</v>
      </c>
      <c r="J28" s="36">
        <f t="shared" si="11"/>
        <v>0</v>
      </c>
      <c r="K28" s="36">
        <f t="shared" si="11"/>
        <v>0</v>
      </c>
    </row>
    <row r="29" spans="4:12" ht="18" customHeight="1">
      <c r="E29" s="36">
        <f t="shared" ref="E29:K29" si="12">E24-E27</f>
        <v>0</v>
      </c>
      <c r="F29" s="36">
        <f t="shared" si="12"/>
        <v>0</v>
      </c>
      <c r="G29" s="36">
        <f t="shared" si="12"/>
        <v>0</v>
      </c>
      <c r="H29" s="36">
        <f t="shared" si="12"/>
        <v>0</v>
      </c>
      <c r="I29" s="36">
        <f t="shared" si="12"/>
        <v>0</v>
      </c>
      <c r="J29" s="36">
        <f t="shared" si="12"/>
        <v>0</v>
      </c>
      <c r="K29" s="36">
        <f t="shared" si="12"/>
        <v>0</v>
      </c>
    </row>
  </sheetData>
  <mergeCells count="4">
    <mergeCell ref="D4:D5"/>
    <mergeCell ref="E4:I4"/>
    <mergeCell ref="J4:J5"/>
    <mergeCell ref="K4:K5"/>
  </mergeCells>
  <phoneticPr fontId="18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00000"/>
  </sheetPr>
  <dimension ref="D3:K39"/>
  <sheetViews>
    <sheetView topLeftCell="A19" zoomScale="115" zoomScaleNormal="115" workbookViewId="0">
      <selection activeCell="H41" sqref="H41"/>
    </sheetView>
  </sheetViews>
  <sheetFormatPr defaultColWidth="9" defaultRowHeight="18" customHeight="1"/>
  <cols>
    <col min="1" max="3" width="2.375" style="164" customWidth="1"/>
    <col min="4" max="4" width="24.875" style="164" customWidth="1"/>
    <col min="5" max="5" width="44.125" style="164" bestFit="1" customWidth="1"/>
    <col min="6" max="8" width="24.875" style="164" customWidth="1"/>
    <col min="9" max="9" width="9" style="164"/>
    <col min="10" max="11" width="9.125" style="164" bestFit="1" customWidth="1"/>
    <col min="12" max="16384" width="9" style="164"/>
  </cols>
  <sheetData>
    <row r="3" spans="4:11" ht="18" customHeight="1" thickBot="1">
      <c r="G3" s="166"/>
      <c r="H3" s="166"/>
    </row>
    <row r="4" spans="4:11" ht="18" customHeight="1">
      <c r="D4" s="795" t="s">
        <v>1757</v>
      </c>
      <c r="E4" s="797" t="s">
        <v>1540</v>
      </c>
      <c r="F4" s="797" t="s">
        <v>1787</v>
      </c>
      <c r="G4" s="726"/>
      <c r="H4" s="727"/>
      <c r="J4" s="471"/>
      <c r="K4" s="471"/>
    </row>
    <row r="5" spans="4:11" ht="18" customHeight="1">
      <c r="D5" s="796"/>
      <c r="E5" s="798"/>
      <c r="F5" s="798"/>
      <c r="G5" s="663" t="s">
        <v>1930</v>
      </c>
      <c r="H5" s="664" t="s">
        <v>1942</v>
      </c>
      <c r="J5" s="471"/>
      <c r="K5" s="471"/>
    </row>
    <row r="6" spans="4:11" ht="18" customHeight="1">
      <c r="D6" s="665" t="s">
        <v>229</v>
      </c>
      <c r="E6" s="666" t="s">
        <v>1788</v>
      </c>
      <c r="F6" s="667" t="s">
        <v>2005</v>
      </c>
      <c r="G6" s="668">
        <f>SUMIF(T_IS!$E:$E,'IS(공)'!D6,T_IS!$AA:$AA)</f>
        <v>196961162684</v>
      </c>
      <c r="H6" s="669">
        <v>137849260234</v>
      </c>
      <c r="J6" s="471"/>
      <c r="K6" s="471"/>
    </row>
    <row r="7" spans="4:11" ht="18" customHeight="1">
      <c r="D7" s="665" t="s">
        <v>239</v>
      </c>
      <c r="E7" s="666" t="s">
        <v>1789</v>
      </c>
      <c r="F7" s="667" t="s">
        <v>2006</v>
      </c>
      <c r="G7" s="668">
        <f>SUMIF(T_IS!$E:$E,'IS(공)'!D7,T_IS!$AA:$AA)</f>
        <v>166303131717</v>
      </c>
      <c r="H7" s="669">
        <v>105166812945</v>
      </c>
      <c r="J7" s="471"/>
      <c r="K7" s="471"/>
    </row>
    <row r="8" spans="4:11" ht="18" customHeight="1">
      <c r="D8" s="670"/>
      <c r="E8" s="584" t="s">
        <v>1790</v>
      </c>
      <c r="F8" s="600"/>
      <c r="G8" s="671">
        <f>G6-G7</f>
        <v>30658030967</v>
      </c>
      <c r="H8" s="672">
        <f>H6-H7</f>
        <v>32682447289</v>
      </c>
      <c r="J8" s="471" t="b">
        <f>G8=(G6-G7)</f>
        <v>1</v>
      </c>
      <c r="K8" s="471" t="b">
        <f t="shared" ref="K8" si="0">H8=(H6-H7)</f>
        <v>1</v>
      </c>
    </row>
    <row r="9" spans="4:11" ht="18" customHeight="1">
      <c r="D9" s="665" t="s">
        <v>259</v>
      </c>
      <c r="E9" s="666" t="s">
        <v>1791</v>
      </c>
      <c r="F9" s="667" t="s">
        <v>2007</v>
      </c>
      <c r="G9" s="668">
        <f>SUMIF(T_IS!$E:$E,'IS(공)'!D9,T_IS!$AA:$AA)</f>
        <v>57401502102</v>
      </c>
      <c r="H9" s="669">
        <v>35800470978</v>
      </c>
      <c r="J9" s="471"/>
      <c r="K9" s="471"/>
    </row>
    <row r="10" spans="4:11" ht="18" customHeight="1">
      <c r="D10" s="670"/>
      <c r="E10" s="584" t="s">
        <v>1792</v>
      </c>
      <c r="F10" s="600"/>
      <c r="G10" s="671">
        <f>G8-G9</f>
        <v>-26743471135</v>
      </c>
      <c r="H10" s="672">
        <f>H8-H9</f>
        <v>-3118023689</v>
      </c>
      <c r="J10" s="471" t="b">
        <f>G10=(G8-G9)</f>
        <v>1</v>
      </c>
      <c r="K10" s="471" t="b">
        <f t="shared" ref="K10" si="1">H10=(H8-H9)</f>
        <v>1</v>
      </c>
    </row>
    <row r="11" spans="4:11" ht="18" customHeight="1">
      <c r="D11" s="665" t="s">
        <v>315</v>
      </c>
      <c r="E11" s="666" t="s">
        <v>1793</v>
      </c>
      <c r="F11" s="667" t="s">
        <v>2008</v>
      </c>
      <c r="G11" s="668">
        <f>SUMIF(T_IS!$E:$E,'IS(공)'!D11,T_IS!$AA:$AA)</f>
        <v>2405455321</v>
      </c>
      <c r="H11" s="669">
        <v>1881041092</v>
      </c>
      <c r="J11" s="471"/>
      <c r="K11" s="471"/>
    </row>
    <row r="12" spans="4:11" ht="18" customHeight="1">
      <c r="D12" s="665" t="s">
        <v>334</v>
      </c>
      <c r="E12" s="666" t="s">
        <v>1794</v>
      </c>
      <c r="F12" s="667" t="s">
        <v>2008</v>
      </c>
      <c r="G12" s="668">
        <f>SUMIF(T_IS!$E:$E,'IS(공)'!D12,T_IS!$AA:$AA)</f>
        <v>1138181134</v>
      </c>
      <c r="H12" s="669">
        <v>897834955</v>
      </c>
      <c r="J12" s="471"/>
      <c r="K12" s="471"/>
    </row>
    <row r="13" spans="4:11" ht="18" customHeight="1">
      <c r="D13" s="665" t="s">
        <v>355</v>
      </c>
      <c r="E13" s="666" t="s">
        <v>1795</v>
      </c>
      <c r="F13" s="667">
        <v>23</v>
      </c>
      <c r="G13" s="668">
        <f>SUMIF(T_IS!$E:$E,'IS(공)'!D13,T_IS!$AA:$AA)</f>
        <v>371361570</v>
      </c>
      <c r="H13" s="669">
        <v>107457242</v>
      </c>
      <c r="J13" s="471"/>
      <c r="K13" s="471"/>
    </row>
    <row r="14" spans="4:11" ht="18" customHeight="1">
      <c r="D14" s="665" t="s">
        <v>1796</v>
      </c>
      <c r="E14" s="666" t="s">
        <v>1797</v>
      </c>
      <c r="F14" s="667">
        <v>23</v>
      </c>
      <c r="G14" s="668">
        <f>SUMIF(T_IS!$E:$E,'IS(공)'!D14,T_IS!$AA:$AA)</f>
        <v>22031806775</v>
      </c>
      <c r="H14" s="669">
        <v>19559684509</v>
      </c>
      <c r="J14" s="471"/>
      <c r="K14" s="471"/>
    </row>
    <row r="15" spans="4:11" ht="18" customHeight="1">
      <c r="D15" s="758" t="s">
        <v>1976</v>
      </c>
      <c r="E15" s="666" t="s">
        <v>1977</v>
      </c>
      <c r="F15" s="667">
        <v>1</v>
      </c>
      <c r="G15" s="668">
        <f>SUMIF(T_IS!$E:$E,'IS(공)'!D15,T_IS!$AA:$AA)</f>
        <v>-798641919</v>
      </c>
      <c r="H15" s="669">
        <v>1000000000</v>
      </c>
      <c r="J15" s="471"/>
      <c r="K15" s="471"/>
    </row>
    <row r="16" spans="4:11" ht="18" customHeight="1">
      <c r="D16" s="670"/>
      <c r="E16" s="584" t="s">
        <v>1798</v>
      </c>
      <c r="F16" s="600"/>
      <c r="G16" s="671">
        <f>G10+(G11-G12+G13-G14+G15)</f>
        <v>-47935284072</v>
      </c>
      <c r="H16" s="672">
        <f>H10+(H11-H12+H13-H14+H15)</f>
        <v>-20587044819</v>
      </c>
      <c r="J16" s="471" t="b">
        <f>G16=(G10+G11-G12+G13-G14+G15)</f>
        <v>1</v>
      </c>
      <c r="K16" s="471" t="b">
        <f>H16=(H10+H11-H12+H13-H14+H15)</f>
        <v>1</v>
      </c>
    </row>
    <row r="17" spans="4:11" ht="18" customHeight="1">
      <c r="D17" s="665" t="s">
        <v>381</v>
      </c>
      <c r="E17" s="666" t="s">
        <v>1799</v>
      </c>
      <c r="F17" s="667">
        <v>24</v>
      </c>
      <c r="G17" s="668">
        <f>SUMIF(T_IS!$E:$E,'IS(공)'!D17,T_IS!$AA:$AA)</f>
        <v>70238074</v>
      </c>
      <c r="H17" s="669">
        <v>727208752</v>
      </c>
      <c r="J17" s="471"/>
      <c r="K17" s="471"/>
    </row>
    <row r="18" spans="4:11" ht="18" customHeight="1">
      <c r="D18" s="670"/>
      <c r="E18" s="584" t="s">
        <v>1978</v>
      </c>
      <c r="F18" s="600"/>
      <c r="G18" s="671">
        <f>G16-G17</f>
        <v>-48005522146</v>
      </c>
      <c r="H18" s="672">
        <f>H16-H17</f>
        <v>-21314253571</v>
      </c>
      <c r="J18" s="471" t="b">
        <f>G18=(G16-G17)</f>
        <v>1</v>
      </c>
      <c r="K18" s="471" t="b">
        <f t="shared" ref="K18" si="2">H18=(H16-H17)</f>
        <v>1</v>
      </c>
    </row>
    <row r="19" spans="4:11" ht="18" customHeight="1">
      <c r="D19" s="665" t="s">
        <v>11</v>
      </c>
      <c r="E19" s="666" t="s">
        <v>1800</v>
      </c>
      <c r="F19" s="667"/>
      <c r="G19" s="668">
        <f>SUMIF(T_IS!$E:$E,'IS(공)'!D19,T_IS!$AA:$AA)</f>
        <v>-48005522146</v>
      </c>
      <c r="H19" s="669">
        <f>H18</f>
        <v>-21314253571</v>
      </c>
      <c r="J19" s="471"/>
      <c r="K19" s="471"/>
    </row>
    <row r="20" spans="4:11" ht="18" customHeight="1">
      <c r="D20" s="665" t="s">
        <v>211</v>
      </c>
      <c r="E20" s="666" t="s">
        <v>1801</v>
      </c>
      <c r="F20" s="667"/>
      <c r="G20" s="668">
        <f>SUMIF(T_IS!$E:$E,'IS(공)'!D20,T_IS!$AA:$AA)</f>
        <v>0</v>
      </c>
      <c r="H20" s="669">
        <v>0</v>
      </c>
      <c r="J20" s="471" t="b">
        <f>(G20+G19)=G18</f>
        <v>1</v>
      </c>
      <c r="K20" s="471" t="b">
        <f t="shared" ref="K20" si="3">(H20+H19)=H18</f>
        <v>1</v>
      </c>
    </row>
    <row r="21" spans="4:11" ht="27" customHeight="1">
      <c r="D21" s="670"/>
      <c r="E21" s="584" t="s">
        <v>1802</v>
      </c>
      <c r="F21" s="600"/>
      <c r="G21" s="671">
        <f>SUM(G23,G25)</f>
        <v>34100739</v>
      </c>
      <c r="H21" s="672">
        <f>SUM(H23,H25)</f>
        <v>189606909</v>
      </c>
      <c r="J21" s="471" t="b">
        <f>G21=(G23+G25)</f>
        <v>1</v>
      </c>
      <c r="K21" s="471" t="b">
        <f t="shared" ref="K21" si="4">H21=(H23+H25)</f>
        <v>1</v>
      </c>
    </row>
    <row r="22" spans="4:11" ht="18" customHeight="1">
      <c r="D22" s="673"/>
      <c r="E22" s="587" t="s">
        <v>1803</v>
      </c>
      <c r="F22" s="611"/>
      <c r="G22" s="674"/>
      <c r="H22" s="675"/>
      <c r="J22" s="471"/>
      <c r="K22" s="471"/>
    </row>
    <row r="23" spans="4:11" ht="18" customHeight="1">
      <c r="D23" s="665"/>
      <c r="E23" s="666" t="s">
        <v>1804</v>
      </c>
      <c r="F23" s="667">
        <v>16</v>
      </c>
      <c r="G23" s="668">
        <f>'CE(공)'!K19</f>
        <v>-766511518</v>
      </c>
      <c r="H23" s="669">
        <v>-296236166</v>
      </c>
      <c r="J23" s="471"/>
      <c r="K23" s="471"/>
    </row>
    <row r="24" spans="4:11" ht="18" customHeight="1">
      <c r="D24" s="673"/>
      <c r="E24" s="587" t="s">
        <v>1805</v>
      </c>
      <c r="F24" s="611"/>
      <c r="G24" s="674"/>
      <c r="H24" s="675"/>
      <c r="J24" s="471"/>
      <c r="K24" s="471"/>
    </row>
    <row r="25" spans="4:11" ht="18" customHeight="1">
      <c r="D25" s="665"/>
      <c r="E25" s="666" t="s">
        <v>1743</v>
      </c>
      <c r="F25" s="667"/>
      <c r="G25" s="668">
        <f>'CE(공)'!K20</f>
        <v>800612257</v>
      </c>
      <c r="H25" s="669">
        <v>485843075</v>
      </c>
      <c r="J25" s="471"/>
      <c r="K25" s="471"/>
    </row>
    <row r="26" spans="4:11" ht="18" customHeight="1">
      <c r="D26" s="670"/>
      <c r="E26" s="584" t="s">
        <v>1806</v>
      </c>
      <c r="F26" s="600"/>
      <c r="G26" s="671">
        <f>SUM(G27:G28)</f>
        <v>-47971421407</v>
      </c>
      <c r="H26" s="672">
        <f>SUM(H27:H28)</f>
        <v>-21124646662</v>
      </c>
      <c r="J26" s="471" t="b">
        <f>G26=(G18+G21)</f>
        <v>1</v>
      </c>
      <c r="K26" s="471" t="b">
        <f t="shared" ref="K26" si="5">H26=(H18+H21)</f>
        <v>1</v>
      </c>
    </row>
    <row r="27" spans="4:11" ht="18" customHeight="1">
      <c r="D27" s="665"/>
      <c r="E27" s="666" t="s">
        <v>1800</v>
      </c>
      <c r="F27" s="667"/>
      <c r="G27" s="668">
        <f>G19+G21</f>
        <v>-47971421407</v>
      </c>
      <c r="H27" s="669">
        <f>H18+H21</f>
        <v>-21124646662</v>
      </c>
      <c r="J27" s="471"/>
      <c r="K27" s="471"/>
    </row>
    <row r="28" spans="4:11" ht="18" customHeight="1">
      <c r="D28" s="665"/>
      <c r="E28" s="666" t="s">
        <v>1801</v>
      </c>
      <c r="F28" s="667"/>
      <c r="G28" s="668">
        <f>G20</f>
        <v>0</v>
      </c>
      <c r="H28" s="669">
        <v>0</v>
      </c>
      <c r="J28" s="471" t="b">
        <f>(G28+G27)=G26</f>
        <v>1</v>
      </c>
      <c r="K28" s="471" t="b">
        <f t="shared" ref="K28" si="6">(H28+H27)=H26</f>
        <v>1</v>
      </c>
    </row>
    <row r="29" spans="4:11" ht="18" customHeight="1">
      <c r="D29" s="670"/>
      <c r="E29" s="584" t="s">
        <v>1807</v>
      </c>
      <c r="F29" s="600">
        <v>25</v>
      </c>
      <c r="G29" s="671"/>
      <c r="H29" s="672"/>
      <c r="J29" s="471"/>
      <c r="K29" s="471"/>
    </row>
    <row r="30" spans="4:11" ht="18" customHeight="1">
      <c r="D30" s="665"/>
      <c r="E30" s="666" t="s">
        <v>1808</v>
      </c>
      <c r="F30" s="667"/>
      <c r="G30" s="668">
        <f>G39</f>
        <v>-855.67849372420437</v>
      </c>
      <c r="H30" s="676">
        <v>-420.30464903589109</v>
      </c>
      <c r="J30" s="471"/>
      <c r="K30" s="471"/>
    </row>
    <row r="31" spans="4:11" ht="18" customHeight="1" thickBot="1">
      <c r="D31" s="677"/>
      <c r="E31" s="678" t="s">
        <v>1809</v>
      </c>
      <c r="F31" s="679"/>
      <c r="G31" s="680">
        <f>G30</f>
        <v>-855.67849372420437</v>
      </c>
      <c r="H31" s="681">
        <v>-420.30464903589109</v>
      </c>
      <c r="J31" s="471"/>
      <c r="K31" s="471"/>
    </row>
    <row r="33" spans="5:8" ht="18" customHeight="1">
      <c r="E33" s="164" t="s">
        <v>1810</v>
      </c>
      <c r="G33" s="471" t="b">
        <f>G8=T_IS!AA35</f>
        <v>1</v>
      </c>
      <c r="H33" s="471"/>
    </row>
    <row r="34" spans="5:8" ht="18" customHeight="1">
      <c r="G34" s="471" t="b">
        <f>G10=T_IS!AA71</f>
        <v>1</v>
      </c>
      <c r="H34" s="471"/>
    </row>
    <row r="35" spans="5:8" ht="18" customHeight="1">
      <c r="G35" s="471" t="b">
        <f>G16=T_IS!AA116</f>
        <v>1</v>
      </c>
      <c r="H35" s="471"/>
    </row>
    <row r="36" spans="5:8" ht="18" customHeight="1">
      <c r="G36" s="471" t="b">
        <f>G18=T_IS!AA119</f>
        <v>1</v>
      </c>
      <c r="H36" s="471"/>
    </row>
    <row r="37" spans="5:8" ht="18" customHeight="1">
      <c r="G37" s="471"/>
      <c r="H37" s="471"/>
    </row>
    <row r="38" spans="5:8" ht="18" customHeight="1">
      <c r="E38" s="838"/>
      <c r="F38" s="836" t="s">
        <v>2009</v>
      </c>
      <c r="G38" s="837">
        <v>56102289</v>
      </c>
      <c r="H38" s="837">
        <v>50711439</v>
      </c>
    </row>
    <row r="39" spans="5:8" ht="18" customHeight="1">
      <c r="G39" s="839">
        <f>G18/G38</f>
        <v>-855.67849372420437</v>
      </c>
      <c r="H39" s="839">
        <f>H18/H38</f>
        <v>-420.30464903589109</v>
      </c>
    </row>
  </sheetData>
  <mergeCells count="3">
    <mergeCell ref="D4:D5"/>
    <mergeCell ref="E4:E5"/>
    <mergeCell ref="F4:F5"/>
  </mergeCells>
  <phoneticPr fontId="18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00000"/>
  </sheetPr>
  <dimension ref="D3:I93"/>
  <sheetViews>
    <sheetView showGridLines="0" zoomScale="130" zoomScaleNormal="130" workbookViewId="0">
      <pane xSplit="4" ySplit="5" topLeftCell="E6" activePane="bottomRight" state="frozen"/>
      <selection activeCell="H85" sqref="H85"/>
      <selection pane="topRight" activeCell="H85" sqref="H85"/>
      <selection pane="bottomLeft" activeCell="H85" sqref="H85"/>
      <selection pane="bottomRight" activeCell="F11" sqref="F11"/>
    </sheetView>
  </sheetViews>
  <sheetFormatPr defaultColWidth="8.75" defaultRowHeight="18" customHeight="1"/>
  <cols>
    <col min="1" max="3" width="2.375" style="36" customWidth="1"/>
    <col min="4" max="4" width="36.875" style="36" customWidth="1"/>
    <col min="5" max="5" width="33.75" style="36" bestFit="1" customWidth="1"/>
    <col min="6" max="8" width="20.375" style="36" customWidth="1"/>
    <col min="9" max="9" width="20.375" style="58" customWidth="1"/>
    <col min="10" max="20" width="20.375" style="36" customWidth="1"/>
    <col min="21" max="16384" width="8.75" style="36"/>
  </cols>
  <sheetData>
    <row r="3" spans="4:9" s="263" customFormat="1" ht="18" customHeight="1"/>
    <row r="4" spans="4:9" ht="18" customHeight="1" thickBot="1"/>
    <row r="5" spans="4:9" ht="18" customHeight="1">
      <c r="D5" s="412" t="s">
        <v>1400</v>
      </c>
      <c r="E5" s="413" t="s">
        <v>17</v>
      </c>
      <c r="F5" s="414" t="s">
        <v>1994</v>
      </c>
      <c r="G5" s="413" t="s">
        <v>1993</v>
      </c>
      <c r="H5" s="413" t="s">
        <v>1467</v>
      </c>
    </row>
    <row r="6" spans="4:9" ht="18" customHeight="1">
      <c r="D6" s="415" t="s">
        <v>1401</v>
      </c>
      <c r="E6" s="416"/>
      <c r="F6" s="785">
        <f>SUM(F7,F52:F54)</f>
        <v>-1387694872</v>
      </c>
      <c r="G6" s="779">
        <v>13641616776</v>
      </c>
      <c r="H6" s="417">
        <f>SUM(H7,H52:H54)</f>
        <v>-7552531769</v>
      </c>
      <c r="I6" s="58" t="b">
        <f>F6='CF.1'!X7</f>
        <v>1</v>
      </c>
    </row>
    <row r="7" spans="4:9" s="58" customFormat="1" ht="18" customHeight="1">
      <c r="D7" s="418" t="s">
        <v>1402</v>
      </c>
      <c r="E7" s="419"/>
      <c r="F7" s="786">
        <f>SUM(F8,F9,F40)</f>
        <v>-1920423146</v>
      </c>
      <c r="G7" s="780">
        <f>SUM(G8,G9,G40)</f>
        <v>13994440937</v>
      </c>
      <c r="H7" s="420">
        <f>SUM(H8,H9,H40)</f>
        <v>-7786451419</v>
      </c>
    </row>
    <row r="8" spans="4:9" s="58" customFormat="1" ht="18" customHeight="1">
      <c r="D8" s="421" t="s">
        <v>1403</v>
      </c>
      <c r="E8" s="422" t="s">
        <v>1468</v>
      </c>
      <c r="F8" s="787">
        <f>'CF.1'!X9</f>
        <v>-48005522146</v>
      </c>
      <c r="G8" s="781">
        <v>-21314253571</v>
      </c>
      <c r="H8" s="425">
        <v>-14092021202</v>
      </c>
    </row>
    <row r="9" spans="4:9" s="58" customFormat="1" ht="18" customHeight="1">
      <c r="D9" s="421" t="s">
        <v>1404</v>
      </c>
      <c r="E9" s="422"/>
      <c r="F9" s="787">
        <f>SUM(F10:F39)</f>
        <v>46922482424</v>
      </c>
      <c r="G9" s="781">
        <f>SUM(G10:G39)</f>
        <v>30137381117</v>
      </c>
      <c r="H9" s="425">
        <f>SUM(H10:H39)</f>
        <v>13887822412</v>
      </c>
      <c r="I9" s="58" t="b">
        <f>'CF.1'!X10+'CF.1'!X74-F9=0</f>
        <v>1</v>
      </c>
    </row>
    <row r="10" spans="4:9" ht="18" customHeight="1">
      <c r="D10" s="423" t="s">
        <v>1531</v>
      </c>
      <c r="E10" s="424" t="s">
        <v>381</v>
      </c>
      <c r="F10" s="788">
        <f>ROUND(SUMIF('CF.1'!$F:$F,'CF(공)_1.0'!E10,'CF.1'!$X:$X),0)</f>
        <v>70238074</v>
      </c>
      <c r="G10" s="782">
        <v>727208752</v>
      </c>
      <c r="H10" s="793">
        <v>18236415</v>
      </c>
    </row>
    <row r="11" spans="4:9" ht="18" customHeight="1">
      <c r="D11" s="423" t="s">
        <v>1405</v>
      </c>
      <c r="E11" s="424" t="s">
        <v>263</v>
      </c>
      <c r="F11" s="788">
        <f>ROUND(SUMIF('CF.1'!$F:$F,'CF(공)_1.0'!E11,'CF.1'!$X:$X),0)</f>
        <v>1094304358</v>
      </c>
      <c r="G11" s="782">
        <v>903714587</v>
      </c>
      <c r="H11" s="793">
        <v>776269144</v>
      </c>
    </row>
    <row r="12" spans="4:9" ht="18" customHeight="1">
      <c r="D12" s="423" t="s">
        <v>1406</v>
      </c>
      <c r="E12" s="424" t="s">
        <v>492</v>
      </c>
      <c r="F12" s="788">
        <f>ROUND(SUMIF('CF.1'!$F:$F,'CF(공)_1.0'!E12,'CF.1'!$X:$X),0)</f>
        <v>3630891654</v>
      </c>
      <c r="G12" s="782">
        <v>968110787</v>
      </c>
      <c r="H12" s="793">
        <v>856322958</v>
      </c>
    </row>
    <row r="13" spans="4:9" ht="18" customHeight="1">
      <c r="D13" s="423" t="s">
        <v>1407</v>
      </c>
      <c r="E13" s="424" t="s">
        <v>387</v>
      </c>
      <c r="F13" s="788">
        <f>ROUND(SUMIF('CF.1'!$F:$F,'CF(공)_1.0'!E13,'CF.1'!$X:$X),0)</f>
        <v>7923879010</v>
      </c>
      <c r="G13" s="782">
        <v>6624197748</v>
      </c>
      <c r="H13" s="793">
        <v>2533595387</v>
      </c>
    </row>
    <row r="14" spans="4:9" ht="18" customHeight="1">
      <c r="D14" s="423" t="s">
        <v>1820</v>
      </c>
      <c r="E14" s="424" t="s">
        <v>765</v>
      </c>
      <c r="F14" s="788">
        <f>ROUND(SUMIF('CF.1'!$F:$F,'CF(공)_1.0'!E14,'CF.1'!$X:$X),0)</f>
        <v>674683389</v>
      </c>
      <c r="G14" s="782"/>
      <c r="H14" s="793"/>
    </row>
    <row r="15" spans="4:9" ht="18" customHeight="1">
      <c r="D15" s="423" t="s">
        <v>1408</v>
      </c>
      <c r="E15" s="424" t="s">
        <v>1471</v>
      </c>
      <c r="F15" s="788">
        <f>ROUND(SUMIF('CF.1'!$F:$F,'CF(공)_1.0'!E15,'CF.1'!$X:$X),0)</f>
        <v>370148656</v>
      </c>
      <c r="G15" s="782">
        <v>650257159</v>
      </c>
      <c r="H15" s="793">
        <v>-86548832</v>
      </c>
    </row>
    <row r="16" spans="4:9" ht="18" customHeight="1">
      <c r="D16" s="423" t="s">
        <v>1937</v>
      </c>
      <c r="E16" s="424" t="s">
        <v>1938</v>
      </c>
      <c r="F16" s="788">
        <f>ROUND(SUMIF('CF.1'!$F:$F,'CF(공)_1.0'!E16,'CF.1'!$X:$X),0)</f>
        <v>0</v>
      </c>
      <c r="G16" s="782">
        <v>0</v>
      </c>
      <c r="H16" s="793">
        <v>0</v>
      </c>
    </row>
    <row r="17" spans="4:8" ht="18" customHeight="1">
      <c r="D17" s="423" t="s">
        <v>1409</v>
      </c>
      <c r="E17" s="424" t="s">
        <v>1469</v>
      </c>
      <c r="F17" s="788">
        <f>ROUND(SUMIF('CF.1'!$F:$F,'CF(공)_1.0'!E17,'CF.1'!$X:$X),0)</f>
        <v>0</v>
      </c>
      <c r="G17" s="782">
        <v>0</v>
      </c>
      <c r="H17" s="793">
        <v>193910116</v>
      </c>
    </row>
    <row r="18" spans="4:8" ht="18" customHeight="1">
      <c r="D18" s="423" t="s">
        <v>1410</v>
      </c>
      <c r="E18" s="424" t="s">
        <v>1470</v>
      </c>
      <c r="F18" s="788">
        <f>ROUND(SUMIF('CF.1'!$F:$F,'CF(공)_1.0'!E18,'CF.1'!$X:$X),0)</f>
        <v>-126485643</v>
      </c>
      <c r="G18" s="782">
        <v>0</v>
      </c>
      <c r="H18" s="793">
        <v>911247634</v>
      </c>
    </row>
    <row r="19" spans="4:8" ht="18" customHeight="1">
      <c r="D19" s="423" t="s">
        <v>1411</v>
      </c>
      <c r="E19" s="424" t="s">
        <v>1472</v>
      </c>
      <c r="F19" s="788">
        <f>ROUND(SUMIF('CF.1'!$F:$F,'CF(공)_1.0'!E19,'CF.1'!$X:$X),0)</f>
        <v>3259565</v>
      </c>
      <c r="G19" s="782">
        <v>7832710</v>
      </c>
      <c r="H19" s="793">
        <v>-210815445</v>
      </c>
    </row>
    <row r="20" spans="4:8" ht="18" customHeight="1">
      <c r="D20" s="423" t="s">
        <v>1412</v>
      </c>
      <c r="E20" s="424" t="s">
        <v>745</v>
      </c>
      <c r="F20" s="788">
        <f>ROUND(SUMIF('CF.1'!$F:$F,'CF(공)_1.0'!E20,'CF.1'!$X:$X),0)</f>
        <v>11063844077</v>
      </c>
      <c r="G20" s="782">
        <v>3018808147</v>
      </c>
      <c r="H20" s="793">
        <v>3968036607</v>
      </c>
    </row>
    <row r="21" spans="4:8" ht="18" customHeight="1">
      <c r="D21" s="423" t="s">
        <v>1413</v>
      </c>
      <c r="E21" s="424" t="s">
        <v>686</v>
      </c>
      <c r="F21" s="788">
        <f>ROUND(SUMIF('CF.1'!$F:$F,'CF(공)_1.0'!E21,'CF.1'!$X:$X),0)</f>
        <v>533101318</v>
      </c>
      <c r="G21" s="782">
        <v>421425170</v>
      </c>
      <c r="H21" s="793">
        <v>406725081</v>
      </c>
    </row>
    <row r="22" spans="4:8" ht="18" customHeight="1">
      <c r="D22" s="423" t="s">
        <v>1414</v>
      </c>
      <c r="E22" s="424" t="s">
        <v>688</v>
      </c>
      <c r="F22" s="788">
        <f>ROUND(SUMIF('CF.1'!$F:$F,'CF(공)_1.0'!E22,'CF.1'!$X:$X),0)</f>
        <v>409104361</v>
      </c>
      <c r="G22" s="782">
        <v>120370359</v>
      </c>
      <c r="H22" s="793">
        <v>806597888</v>
      </c>
    </row>
    <row r="23" spans="4:8" ht="18" customHeight="1">
      <c r="D23" s="423" t="s">
        <v>1415</v>
      </c>
      <c r="E23" s="424" t="s">
        <v>739</v>
      </c>
      <c r="F23" s="788">
        <f>ROUND(SUMIF('CF.1'!$F:$F,'CF(공)_1.0'!E23,'CF.1'!$X:$X),0)</f>
        <v>127467924</v>
      </c>
      <c r="G23" s="782">
        <v>0</v>
      </c>
      <c r="H23" s="793">
        <v>2231099179</v>
      </c>
    </row>
    <row r="24" spans="4:8" ht="18" customHeight="1">
      <c r="D24" s="423" t="s">
        <v>1819</v>
      </c>
      <c r="E24" s="424" t="s">
        <v>741</v>
      </c>
      <c r="F24" s="788">
        <f>ROUND(SUMIF('CF.1'!$F:$F,'CF(공)_1.0'!E24,'CF.1'!$X:$X),0)</f>
        <v>15979275</v>
      </c>
      <c r="G24" s="782"/>
      <c r="H24" s="793"/>
    </row>
    <row r="25" spans="4:8" ht="18" customHeight="1">
      <c r="D25" s="423" t="s">
        <v>1416</v>
      </c>
      <c r="E25" s="424" t="s">
        <v>691</v>
      </c>
      <c r="F25" s="788">
        <f>ROUND(SUMIF('CF.1'!$F:$F,'CF(공)_1.0'!E25,'CF.1'!$X:$X),0)</f>
        <v>21824681843</v>
      </c>
      <c r="G25" s="782">
        <v>18961996554</v>
      </c>
      <c r="H25" s="793">
        <v>1298853267</v>
      </c>
    </row>
    <row r="26" spans="4:8" ht="18" customHeight="1">
      <c r="D26" s="423" t="s">
        <v>1417</v>
      </c>
      <c r="E26" s="424" t="s">
        <v>692</v>
      </c>
      <c r="F26" s="788">
        <f>ROUND(SUMIF('CF.1'!$F:$F,'CF(공)_1.0'!E26,'CF.1'!$X:$X),0)</f>
        <v>25430480</v>
      </c>
      <c r="G26" s="782">
        <v>8137014</v>
      </c>
      <c r="H26" s="793">
        <v>121236031</v>
      </c>
    </row>
    <row r="27" spans="4:8" ht="18" customHeight="1">
      <c r="D27" s="423" t="s">
        <v>1532</v>
      </c>
      <c r="E27" s="424" t="s">
        <v>483</v>
      </c>
      <c r="F27" s="788">
        <f>ROUND(SUMIF('CF.1'!$F:$F,'CF(공)_1.0'!E27,'CF.1'!$X:$X),0)</f>
        <v>0</v>
      </c>
      <c r="G27" s="782">
        <v>27763957</v>
      </c>
      <c r="H27" s="793">
        <v>0</v>
      </c>
    </row>
    <row r="28" spans="4:8" ht="18" customHeight="1">
      <c r="D28" s="423" t="s">
        <v>1542</v>
      </c>
      <c r="E28" s="424" t="s">
        <v>722</v>
      </c>
      <c r="F28" s="788">
        <f>ROUND(SUMIF('CF.1'!$F:$F,'CF(공)_1.0'!E28,'CF.1'!$X:$X),0)</f>
        <v>0</v>
      </c>
      <c r="G28" s="782"/>
      <c r="H28" s="793">
        <v>733206890</v>
      </c>
    </row>
    <row r="29" spans="4:8" ht="18" customHeight="1">
      <c r="D29" s="423" t="s">
        <v>1418</v>
      </c>
      <c r="E29" s="424" t="s">
        <v>378</v>
      </c>
      <c r="F29" s="788">
        <f>ROUND(SUMIF('CF.1'!$F:$F,'CF(공)_1.0'!E29,'CF.1'!$X:$X),0)</f>
        <v>0</v>
      </c>
      <c r="G29" s="782">
        <v>0</v>
      </c>
      <c r="H29" s="793">
        <v>0</v>
      </c>
    </row>
    <row r="30" spans="4:8" ht="18" customHeight="1">
      <c r="D30" s="423" t="s">
        <v>1419</v>
      </c>
      <c r="E30" s="424" t="s">
        <v>678</v>
      </c>
      <c r="F30" s="788">
        <f>ROUND(SUMIF('CF.1'!$F:$F,'CF(공)_1.0'!E30,'CF.1'!$X:$X),0)</f>
        <v>-1373387026</v>
      </c>
      <c r="G30" s="782">
        <v>-924728239</v>
      </c>
      <c r="H30" s="793">
        <v>-327188935</v>
      </c>
    </row>
    <row r="31" spans="4:8" ht="18" customHeight="1">
      <c r="D31" s="423" t="s">
        <v>1420</v>
      </c>
      <c r="E31" s="424" t="s">
        <v>680</v>
      </c>
      <c r="F31" s="788">
        <f>ROUND(SUMIF('CF.1'!$F:$F,'CF(공)_1.0'!E31,'CF.1'!$X:$X),0)</f>
        <v>-102383090</v>
      </c>
      <c r="G31" s="782">
        <v>-336870792</v>
      </c>
      <c r="H31" s="793">
        <v>-283339659</v>
      </c>
    </row>
    <row r="32" spans="4:8" ht="18" customHeight="1">
      <c r="D32" s="423" t="s">
        <v>1421</v>
      </c>
      <c r="E32" s="424" t="s">
        <v>888</v>
      </c>
      <c r="F32" s="788">
        <f>ROUND(SUMIF('CF.1'!$F:$F,'CF(공)_1.0'!E32,'CF.1'!$X:$X),0)</f>
        <v>0</v>
      </c>
      <c r="G32" s="782">
        <v>-46435516</v>
      </c>
      <c r="H32" s="793">
        <v>-33080876</v>
      </c>
    </row>
    <row r="33" spans="4:9" ht="18" customHeight="1">
      <c r="D33" s="423" t="s">
        <v>1422</v>
      </c>
      <c r="E33" s="424" t="s">
        <v>1473</v>
      </c>
      <c r="F33" s="788">
        <f>ROUND(SUMIF('CF.1'!$F:$F,'CF(공)_1.0'!E33,'CF.1'!$X:$X),0)</f>
        <v>-30066519</v>
      </c>
      <c r="G33" s="782"/>
      <c r="H33" s="793">
        <v>0</v>
      </c>
    </row>
    <row r="34" spans="4:9" ht="18" customHeight="1">
      <c r="D34" s="423" t="s">
        <v>1423</v>
      </c>
      <c r="E34" s="424" t="s">
        <v>1474</v>
      </c>
      <c r="F34" s="788">
        <f>ROUND(SUMIF('CF.1'!$F:$F,'CF(공)_1.0'!E34,'CF.1'!$X:$X),0)</f>
        <v>-10629611</v>
      </c>
      <c r="G34" s="782">
        <v>-3474243</v>
      </c>
      <c r="H34" s="793">
        <v>0</v>
      </c>
    </row>
    <row r="35" spans="4:9" ht="18" customHeight="1">
      <c r="D35" s="423" t="s">
        <v>1424</v>
      </c>
      <c r="E35" s="424" t="s">
        <v>1475</v>
      </c>
      <c r="F35" s="788">
        <f>ROUND(SUMIF('CF.1'!$F:$F,'CF(공)_1.0'!E35,'CF.1'!$X:$X),0)</f>
        <v>0</v>
      </c>
      <c r="G35" s="782">
        <v>21976536</v>
      </c>
      <c r="H35" s="793">
        <v>0</v>
      </c>
    </row>
    <row r="36" spans="4:9" ht="18" customHeight="1">
      <c r="D36" s="423" t="s">
        <v>1425</v>
      </c>
      <c r="E36" s="424" t="s">
        <v>683</v>
      </c>
      <c r="F36" s="788">
        <f>ROUND(SUMIF('CF.1'!$F:$F,'CF(공)_1.0'!E36,'CF.1'!$X:$X),0)</f>
        <v>-221590</v>
      </c>
      <c r="G36" s="782">
        <v>-6012061</v>
      </c>
      <c r="H36" s="793">
        <v>-26540438</v>
      </c>
    </row>
    <row r="37" spans="4:9" ht="18" customHeight="1">
      <c r="D37" s="423" t="s">
        <v>1426</v>
      </c>
      <c r="E37" s="424" t="s">
        <v>684</v>
      </c>
      <c r="F37" s="788">
        <f>ROUND(SUMIF('CF.1'!$F:$F,'CF(공)_1.0'!E37,'CF.1'!$X:$X),0)</f>
        <v>0</v>
      </c>
      <c r="G37" s="782">
        <v>-6897512</v>
      </c>
      <c r="H37" s="793">
        <v>0</v>
      </c>
    </row>
    <row r="38" spans="4:9" ht="18" customHeight="1">
      <c r="D38" s="423" t="s">
        <v>1878</v>
      </c>
      <c r="E38" s="424" t="s">
        <v>1879</v>
      </c>
      <c r="F38" s="788">
        <f>ROUND(SUMIF('CF.1'!$F:$F,'CF(공)_1.0'!E38,'CF.1'!$X:$X),0)</f>
        <v>0</v>
      </c>
      <c r="G38" s="782">
        <v>0</v>
      </c>
      <c r="H38" s="793">
        <v>0</v>
      </c>
    </row>
    <row r="39" spans="4:9" ht="18" customHeight="1">
      <c r="D39" s="423" t="s">
        <v>1881</v>
      </c>
      <c r="E39" s="424" t="s">
        <v>1880</v>
      </c>
      <c r="F39" s="788">
        <f>ROUND(SUMIF('CF.1'!$F:$F,'CF(공)_1.0'!E39,'CF.1'!$X:$X),0)</f>
        <v>798641919</v>
      </c>
      <c r="G39" s="782">
        <v>-1000000000</v>
      </c>
      <c r="H39" s="793">
        <v>0</v>
      </c>
    </row>
    <row r="40" spans="4:9" s="58" customFormat="1" ht="18" customHeight="1">
      <c r="D40" s="421" t="s">
        <v>1427</v>
      </c>
      <c r="E40" s="422" t="s">
        <v>1476</v>
      </c>
      <c r="F40" s="789">
        <f>SUM(F41:F51)</f>
        <v>-837383424</v>
      </c>
      <c r="G40" s="781">
        <v>5171313391</v>
      </c>
      <c r="H40" s="425">
        <f>SUM(H41:H51)</f>
        <v>-7582252629</v>
      </c>
      <c r="I40" s="58" t="b">
        <f>'CF.1'!X125-F40=0</f>
        <v>1</v>
      </c>
    </row>
    <row r="41" spans="4:9" ht="18" customHeight="1">
      <c r="D41" s="423" t="s">
        <v>1428</v>
      </c>
      <c r="E41" s="424" t="s">
        <v>1477</v>
      </c>
      <c r="F41" s="788">
        <f>ROUND(SUMIF('CF.1'!$F:$F,'CF(공)_1.0'!E41,'CF.1'!$X:$X),0)</f>
        <v>-7539631953</v>
      </c>
      <c r="G41" s="782">
        <v>-9662593697</v>
      </c>
      <c r="H41" s="793">
        <v>-2537363539</v>
      </c>
    </row>
    <row r="42" spans="4:9" ht="18" customHeight="1">
      <c r="D42" s="423" t="s">
        <v>1429</v>
      </c>
      <c r="E42" s="424" t="s">
        <v>1478</v>
      </c>
      <c r="F42" s="788">
        <f>ROUND(SUMIF('CF.1'!$F:$F,'CF(공)_1.0'!E42,'CF.1'!$X:$X),0)</f>
        <v>-5385279428</v>
      </c>
      <c r="G42" s="782">
        <v>-4567827388</v>
      </c>
      <c r="H42" s="793">
        <v>480608904</v>
      </c>
    </row>
    <row r="43" spans="4:9" ht="18" customHeight="1">
      <c r="D43" s="423" t="s">
        <v>1430</v>
      </c>
      <c r="E43" s="424" t="s">
        <v>1479</v>
      </c>
      <c r="F43" s="788">
        <f>ROUND(SUMIF('CF.1'!$F:$F,'CF(공)_1.0'!E43,'CF.1'!$X:$X),0)</f>
        <v>1812955479</v>
      </c>
      <c r="G43" s="782">
        <v>120496256</v>
      </c>
      <c r="H43" s="793">
        <v>-3379751740</v>
      </c>
    </row>
    <row r="44" spans="4:9" ht="18" customHeight="1">
      <c r="D44" s="423" t="s">
        <v>1431</v>
      </c>
      <c r="E44" s="424" t="s">
        <v>1480</v>
      </c>
      <c r="F44" s="788">
        <f>ROUND(SUMIF('CF.1'!$F:$F,'CF(공)_1.0'!E44,'CF.1'!$X:$X),0)</f>
        <v>-2405454959</v>
      </c>
      <c r="G44" s="782">
        <v>-4423441156</v>
      </c>
      <c r="H44" s="793">
        <v>-2979317888</v>
      </c>
    </row>
    <row r="45" spans="4:9" ht="18" customHeight="1">
      <c r="D45" s="423" t="s">
        <v>1969</v>
      </c>
      <c r="E45" s="424" t="s">
        <v>1968</v>
      </c>
      <c r="F45" s="788">
        <f>ROUND(SUMIF('CF.1'!$F:$F,'CF(공)_1.0'!E45,'CF.1'!$X:$X),0)</f>
        <v>-300136621</v>
      </c>
      <c r="G45" s="782">
        <v>0</v>
      </c>
      <c r="H45" s="793">
        <v>0</v>
      </c>
    </row>
    <row r="46" spans="4:9" ht="18" customHeight="1">
      <c r="D46" s="423" t="s">
        <v>1821</v>
      </c>
      <c r="E46" s="424" t="s">
        <v>1816</v>
      </c>
      <c r="F46" s="788">
        <f>ROUND(SUMIF('CF.1'!$F:$F,'CF(공)_1.0'!E46,'CF.1'!$X:$X),0)</f>
        <v>-129134010</v>
      </c>
      <c r="G46" s="782"/>
      <c r="H46" s="793"/>
    </row>
    <row r="47" spans="4:9" ht="18" customHeight="1">
      <c r="D47" s="423" t="s">
        <v>1432</v>
      </c>
      <c r="E47" s="424" t="s">
        <v>1481</v>
      </c>
      <c r="F47" s="788">
        <f>ROUND(SUMIF('CF.1'!$F:$F,'CF(공)_1.0'!E47,'CF.1'!$X:$X),0)</f>
        <v>14516220107</v>
      </c>
      <c r="G47" s="782">
        <v>10560214059</v>
      </c>
      <c r="H47" s="793">
        <v>2503596772</v>
      </c>
    </row>
    <row r="48" spans="4:9" ht="18" customHeight="1">
      <c r="D48" s="423" t="s">
        <v>1433</v>
      </c>
      <c r="E48" s="424" t="s">
        <v>1482</v>
      </c>
      <c r="F48" s="788">
        <f>ROUND(SUMIF('CF.1'!$F:$F,'CF(공)_1.0'!E48,'CF.1'!$X:$X),0)</f>
        <v>2404203858</v>
      </c>
      <c r="G48" s="782">
        <v>2463385876</v>
      </c>
      <c r="H48" s="793">
        <v>50405941</v>
      </c>
    </row>
    <row r="49" spans="4:9" ht="18" customHeight="1">
      <c r="D49" s="423" t="s">
        <v>1434</v>
      </c>
      <c r="E49" s="424" t="s">
        <v>1483</v>
      </c>
      <c r="F49" s="788">
        <f>ROUND(SUMIF('CF.1'!$F:$F,'CF(공)_1.0'!E49,'CF.1'!$X:$X),0)</f>
        <v>-2594881411</v>
      </c>
      <c r="G49" s="782">
        <v>12005959229</v>
      </c>
      <c r="H49" s="793">
        <v>-907960811</v>
      </c>
    </row>
    <row r="50" spans="4:9" ht="18" customHeight="1">
      <c r="D50" s="423" t="s">
        <v>1435</v>
      </c>
      <c r="E50" s="424" t="s">
        <v>1484</v>
      </c>
      <c r="F50" s="788">
        <f>ROUND(SUMIF('CF.1'!$F:$F,'CF(공)_1.0'!E50,'CF.1'!$X:$X),0)</f>
        <v>0</v>
      </c>
      <c r="G50" s="782">
        <v>0</v>
      </c>
      <c r="H50" s="793">
        <v>-62470268</v>
      </c>
    </row>
    <row r="51" spans="4:9" ht="18" customHeight="1">
      <c r="D51" s="423" t="s">
        <v>1436</v>
      </c>
      <c r="E51" s="424" t="s">
        <v>1485</v>
      </c>
      <c r="F51" s="788">
        <f>ROUND(SUMIF('CF.1'!$F:$F,'CF(공)_1.0'!E51,'CF.1'!$X:$X),0)</f>
        <v>-1216244486</v>
      </c>
      <c r="G51" s="782">
        <v>-1324879788</v>
      </c>
      <c r="H51" s="793">
        <v>-750000000</v>
      </c>
    </row>
    <row r="52" spans="4:9" s="259" customFormat="1" ht="18" customHeight="1">
      <c r="D52" s="418" t="s">
        <v>1437</v>
      </c>
      <c r="E52" s="419" t="s">
        <v>1014</v>
      </c>
      <c r="F52" s="790">
        <f>ROUND(SUMIF('CF.1'!$F:$F,'CF(공)_1.0'!E52,'CF.1'!$X:$X),0)</f>
        <v>1450087305</v>
      </c>
      <c r="G52" s="783">
        <v>768265231</v>
      </c>
      <c r="H52" s="420">
        <v>304909860</v>
      </c>
      <c r="I52" s="272"/>
    </row>
    <row r="53" spans="4:9" s="259" customFormat="1" ht="18" customHeight="1">
      <c r="D53" s="418" t="s">
        <v>1438</v>
      </c>
      <c r="E53" s="419" t="s">
        <v>1016</v>
      </c>
      <c r="F53" s="790">
        <f>ROUND(SUMIF('CF.1'!$F:$F,'CF(공)_1.0'!E53,'CF.1'!$X:$X),0)</f>
        <v>-46867293</v>
      </c>
      <c r="G53" s="783">
        <v>-75990852</v>
      </c>
      <c r="H53" s="420">
        <v>-48852870</v>
      </c>
      <c r="I53" s="272"/>
    </row>
    <row r="54" spans="4:9" s="259" customFormat="1" ht="18" customHeight="1">
      <c r="D54" s="418" t="s">
        <v>1439</v>
      </c>
      <c r="E54" s="419" t="s">
        <v>1018</v>
      </c>
      <c r="F54" s="790">
        <f>ROUND(SUMIF('CF.1'!$F:$F,'CF(공)_1.0'!E54,'CF.1'!$X:$X),0)</f>
        <v>-870491738</v>
      </c>
      <c r="G54" s="783">
        <v>-1045098540</v>
      </c>
      <c r="H54" s="420">
        <v>-22137340</v>
      </c>
      <c r="I54" s="272"/>
    </row>
    <row r="55" spans="4:9" s="58" customFormat="1" ht="18" customHeight="1">
      <c r="D55" s="415" t="s">
        <v>1440</v>
      </c>
      <c r="E55" s="416" t="s">
        <v>1440</v>
      </c>
      <c r="F55" s="785">
        <f>F56+F65</f>
        <v>-2595990545</v>
      </c>
      <c r="G55" s="779">
        <f t="shared" ref="G55" si="0">G56+G65</f>
        <v>-10169433987</v>
      </c>
      <c r="H55" s="417">
        <f>H56+H65</f>
        <v>-45001849965</v>
      </c>
      <c r="I55" s="58" t="b">
        <f>'CF.1'!X181-F55=0</f>
        <v>1</v>
      </c>
    </row>
    <row r="56" spans="4:9" s="58" customFormat="1" ht="18" customHeight="1">
      <c r="D56" s="421" t="s">
        <v>1441</v>
      </c>
      <c r="E56" s="422" t="s">
        <v>1486</v>
      </c>
      <c r="F56" s="789">
        <f>SUM(F57:F64)</f>
        <v>5567041599</v>
      </c>
      <c r="G56" s="781">
        <f t="shared" ref="G56" si="1">SUM(G57:G64)</f>
        <v>61819543667</v>
      </c>
      <c r="H56" s="425">
        <f t="shared" ref="H56" si="2">SUM(H57:H64)</f>
        <v>34598648384</v>
      </c>
    </row>
    <row r="57" spans="4:9" ht="18" customHeight="1">
      <c r="D57" s="423" t="s">
        <v>1442</v>
      </c>
      <c r="E57" s="424" t="s">
        <v>1487</v>
      </c>
      <c r="F57" s="788">
        <f>ROUND(SUMIF('CF.1'!$F:$F,'CF(공)_1.0'!E57,'CF.1'!$X:$X),0)</f>
        <v>0</v>
      </c>
      <c r="G57" s="782">
        <v>0</v>
      </c>
      <c r="H57" s="793">
        <v>175197366</v>
      </c>
    </row>
    <row r="58" spans="4:9" ht="18" customHeight="1">
      <c r="D58" s="423" t="s">
        <v>1443</v>
      </c>
      <c r="E58" s="424" t="s">
        <v>1383</v>
      </c>
      <c r="F58" s="788">
        <f>ROUND(SUMIF('CF.1'!$F:$F,'CF(공)_1.0'!E58,'CF.1'!$X:$X),0)</f>
        <v>171745000</v>
      </c>
      <c r="G58" s="782">
        <v>196574806</v>
      </c>
      <c r="H58" s="793">
        <v>496670000</v>
      </c>
    </row>
    <row r="59" spans="4:9" ht="18" customHeight="1">
      <c r="D59" s="423" t="s">
        <v>1444</v>
      </c>
      <c r="E59" s="424" t="s">
        <v>1386</v>
      </c>
      <c r="F59" s="788">
        <f>ROUND(SUMIF('CF.1'!$F:$F,'CF(공)_1.0'!E59,'CF.1'!$X:$X),0)</f>
        <v>726000</v>
      </c>
      <c r="G59" s="782">
        <v>18000000</v>
      </c>
      <c r="H59" s="793">
        <v>0</v>
      </c>
    </row>
    <row r="60" spans="4:9" ht="18" customHeight="1">
      <c r="D60" s="423" t="s">
        <v>1445</v>
      </c>
      <c r="E60" s="424" t="s">
        <v>1488</v>
      </c>
      <c r="F60" s="788">
        <f>ROUND(SUMIF('CF.1'!$F:$F,'CF(공)_1.0'!E60,'CF.1'!$X:$X),0)</f>
        <v>0</v>
      </c>
      <c r="G60" s="782">
        <v>0</v>
      </c>
      <c r="H60" s="793">
        <v>30000000000</v>
      </c>
    </row>
    <row r="61" spans="4:9" ht="18" customHeight="1">
      <c r="D61" s="423" t="s">
        <v>1446</v>
      </c>
      <c r="E61" s="424" t="s">
        <v>1489</v>
      </c>
      <c r="F61" s="788">
        <f>ROUND(SUMIF('CF.1'!$F:$F,'CF(공)_1.0'!E61,'CF.1'!$X:$X),0)</f>
        <v>5388699833</v>
      </c>
      <c r="G61" s="782">
        <v>61586457593</v>
      </c>
      <c r="H61" s="793">
        <v>0</v>
      </c>
    </row>
    <row r="62" spans="4:9" ht="18" customHeight="1">
      <c r="D62" s="423" t="s">
        <v>1447</v>
      </c>
      <c r="E62" s="424" t="s">
        <v>1490</v>
      </c>
      <c r="F62" s="788">
        <f>ROUND(SUMIF('CF.1'!$F:$F,'CF(공)_1.0'!E62,'CF.1'!$X:$X),0)</f>
        <v>5870766</v>
      </c>
      <c r="G62" s="782">
        <v>9545268</v>
      </c>
      <c r="H62" s="793">
        <v>53300585</v>
      </c>
    </row>
    <row r="63" spans="4:9" ht="18" customHeight="1">
      <c r="D63" s="423" t="s">
        <v>1448</v>
      </c>
      <c r="E63" s="424" t="s">
        <v>1491</v>
      </c>
      <c r="F63" s="788">
        <f>ROUND(SUMIF('CF.1'!$F:$F,'CF(공)_1.0'!E63,'CF.1'!$X:$X),0)</f>
        <v>0</v>
      </c>
      <c r="G63" s="782">
        <v>8966000</v>
      </c>
      <c r="H63" s="793">
        <v>0</v>
      </c>
    </row>
    <row r="64" spans="4:9" ht="18" customHeight="1">
      <c r="D64" s="423" t="s">
        <v>1449</v>
      </c>
      <c r="E64" s="424" t="s">
        <v>1492</v>
      </c>
      <c r="F64" s="788">
        <f>ROUND(SUMIF('CF.1'!$F:$F,'CF(공)_1.0'!E64,'CF.1'!$X:$X),0)</f>
        <v>0</v>
      </c>
      <c r="G64" s="782">
        <v>0</v>
      </c>
      <c r="H64" s="793">
        <v>3873480433</v>
      </c>
    </row>
    <row r="65" spans="4:9" s="58" customFormat="1" ht="18" customHeight="1">
      <c r="D65" s="421" t="s">
        <v>1450</v>
      </c>
      <c r="E65" s="422" t="s">
        <v>1493</v>
      </c>
      <c r="F65" s="789">
        <f>SUM(F66:F79)</f>
        <v>-8163032144</v>
      </c>
      <c r="G65" s="781">
        <f>SUM(G66:G79)</f>
        <v>-71988977654</v>
      </c>
      <c r="H65" s="425">
        <f>SUM(H66:H79)</f>
        <v>-79600498349</v>
      </c>
    </row>
    <row r="66" spans="4:9" ht="18" customHeight="1">
      <c r="D66" s="423" t="s">
        <v>1451</v>
      </c>
      <c r="E66" s="424" t="s">
        <v>1135</v>
      </c>
      <c r="F66" s="788">
        <f>ROUND(SUMIF('CF.1'!$F:$F,'CF(공)_1.0'!E66,'CF.1'!$X:$X),0)</f>
        <v>0</v>
      </c>
      <c r="G66" s="782">
        <v>0</v>
      </c>
      <c r="H66" s="793"/>
    </row>
    <row r="67" spans="4:9" ht="18" customHeight="1">
      <c r="D67" s="423" t="s">
        <v>1883</v>
      </c>
      <c r="E67" s="424" t="s">
        <v>1143</v>
      </c>
      <c r="F67" s="788">
        <f>ROUND(SUMIF('CF.1'!$F:$F,'CF(공)_1.0'!E67,'CF.1'!$X:$X),0)</f>
        <v>-352599000</v>
      </c>
      <c r="G67" s="782"/>
      <c r="H67" s="793"/>
    </row>
    <row r="68" spans="4:9" ht="18" customHeight="1">
      <c r="D68" s="423" t="s">
        <v>1452</v>
      </c>
      <c r="E68" s="424" t="s">
        <v>1382</v>
      </c>
      <c r="F68" s="788">
        <f>ROUND(SUMIF('CF.1'!$F:$F,'CF(공)_1.0'!E68,'CF.1'!$X:$X),0)</f>
        <v>-317188000</v>
      </c>
      <c r="G68" s="782">
        <v>-20379757</v>
      </c>
      <c r="H68" s="793">
        <v>-100000000</v>
      </c>
    </row>
    <row r="69" spans="4:9" ht="18" customHeight="1">
      <c r="D69" s="423" t="s">
        <v>1534</v>
      </c>
      <c r="E69" s="424" t="s">
        <v>1533</v>
      </c>
      <c r="F69" s="788">
        <f>ROUND(SUMIF('CF.1'!$F:$F,'CF(공)_1.0'!E69,'CF.1'!$X:$X),0)</f>
        <v>-105000000</v>
      </c>
      <c r="G69" s="782">
        <v>0</v>
      </c>
      <c r="H69" s="793">
        <v>0</v>
      </c>
    </row>
    <row r="70" spans="4:9" ht="18" customHeight="1">
      <c r="D70" s="423" t="s">
        <v>1827</v>
      </c>
      <c r="E70" s="424" t="s">
        <v>1826</v>
      </c>
      <c r="F70" s="788">
        <f>ROUND(SUMIF('CF.1'!$F:$F,'CF(공)_1.0'!E70,'CF.1'!$X:$X),0)</f>
        <v>0</v>
      </c>
      <c r="G70" s="782"/>
      <c r="H70" s="793"/>
    </row>
    <row r="71" spans="4:9" ht="18" customHeight="1">
      <c r="D71" s="423" t="s">
        <v>1983</v>
      </c>
      <c r="E71" s="424" t="s">
        <v>1982</v>
      </c>
      <c r="F71" s="788">
        <f>ROUND(SUMIF('CF.1'!$F:$F,'CF(공)_1.0'!E71,'CF.1'!$X:$X),0)</f>
        <v>0</v>
      </c>
      <c r="G71" s="782"/>
      <c r="H71" s="793"/>
    </row>
    <row r="72" spans="4:9" ht="18" customHeight="1">
      <c r="D72" s="423" t="s">
        <v>1453</v>
      </c>
      <c r="E72" s="424" t="s">
        <v>1494</v>
      </c>
      <c r="F72" s="788">
        <f>ROUND(SUMIF('CF.1'!$F:$F,'CF(공)_1.0'!E72,'CF.1'!$X:$X),0)</f>
        <v>0</v>
      </c>
      <c r="G72" s="782">
        <v>0</v>
      </c>
      <c r="H72" s="793">
        <v>-50000000000</v>
      </c>
    </row>
    <row r="73" spans="4:9" ht="18" customHeight="1">
      <c r="D73" s="423" t="s">
        <v>1454</v>
      </c>
      <c r="E73" s="424" t="s">
        <v>1495</v>
      </c>
      <c r="F73" s="788">
        <f>ROUND(SUMIF('CF.1'!$F:$F,'CF(공)_1.0'!E73,'CF.1'!$X:$X),0)</f>
        <v>0</v>
      </c>
      <c r="G73" s="782">
        <v>-47900002834</v>
      </c>
      <c r="H73" s="793">
        <v>0</v>
      </c>
    </row>
    <row r="74" spans="4:9" ht="18" customHeight="1">
      <c r="D74" s="423" t="s">
        <v>1455</v>
      </c>
      <c r="E74" s="424" t="s">
        <v>1496</v>
      </c>
      <c r="F74" s="788">
        <f>ROUND(SUMIF('CF.1'!$F:$F,'CF(공)_1.0'!E74,'CF.1'!$X:$X),0)</f>
        <v>0</v>
      </c>
      <c r="G74" s="782"/>
      <c r="H74" s="793">
        <v>0</v>
      </c>
    </row>
    <row r="75" spans="4:9" ht="18" customHeight="1">
      <c r="D75" s="423" t="s">
        <v>1538</v>
      </c>
      <c r="E75" s="424" t="s">
        <v>1537</v>
      </c>
      <c r="F75" s="788">
        <f>ROUND(SUMIF('CF.1'!$F:$F,'CF(공)_1.0'!E75,'CF.1'!$X:$X),0)</f>
        <v>0</v>
      </c>
      <c r="G75" s="782">
        <v>-1211867769</v>
      </c>
      <c r="H75" s="793">
        <v>-26327384207</v>
      </c>
    </row>
    <row r="76" spans="4:9" ht="18" customHeight="1">
      <c r="D76" s="423" t="s">
        <v>1882</v>
      </c>
      <c r="E76" s="424" t="s">
        <v>1876</v>
      </c>
      <c r="F76" s="788">
        <f>ROUND(SUMIF('CF.1'!$F:$F,'CF(공)_1.0'!E76,'CF.1'!$X:$X),0)</f>
        <v>-926598559</v>
      </c>
      <c r="G76" s="782"/>
      <c r="H76" s="793"/>
    </row>
    <row r="77" spans="4:9" ht="18" customHeight="1">
      <c r="D77" s="423" t="s">
        <v>1456</v>
      </c>
      <c r="E77" s="424" t="s">
        <v>1497</v>
      </c>
      <c r="F77" s="788">
        <f>ROUND(SUMIF('CF.1'!$F:$F,'CF(공)_1.0'!E77,'CF.1'!$X:$X),0)</f>
        <v>-957015654</v>
      </c>
      <c r="G77" s="782">
        <v>-1999782244</v>
      </c>
      <c r="H77" s="793">
        <v>-572470883</v>
      </c>
    </row>
    <row r="78" spans="4:9" ht="18" customHeight="1">
      <c r="D78" s="423" t="s">
        <v>1457</v>
      </c>
      <c r="E78" s="424" t="s">
        <v>1498</v>
      </c>
      <c r="F78" s="788">
        <f>ROUND(SUMIF('CF.1'!$F:$F,'CF(공)_1.0'!E78,'CF.1'!$X:$X),0)</f>
        <v>-4704630931</v>
      </c>
      <c r="G78" s="782">
        <v>-17536945050</v>
      </c>
      <c r="H78" s="793">
        <v>-2600643259</v>
      </c>
    </row>
    <row r="79" spans="4:9" ht="18" customHeight="1">
      <c r="D79" s="423" t="s">
        <v>1536</v>
      </c>
      <c r="E79" s="424" t="s">
        <v>1535</v>
      </c>
      <c r="F79" s="788">
        <f>ROUND(SUMIF('CF.1'!$F:$F,'CF(공)_1.0'!E79,'CF.1'!$X:$X),0)</f>
        <v>-800000000</v>
      </c>
      <c r="G79" s="782">
        <v>-3320000000</v>
      </c>
      <c r="H79" s="793"/>
    </row>
    <row r="80" spans="4:9" s="58" customFormat="1" ht="18" customHeight="1">
      <c r="D80" s="415" t="s">
        <v>1458</v>
      </c>
      <c r="E80" s="416" t="s">
        <v>1458</v>
      </c>
      <c r="F80" s="785">
        <f>F81+F84</f>
        <v>-2965409032</v>
      </c>
      <c r="G80" s="779">
        <f t="shared" ref="G80" si="3">G81+G84</f>
        <v>68471782850</v>
      </c>
      <c r="H80" s="417">
        <f>H81+H84</f>
        <v>64957381790</v>
      </c>
      <c r="I80" s="58" t="b">
        <f>'CF.1'!X300=F80</f>
        <v>1</v>
      </c>
    </row>
    <row r="81" spans="4:8" ht="18" customHeight="1">
      <c r="D81" s="421" t="s">
        <v>1459</v>
      </c>
      <c r="E81" s="422" t="s">
        <v>1499</v>
      </c>
      <c r="F81" s="789">
        <f>SUM(F82:F83)</f>
        <v>0</v>
      </c>
      <c r="G81" s="781">
        <f>SUM(G82:G83)</f>
        <v>69971782850</v>
      </c>
      <c r="H81" s="425">
        <f>SUM(H82:H83)</f>
        <v>64961621790</v>
      </c>
    </row>
    <row r="82" spans="4:8" ht="18" customHeight="1">
      <c r="D82" s="423" t="s">
        <v>1460</v>
      </c>
      <c r="E82" s="424" t="s">
        <v>537</v>
      </c>
      <c r="F82" s="788">
        <f>ROUND(SUMIF('CF.1'!$F:$F,'CF(공)_1.0'!E82,'CF.1'!$X:$X),0)</f>
        <v>0</v>
      </c>
      <c r="G82" s="782">
        <v>69971782850</v>
      </c>
      <c r="H82" s="793">
        <v>64961621790</v>
      </c>
    </row>
    <row r="83" spans="4:8" ht="18" customHeight="1">
      <c r="D83" s="423" t="s">
        <v>1943</v>
      </c>
      <c r="E83" s="424" t="s">
        <v>1250</v>
      </c>
      <c r="F83" s="788">
        <f>ROUND(SUMIF('CF.1'!$F:$F,'CF(공)_1.0'!E83,'CF.1'!$X:$X),0)</f>
        <v>0</v>
      </c>
      <c r="G83" s="782"/>
      <c r="H83" s="793"/>
    </row>
    <row r="84" spans="4:8" s="58" customFormat="1" ht="18" customHeight="1">
      <c r="D84" s="421" t="s">
        <v>1461</v>
      </c>
      <c r="E84" s="422" t="s">
        <v>1500</v>
      </c>
      <c r="F84" s="789">
        <f>SUM(F85:F88)</f>
        <v>-2965409032</v>
      </c>
      <c r="G84" s="781">
        <f>SUM(G85:G88)</f>
        <v>-1500000000</v>
      </c>
      <c r="H84" s="425">
        <f t="shared" ref="H84" si="4">SUM(H85:H88)</f>
        <v>-4240000</v>
      </c>
    </row>
    <row r="85" spans="4:8" ht="18" customHeight="1">
      <c r="D85" s="423" t="s">
        <v>1462</v>
      </c>
      <c r="E85" s="424" t="s">
        <v>1302</v>
      </c>
      <c r="F85" s="788">
        <f>ROUND(SUMIF('CF.1'!$F:$F,'CF(공)_1.0'!E85,'CF.1'!$X:$X),0)</f>
        <v>0</v>
      </c>
      <c r="G85" s="782">
        <v>0</v>
      </c>
      <c r="H85" s="793">
        <v>-4240000</v>
      </c>
    </row>
    <row r="86" spans="4:8" ht="18" customHeight="1">
      <c r="D86" s="423" t="s">
        <v>1539</v>
      </c>
      <c r="E86" s="424" t="s">
        <v>1288</v>
      </c>
      <c r="F86" s="788">
        <f>ROUND(SUMIF('CF.1'!$F:$F,'CF(공)_1.0'!E86,'CF.1'!$X:$X),0)</f>
        <v>-465735790</v>
      </c>
      <c r="G86" s="782">
        <v>-1500000000</v>
      </c>
      <c r="H86" s="793">
        <v>0</v>
      </c>
    </row>
    <row r="87" spans="4:8" ht="18" customHeight="1">
      <c r="D87" s="423" t="s">
        <v>1823</v>
      </c>
      <c r="E87" s="424" t="s">
        <v>1822</v>
      </c>
      <c r="F87" s="788">
        <f>ROUND(SUMIF('CF.1'!$F:$F,'CF(공)_1.0'!E87,'CF.1'!$X:$X),0)</f>
        <v>-2491608053</v>
      </c>
      <c r="G87" s="782"/>
      <c r="H87" s="793"/>
    </row>
    <row r="88" spans="4:8" ht="18" customHeight="1">
      <c r="D88" s="423" t="s">
        <v>1824</v>
      </c>
      <c r="E88" s="424" t="s">
        <v>1320</v>
      </c>
      <c r="F88" s="788">
        <f>ROUND(SUMIF('CF.1'!$F:$F,'CF(공)_1.0'!E88,'CF.1'!$X:$X),0)</f>
        <v>-8065189</v>
      </c>
      <c r="G88" s="782"/>
      <c r="H88" s="793"/>
    </row>
    <row r="89" spans="4:8" s="58" customFormat="1" ht="18" customHeight="1">
      <c r="D89" s="415" t="s">
        <v>1463</v>
      </c>
      <c r="E89" s="416" t="s">
        <v>1463</v>
      </c>
      <c r="F89" s="785">
        <f>F80+F55+F6</f>
        <v>-6949094449</v>
      </c>
      <c r="G89" s="779">
        <f>G80+G55+G6</f>
        <v>71943965639</v>
      </c>
      <c r="H89" s="417">
        <f>H80+H55+H6</f>
        <v>12403000056</v>
      </c>
    </row>
    <row r="90" spans="4:8" s="58" customFormat="1" ht="18" customHeight="1">
      <c r="D90" s="415" t="s">
        <v>1464</v>
      </c>
      <c r="E90" s="416" t="s">
        <v>1464</v>
      </c>
      <c r="F90" s="791">
        <f>G92</f>
        <v>95653360723</v>
      </c>
      <c r="G90" s="779">
        <v>22920303979</v>
      </c>
      <c r="H90" s="417">
        <v>10903411612</v>
      </c>
    </row>
    <row r="91" spans="4:8" s="58" customFormat="1" ht="18" customHeight="1">
      <c r="D91" s="415" t="s">
        <v>1465</v>
      </c>
      <c r="E91" s="426" t="s">
        <v>1465</v>
      </c>
      <c r="F91" s="791">
        <f>'CF.1'!X345</f>
        <v>197126402</v>
      </c>
      <c r="G91" s="779">
        <v>789091105</v>
      </c>
      <c r="H91" s="417">
        <v>-386107689</v>
      </c>
    </row>
    <row r="92" spans="4:8" s="58" customFormat="1" ht="18" customHeight="1" thickBot="1">
      <c r="D92" s="427" t="s">
        <v>1466</v>
      </c>
      <c r="E92" s="428" t="s">
        <v>1466</v>
      </c>
      <c r="F92" s="792">
        <f>SUM(F89:F91)</f>
        <v>88901392676</v>
      </c>
      <c r="G92" s="784">
        <f t="shared" ref="G92" si="5">SUM(G89:G91)</f>
        <v>95653360723</v>
      </c>
      <c r="H92" s="429">
        <f t="shared" ref="H92" si="6">SUM(H89:H91)</f>
        <v>22920303979</v>
      </c>
    </row>
    <row r="93" spans="4:8" ht="18" customHeight="1">
      <c r="F93" s="58" t="b">
        <f>'CF.1'!X355=F92</f>
        <v>1</v>
      </c>
    </row>
  </sheetData>
  <autoFilter ref="D5:H93" xr:uid="{00000000-0009-0000-0000-00000F000000}"/>
  <phoneticPr fontId="18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C00000"/>
  </sheetPr>
  <dimension ref="D3:J85"/>
  <sheetViews>
    <sheetView showGridLines="0" zoomScaleNormal="100" workbookViewId="0">
      <pane xSplit="4" ySplit="4" topLeftCell="E5" activePane="bottomRight" state="frozen"/>
      <selection activeCell="Q362" sqref="Q362"/>
      <selection pane="topRight" activeCell="Q362" sqref="Q362"/>
      <selection pane="bottomLeft" activeCell="Q362" sqref="Q362"/>
      <selection pane="bottomRight" activeCell="E61" sqref="E61"/>
    </sheetView>
  </sheetViews>
  <sheetFormatPr defaultColWidth="8.75" defaultRowHeight="18" customHeight="1"/>
  <cols>
    <col min="1" max="3" width="2.375" style="30" customWidth="1"/>
    <col min="4" max="4" width="35.875" style="30" bestFit="1" customWidth="1"/>
    <col min="5" max="5" width="35.875" style="30" customWidth="1"/>
    <col min="6" max="9" width="22.25" style="28" customWidth="1"/>
    <col min="10" max="10" width="12" style="30" customWidth="1"/>
    <col min="11" max="11" width="14.375" style="30" customWidth="1"/>
    <col min="12" max="12" width="8.75" style="30" customWidth="1"/>
    <col min="13" max="16384" width="8.75" style="30"/>
  </cols>
  <sheetData>
    <row r="3" spans="4:10" s="29" customFormat="1" ht="18" customHeight="1" thickBot="1">
      <c r="F3" s="206"/>
      <c r="G3" s="733" t="b">
        <f>'BS(공)'!G7=G83</f>
        <v>1</v>
      </c>
      <c r="H3" s="206"/>
      <c r="I3" s="206"/>
    </row>
    <row r="4" spans="4:10" ht="18" customHeight="1">
      <c r="D4" s="390" t="s">
        <v>1540</v>
      </c>
      <c r="E4" s="391" t="s">
        <v>17</v>
      </c>
      <c r="F4" s="805" t="s">
        <v>1939</v>
      </c>
      <c r="G4" s="806"/>
      <c r="H4" s="805" t="s">
        <v>1940</v>
      </c>
      <c r="I4" s="807"/>
    </row>
    <row r="5" spans="4:10" s="29" customFormat="1" ht="18" customHeight="1">
      <c r="D5" s="392" t="s">
        <v>1401</v>
      </c>
      <c r="E5" s="393"/>
      <c r="F5" s="394"/>
      <c r="G5" s="394">
        <f>SUM(F6,F49:F51)</f>
        <v>-1387694872</v>
      </c>
      <c r="H5" s="394"/>
      <c r="I5" s="395">
        <f>SUM(H6,H49:H51)</f>
        <v>13641616776</v>
      </c>
      <c r="J5" s="206"/>
    </row>
    <row r="6" spans="4:10" s="29" customFormat="1" ht="18" customHeight="1">
      <c r="D6" s="396" t="s">
        <v>1402</v>
      </c>
      <c r="E6" s="397"/>
      <c r="F6" s="398">
        <f>SUM(F7:F8,F38)</f>
        <v>-1920423146</v>
      </c>
      <c r="G6" s="398"/>
      <c r="H6" s="398">
        <f>SUM(H7:H8,H38)</f>
        <v>13994440937</v>
      </c>
      <c r="I6" s="399"/>
    </row>
    <row r="7" spans="4:10" s="29" customFormat="1" ht="18" customHeight="1">
      <c r="D7" s="400" t="s">
        <v>1941</v>
      </c>
      <c r="E7" s="401"/>
      <c r="F7" s="402">
        <f>'CF(공)_1.0'!F8</f>
        <v>-48005522146</v>
      </c>
      <c r="G7" s="402"/>
      <c r="H7" s="402">
        <v>-21314253571</v>
      </c>
      <c r="I7" s="403"/>
      <c r="J7" s="29" t="b">
        <f>'IS(공)'!G19=F7</f>
        <v>1</v>
      </c>
    </row>
    <row r="8" spans="4:10" s="29" customFormat="1" ht="18" customHeight="1">
      <c r="D8" s="400" t="s">
        <v>1541</v>
      </c>
      <c r="E8" s="401"/>
      <c r="F8" s="402">
        <f>SUM(F9:F37)</f>
        <v>46922482424</v>
      </c>
      <c r="G8" s="402"/>
      <c r="H8" s="402">
        <f>SUM(H9:H37)</f>
        <v>30137381117</v>
      </c>
      <c r="I8" s="403"/>
      <c r="J8" s="206">
        <f>F8-'CF(공)_1.0'!F9</f>
        <v>0</v>
      </c>
    </row>
    <row r="9" spans="4:10" ht="18" customHeight="1">
      <c r="D9" s="404" t="s">
        <v>381</v>
      </c>
      <c r="E9" s="405" t="s">
        <v>381</v>
      </c>
      <c r="F9" s="406">
        <f>ROUND(SUMIF('CF(공)_1.0'!$E:$E,'CF(공)_2.0'!E9,'CF(공)_1.0'!$F:$F),0)</f>
        <v>70238074</v>
      </c>
      <c r="G9" s="406"/>
      <c r="H9" s="406">
        <v>727208752</v>
      </c>
      <c r="I9" s="407"/>
    </row>
    <row r="10" spans="4:10" ht="18" customHeight="1">
      <c r="D10" s="404" t="s">
        <v>263</v>
      </c>
      <c r="E10" s="405" t="s">
        <v>263</v>
      </c>
      <c r="F10" s="406">
        <f>ROUND(SUMIF('CF(공)_1.0'!$E:$E,'CF(공)_2.0'!E10,'CF(공)_1.0'!$F:$F),0)</f>
        <v>1094304358</v>
      </c>
      <c r="G10" s="406"/>
      <c r="H10" s="406">
        <v>903714587</v>
      </c>
      <c r="I10" s="407"/>
    </row>
    <row r="11" spans="4:10" ht="18" customHeight="1">
      <c r="D11" s="404" t="s">
        <v>492</v>
      </c>
      <c r="E11" s="405" t="s">
        <v>492</v>
      </c>
      <c r="F11" s="406">
        <f>ROUND(SUMIF('CF(공)_1.0'!$E:$E,'CF(공)_2.0'!E11,'CF(공)_1.0'!$F:$F),0)</f>
        <v>3630891654</v>
      </c>
      <c r="G11" s="406"/>
      <c r="H11" s="406">
        <v>968110787</v>
      </c>
      <c r="I11" s="407"/>
    </row>
    <row r="12" spans="4:10" ht="18" customHeight="1">
      <c r="D12" s="404" t="s">
        <v>387</v>
      </c>
      <c r="E12" s="405" t="s">
        <v>387</v>
      </c>
      <c r="F12" s="406">
        <f>ROUND(SUMIF('CF(공)_1.0'!$E:$E,'CF(공)_2.0'!E12,'CF(공)_1.0'!$F:$F),0)</f>
        <v>7923879010</v>
      </c>
      <c r="G12" s="406"/>
      <c r="H12" s="406">
        <v>6624197748</v>
      </c>
      <c r="I12" s="407"/>
    </row>
    <row r="13" spans="4:10" ht="18" customHeight="1">
      <c r="D13" s="404" t="s">
        <v>765</v>
      </c>
      <c r="E13" s="405" t="s">
        <v>765</v>
      </c>
      <c r="F13" s="406">
        <f>ROUND(SUMIF('CF(공)_1.0'!$E:$E,'CF(공)_2.0'!E13,'CF(공)_1.0'!$F:$F),0)</f>
        <v>674683389</v>
      </c>
      <c r="G13" s="406"/>
      <c r="H13" s="406">
        <v>0</v>
      </c>
      <c r="I13" s="407"/>
    </row>
    <row r="14" spans="4:10" ht="18" customHeight="1">
      <c r="D14" s="404" t="s">
        <v>1471</v>
      </c>
      <c r="E14" s="405" t="s">
        <v>1471</v>
      </c>
      <c r="F14" s="406">
        <f>ROUND(SUMIF('CF(공)_1.0'!$E:$E,'CF(공)_2.0'!E14,'CF(공)_1.0'!$F:$F),0)</f>
        <v>370148656</v>
      </c>
      <c r="G14" s="406"/>
      <c r="H14" s="406">
        <v>650257159</v>
      </c>
      <c r="I14" s="407"/>
    </row>
    <row r="15" spans="4:10" ht="18" customHeight="1">
      <c r="D15" s="404" t="s">
        <v>1938</v>
      </c>
      <c r="E15" s="405" t="s">
        <v>1938</v>
      </c>
      <c r="F15" s="406">
        <f>ROUND(SUMIF('CF(공)_1.0'!$E:$E,'CF(공)_2.0'!E15,'CF(공)_1.0'!$F:$F),0)</f>
        <v>0</v>
      </c>
      <c r="G15" s="406"/>
      <c r="H15" s="406">
        <v>0</v>
      </c>
      <c r="I15" s="407"/>
    </row>
    <row r="16" spans="4:10" ht="18" customHeight="1">
      <c r="D16" s="404" t="s">
        <v>1469</v>
      </c>
      <c r="E16" s="405" t="s">
        <v>1469</v>
      </c>
      <c r="F16" s="406">
        <f>ROUND(SUMIF('CF(공)_1.0'!$E:$E,'CF(공)_2.0'!E16,'CF(공)_1.0'!$F:$F),0)</f>
        <v>0</v>
      </c>
      <c r="G16" s="406"/>
      <c r="H16" s="406">
        <v>0</v>
      </c>
      <c r="I16" s="407"/>
    </row>
    <row r="17" spans="4:9" ht="18" customHeight="1">
      <c r="D17" s="404" t="s">
        <v>1470</v>
      </c>
      <c r="E17" s="405" t="s">
        <v>1470</v>
      </c>
      <c r="F17" s="406">
        <f>ROUND(SUMIF('CF(공)_1.0'!$E:$E,'CF(공)_2.0'!E17,'CF(공)_1.0'!$F:$F),0)</f>
        <v>-126485643</v>
      </c>
      <c r="G17" s="406"/>
      <c r="H17" s="406">
        <v>0</v>
      </c>
      <c r="I17" s="407"/>
    </row>
    <row r="18" spans="4:9" ht="18" customHeight="1">
      <c r="D18" s="404" t="s">
        <v>1472</v>
      </c>
      <c r="E18" s="405" t="s">
        <v>1472</v>
      </c>
      <c r="F18" s="406">
        <f>ROUND(SUMIF('CF(공)_1.0'!$E:$E,'CF(공)_2.0'!E18,'CF(공)_1.0'!$F:$F),0)</f>
        <v>3259565</v>
      </c>
      <c r="G18" s="406"/>
      <c r="H18" s="406">
        <v>7832710</v>
      </c>
      <c r="I18" s="407"/>
    </row>
    <row r="19" spans="4:9" ht="18" customHeight="1">
      <c r="D19" s="404" t="s">
        <v>1885</v>
      </c>
      <c r="E19" s="405" t="s">
        <v>1885</v>
      </c>
      <c r="F19" s="406">
        <f>ROUND(SUMIF('CF(공)_1.0'!$E:$E,'CF(공)_2.0'!E19,'CF(공)_1.0'!$F:$F),0)</f>
        <v>0</v>
      </c>
      <c r="G19" s="406"/>
      <c r="H19" s="406">
        <v>0</v>
      </c>
      <c r="I19" s="407"/>
    </row>
    <row r="20" spans="4:9" ht="18" customHeight="1">
      <c r="D20" s="404" t="s">
        <v>745</v>
      </c>
      <c r="E20" s="405" t="s">
        <v>745</v>
      </c>
      <c r="F20" s="406">
        <f>ROUND(SUMIF('CF(공)_1.0'!$E:$E,'CF(공)_2.0'!E20,'CF(공)_1.0'!$F:$F),0)</f>
        <v>11063844077</v>
      </c>
      <c r="G20" s="406"/>
      <c r="H20" s="406">
        <v>3018808147</v>
      </c>
      <c r="I20" s="407"/>
    </row>
    <row r="21" spans="4:9" ht="18" customHeight="1">
      <c r="D21" s="404" t="s">
        <v>686</v>
      </c>
      <c r="E21" s="405" t="s">
        <v>686</v>
      </c>
      <c r="F21" s="406">
        <f>ROUND(SUMIF('CF(공)_1.0'!$E:$E,'CF(공)_2.0'!E21,'CF(공)_1.0'!$F:$F),0)</f>
        <v>533101318</v>
      </c>
      <c r="G21" s="406"/>
      <c r="H21" s="406">
        <v>421425170</v>
      </c>
      <c r="I21" s="407"/>
    </row>
    <row r="22" spans="4:9" ht="18" customHeight="1">
      <c r="D22" s="404" t="s">
        <v>688</v>
      </c>
      <c r="E22" s="405" t="s">
        <v>688</v>
      </c>
      <c r="F22" s="406">
        <f>ROUND(SUMIF('CF(공)_1.0'!$E:$E,'CF(공)_2.0'!E22,'CF(공)_1.0'!$F:$F),0)</f>
        <v>409104361</v>
      </c>
      <c r="G22" s="406"/>
      <c r="H22" s="406">
        <v>120370359</v>
      </c>
      <c r="I22" s="407"/>
    </row>
    <row r="23" spans="4:9" ht="18" customHeight="1">
      <c r="D23" s="404" t="s">
        <v>739</v>
      </c>
      <c r="E23" s="405" t="s">
        <v>739</v>
      </c>
      <c r="F23" s="406">
        <f>ROUND(SUMIF('CF(공)_1.0'!$E:$E,'CF(공)_2.0'!E23,'CF(공)_1.0'!$F:$F),0)</f>
        <v>127467924</v>
      </c>
      <c r="G23" s="406"/>
      <c r="H23" s="406">
        <v>0</v>
      </c>
      <c r="I23" s="407"/>
    </row>
    <row r="24" spans="4:9" ht="18" customHeight="1">
      <c r="D24" s="404" t="s">
        <v>741</v>
      </c>
      <c r="E24" s="405" t="s">
        <v>741</v>
      </c>
      <c r="F24" s="406">
        <f>ROUND(SUMIF('CF(공)_1.0'!$E:$E,'CF(공)_2.0'!E24,'CF(공)_1.0'!$F:$F),0)</f>
        <v>15979275</v>
      </c>
      <c r="G24" s="406"/>
      <c r="H24" s="406">
        <v>0</v>
      </c>
      <c r="I24" s="407"/>
    </row>
    <row r="25" spans="4:9" ht="18" customHeight="1">
      <c r="D25" s="404" t="s">
        <v>691</v>
      </c>
      <c r="E25" s="405" t="s">
        <v>691</v>
      </c>
      <c r="F25" s="406">
        <f>ROUND(SUMIF('CF(공)_1.0'!$E:$E,'CF(공)_2.0'!E25,'CF(공)_1.0'!$F:$F),0)</f>
        <v>21824681843</v>
      </c>
      <c r="G25" s="406"/>
      <c r="H25" s="406">
        <v>18961996554</v>
      </c>
      <c r="I25" s="407"/>
    </row>
    <row r="26" spans="4:9" ht="18" customHeight="1">
      <c r="D26" s="404" t="s">
        <v>483</v>
      </c>
      <c r="E26" s="405" t="s">
        <v>483</v>
      </c>
      <c r="F26" s="406">
        <f>ROUND(SUMIF('CF(공)_1.0'!$E:$E,'CF(공)_2.0'!E26,'CF(공)_1.0'!$F:$F),0)</f>
        <v>0</v>
      </c>
      <c r="G26" s="406"/>
      <c r="H26" s="406">
        <v>27763957</v>
      </c>
      <c r="I26" s="407"/>
    </row>
    <row r="27" spans="4:9" ht="18" customHeight="1">
      <c r="D27" s="404" t="s">
        <v>692</v>
      </c>
      <c r="E27" s="405" t="s">
        <v>692</v>
      </c>
      <c r="F27" s="406">
        <f>ROUND(SUMIF('CF(공)_1.0'!$E:$E,'CF(공)_2.0'!E27,'CF(공)_1.0'!$F:$F),0)</f>
        <v>25430480</v>
      </c>
      <c r="G27" s="406"/>
      <c r="H27" s="406">
        <v>8137014</v>
      </c>
      <c r="I27" s="407"/>
    </row>
    <row r="28" spans="4:9" ht="18" customHeight="1">
      <c r="D28" s="404" t="s">
        <v>678</v>
      </c>
      <c r="E28" s="405" t="s">
        <v>678</v>
      </c>
      <c r="F28" s="406">
        <f>ROUND(SUMIF('CF(공)_1.0'!$E:$E,'CF(공)_2.0'!E28,'CF(공)_1.0'!$F:$F),0)</f>
        <v>-1373387026</v>
      </c>
      <c r="G28" s="406"/>
      <c r="H28" s="406">
        <v>-924728239</v>
      </c>
      <c r="I28" s="407"/>
    </row>
    <row r="29" spans="4:9" ht="18" customHeight="1">
      <c r="D29" s="404" t="s">
        <v>680</v>
      </c>
      <c r="E29" s="405" t="s">
        <v>680</v>
      </c>
      <c r="F29" s="406">
        <f>ROUND(SUMIF('CF(공)_1.0'!$E:$E,'CF(공)_2.0'!E29,'CF(공)_1.0'!$F:$F),0)</f>
        <v>-102383090</v>
      </c>
      <c r="G29" s="406"/>
      <c r="H29" s="406">
        <v>-336870792</v>
      </c>
      <c r="I29" s="407"/>
    </row>
    <row r="30" spans="4:9" ht="18" customHeight="1">
      <c r="D30" s="404" t="s">
        <v>888</v>
      </c>
      <c r="E30" s="405" t="s">
        <v>888</v>
      </c>
      <c r="F30" s="406">
        <f>ROUND(SUMIF('CF(공)_1.0'!$E:$E,'CF(공)_2.0'!E30,'CF(공)_1.0'!$F:$F),0)</f>
        <v>0</v>
      </c>
      <c r="G30" s="406"/>
      <c r="H30" s="406">
        <v>0</v>
      </c>
      <c r="I30" s="407"/>
    </row>
    <row r="31" spans="4:9" ht="18" customHeight="1">
      <c r="D31" s="404" t="s">
        <v>1473</v>
      </c>
      <c r="E31" s="405" t="s">
        <v>1473</v>
      </c>
      <c r="F31" s="406">
        <f>ROUND(SUMIF('CF(공)_1.0'!$E:$E,'CF(공)_2.0'!E31,'CF(공)_1.0'!$F:$F),0)</f>
        <v>-30066519</v>
      </c>
      <c r="G31" s="406"/>
      <c r="H31" s="406">
        <v>-46435516</v>
      </c>
      <c r="I31" s="407"/>
    </row>
    <row r="32" spans="4:9" ht="18" customHeight="1">
      <c r="D32" s="404" t="s">
        <v>1474</v>
      </c>
      <c r="E32" s="405" t="s">
        <v>1474</v>
      </c>
      <c r="F32" s="406">
        <f>ROUND(SUMIF('CF(공)_1.0'!$E:$E,'CF(공)_2.0'!E32,'CF(공)_1.0'!$F:$F),0)</f>
        <v>-10629611</v>
      </c>
      <c r="G32" s="406"/>
      <c r="H32" s="406">
        <v>-3474243</v>
      </c>
      <c r="I32" s="407"/>
    </row>
    <row r="33" spans="4:9" ht="18" customHeight="1">
      <c r="D33" s="404" t="s">
        <v>1475</v>
      </c>
      <c r="E33" s="405" t="s">
        <v>1475</v>
      </c>
      <c r="F33" s="406">
        <f>ROUND(SUMIF('CF(공)_1.0'!$E:$E,'CF(공)_2.0'!E33,'CF(공)_1.0'!$F:$F),0)</f>
        <v>0</v>
      </c>
      <c r="G33" s="406"/>
      <c r="H33" s="406">
        <v>21976536</v>
      </c>
      <c r="I33" s="407"/>
    </row>
    <row r="34" spans="4:9" ht="18" customHeight="1">
      <c r="D34" s="404" t="s">
        <v>683</v>
      </c>
      <c r="E34" s="405" t="s">
        <v>683</v>
      </c>
      <c r="F34" s="406">
        <f>ROUND(SUMIF('CF(공)_1.0'!$E:$E,'CF(공)_2.0'!E34,'CF(공)_1.0'!$F:$F),0)</f>
        <v>-221590</v>
      </c>
      <c r="G34" s="406"/>
      <c r="H34" s="406">
        <v>-6012061</v>
      </c>
      <c r="I34" s="407"/>
    </row>
    <row r="35" spans="4:9" ht="18" customHeight="1">
      <c r="D35" s="404" t="s">
        <v>684</v>
      </c>
      <c r="E35" s="405" t="s">
        <v>684</v>
      </c>
      <c r="F35" s="406">
        <f>ROUND(SUMIF('CF(공)_1.0'!$E:$E,'CF(공)_2.0'!E35,'CF(공)_1.0'!$F:$F),0)</f>
        <v>0</v>
      </c>
      <c r="G35" s="406"/>
      <c r="H35" s="406">
        <v>-6897512</v>
      </c>
      <c r="I35" s="407"/>
    </row>
    <row r="36" spans="4:9" ht="18" customHeight="1">
      <c r="D36" s="404" t="s">
        <v>1880</v>
      </c>
      <c r="E36" s="405" t="s">
        <v>1880</v>
      </c>
      <c r="F36" s="406">
        <f>ROUND(SUMIF('CF(공)_1.0'!$E:$E,'CF(공)_2.0'!E36,'CF(공)_1.0'!$F:$F),0)</f>
        <v>798641919</v>
      </c>
      <c r="G36" s="406"/>
      <c r="H36" s="406">
        <v>0</v>
      </c>
      <c r="I36" s="407"/>
    </row>
    <row r="37" spans="4:9" ht="18" customHeight="1">
      <c r="D37" s="404" t="s">
        <v>1530</v>
      </c>
      <c r="E37" s="405" t="s">
        <v>1530</v>
      </c>
      <c r="F37" s="406">
        <f>ROUND(SUMIF('CF(공)_1.0'!$E:$E,'CF(공)_2.0'!E37,'CF(공)_1.0'!$F:$F),0)</f>
        <v>0</v>
      </c>
      <c r="G37" s="406"/>
      <c r="H37" s="406">
        <v>-1000000000</v>
      </c>
      <c r="I37" s="407"/>
    </row>
    <row r="38" spans="4:9" s="29" customFormat="1" ht="18" customHeight="1">
      <c r="D38" s="400" t="s">
        <v>1476</v>
      </c>
      <c r="E38" s="401"/>
      <c r="F38" s="402">
        <f>SUM(F39:F48)</f>
        <v>-837383424</v>
      </c>
      <c r="G38" s="402"/>
      <c r="H38" s="402">
        <f>SUM(H39:H48)</f>
        <v>5171313391</v>
      </c>
      <c r="I38" s="403"/>
    </row>
    <row r="39" spans="4:9" ht="18" customHeight="1">
      <c r="D39" s="404" t="s">
        <v>1477</v>
      </c>
      <c r="E39" s="405" t="s">
        <v>1477</v>
      </c>
      <c r="F39" s="406">
        <f>ROUND(SUMIF('CF(공)_1.0'!$E:$E,'CF(공)_2.0'!E39,'CF(공)_1.0'!$F:$F),0)</f>
        <v>-7539631953</v>
      </c>
      <c r="G39" s="406"/>
      <c r="H39" s="406">
        <v>-9662593697</v>
      </c>
      <c r="I39" s="407"/>
    </row>
    <row r="40" spans="4:9" ht="18" customHeight="1">
      <c r="D40" s="404" t="s">
        <v>1478</v>
      </c>
      <c r="E40" s="405" t="s">
        <v>1478</v>
      </c>
      <c r="F40" s="406">
        <f>ROUND(SUMIF('CF(공)_1.0'!$E:$E,'CF(공)_2.0'!E40,'CF(공)_1.0'!$F:$F),0)</f>
        <v>-5385279428</v>
      </c>
      <c r="G40" s="406"/>
      <c r="H40" s="406">
        <v>-4567827388</v>
      </c>
      <c r="I40" s="407"/>
    </row>
    <row r="41" spans="4:9" ht="18" customHeight="1">
      <c r="D41" s="404" t="s">
        <v>1479</v>
      </c>
      <c r="E41" s="405" t="s">
        <v>1479</v>
      </c>
      <c r="F41" s="406">
        <f>ROUND(SUMIF('CF(공)_1.0'!$E:$E,'CF(공)_2.0'!E41,'CF(공)_1.0'!$F:$F),0)</f>
        <v>1812955479</v>
      </c>
      <c r="G41" s="406"/>
      <c r="H41" s="406">
        <v>120496256</v>
      </c>
      <c r="I41" s="407"/>
    </row>
    <row r="42" spans="4:9" ht="18" customHeight="1">
      <c r="D42" s="404" t="s">
        <v>1480</v>
      </c>
      <c r="E42" s="405" t="s">
        <v>1480</v>
      </c>
      <c r="F42" s="406">
        <f>ROUND(SUMIF('CF(공)_1.0'!$E:$E,'CF(공)_2.0'!E42,'CF(공)_1.0'!$F:$F),0)</f>
        <v>-2405454959</v>
      </c>
      <c r="G42" s="406"/>
      <c r="H42" s="406">
        <v>-4423441156</v>
      </c>
      <c r="I42" s="407"/>
    </row>
    <row r="43" spans="4:9" ht="18" customHeight="1">
      <c r="D43" s="404" t="s">
        <v>1968</v>
      </c>
      <c r="E43" s="405" t="s">
        <v>1968</v>
      </c>
      <c r="F43" s="406">
        <f>ROUND(SUMIF('CF(공)_1.0'!$E:$E,'CF(공)_2.0'!E43,'CF(공)_1.0'!$F:$F),0)</f>
        <v>-300136621</v>
      </c>
      <c r="G43" s="406"/>
      <c r="H43" s="406"/>
      <c r="I43" s="407"/>
    </row>
    <row r="44" spans="4:9" ht="18" customHeight="1">
      <c r="D44" s="404" t="s">
        <v>1816</v>
      </c>
      <c r="E44" s="405" t="s">
        <v>1816</v>
      </c>
      <c r="F44" s="406">
        <f>ROUND(SUMIF('CF(공)_1.0'!$E:$E,'CF(공)_2.0'!E44,'CF(공)_1.0'!$F:$F),0)</f>
        <v>-129134010</v>
      </c>
      <c r="G44" s="406"/>
      <c r="H44" s="406" t="s">
        <v>616</v>
      </c>
      <c r="I44" s="407"/>
    </row>
    <row r="45" spans="4:9" ht="18" customHeight="1">
      <c r="D45" s="404" t="s">
        <v>1481</v>
      </c>
      <c r="E45" s="405" t="s">
        <v>1481</v>
      </c>
      <c r="F45" s="406">
        <f>ROUND(SUMIF('CF(공)_1.0'!$E:$E,'CF(공)_2.0'!E45,'CF(공)_1.0'!$F:$F),0)</f>
        <v>14516220107</v>
      </c>
      <c r="G45" s="406"/>
      <c r="H45" s="406">
        <v>10560214059</v>
      </c>
      <c r="I45" s="407"/>
    </row>
    <row r="46" spans="4:9" ht="18" customHeight="1">
      <c r="D46" s="404" t="s">
        <v>1482</v>
      </c>
      <c r="E46" s="405" t="s">
        <v>1482</v>
      </c>
      <c r="F46" s="406">
        <f>ROUND(SUMIF('CF(공)_1.0'!$E:$E,'CF(공)_2.0'!E46,'CF(공)_1.0'!$F:$F),0)</f>
        <v>2404203858</v>
      </c>
      <c r="G46" s="406"/>
      <c r="H46" s="406">
        <v>2463385876</v>
      </c>
      <c r="I46" s="407"/>
    </row>
    <row r="47" spans="4:9" ht="18" customHeight="1">
      <c r="D47" s="404" t="s">
        <v>1483</v>
      </c>
      <c r="E47" s="405" t="s">
        <v>1483</v>
      </c>
      <c r="F47" s="406">
        <f>ROUND(SUMIF('CF(공)_1.0'!$E:$E,'CF(공)_2.0'!E47,'CF(공)_1.0'!$F:$F),0)</f>
        <v>-2594881411</v>
      </c>
      <c r="G47" s="406"/>
      <c r="H47" s="406">
        <v>12005959229</v>
      </c>
      <c r="I47" s="407"/>
    </row>
    <row r="48" spans="4:9" ht="18" customHeight="1">
      <c r="D48" s="404" t="s">
        <v>1485</v>
      </c>
      <c r="E48" s="405" t="s">
        <v>1485</v>
      </c>
      <c r="F48" s="406">
        <f>ROUND(SUMIF('CF(공)_1.0'!$E:$E,'CF(공)_2.0'!E48,'CF(공)_1.0'!$F:$F),0)</f>
        <v>-1216244486</v>
      </c>
      <c r="G48" s="406"/>
      <c r="H48" s="406">
        <v>-1324879788</v>
      </c>
      <c r="I48" s="407"/>
    </row>
    <row r="49" spans="4:10" ht="18" customHeight="1">
      <c r="D49" s="396" t="s">
        <v>1437</v>
      </c>
      <c r="E49" s="397" t="s">
        <v>1014</v>
      </c>
      <c r="F49" s="398">
        <f>'CF(공)_1.0'!F52</f>
        <v>1450087305</v>
      </c>
      <c r="G49" s="398"/>
      <c r="H49" s="398">
        <v>768265231</v>
      </c>
      <c r="I49" s="399"/>
    </row>
    <row r="50" spans="4:10" ht="18" customHeight="1">
      <c r="D50" s="396" t="s">
        <v>1438</v>
      </c>
      <c r="E50" s="397" t="s">
        <v>1016</v>
      </c>
      <c r="F50" s="398">
        <f>'CF(공)_1.0'!F53</f>
        <v>-46867293</v>
      </c>
      <c r="G50" s="398"/>
      <c r="H50" s="398">
        <v>-75990852</v>
      </c>
      <c r="I50" s="399"/>
    </row>
    <row r="51" spans="4:10" ht="18" customHeight="1">
      <c r="D51" s="396" t="s">
        <v>1439</v>
      </c>
      <c r="E51" s="397" t="s">
        <v>1018</v>
      </c>
      <c r="F51" s="398">
        <f>'CF(공)_1.0'!F54</f>
        <v>-870491738</v>
      </c>
      <c r="G51" s="398"/>
      <c r="H51" s="398">
        <v>-1045098540</v>
      </c>
      <c r="I51" s="399"/>
    </row>
    <row r="52" spans="4:10" s="29" customFormat="1" ht="18" customHeight="1">
      <c r="D52" s="392" t="s">
        <v>1440</v>
      </c>
      <c r="E52" s="393"/>
      <c r="F52" s="394"/>
      <c r="G52" s="394">
        <f>SUM(F53,F59)</f>
        <v>-2595990545</v>
      </c>
      <c r="H52" s="394"/>
      <c r="I52" s="395">
        <f>SUM(H53,H59)</f>
        <v>-10169433987</v>
      </c>
      <c r="J52" s="206" t="b">
        <f>G52-'CF(공)_1.0'!F55=0</f>
        <v>1</v>
      </c>
    </row>
    <row r="53" spans="4:10" s="29" customFormat="1" ht="18" customHeight="1">
      <c r="D53" s="400" t="s">
        <v>1486</v>
      </c>
      <c r="E53" s="401"/>
      <c r="F53" s="402">
        <f>SUM(F54:F58)</f>
        <v>5567041599</v>
      </c>
      <c r="G53" s="402"/>
      <c r="H53" s="402">
        <f>SUM(H54:H58)</f>
        <v>61819543667</v>
      </c>
      <c r="I53" s="403"/>
    </row>
    <row r="54" spans="4:10" ht="18" customHeight="1">
      <c r="D54" s="404" t="s">
        <v>1383</v>
      </c>
      <c r="E54" s="405" t="s">
        <v>1383</v>
      </c>
      <c r="F54" s="406">
        <f>ROUND(SUMIF('CF(공)_1.0'!$E:$E,'CF(공)_2.0'!E54,'CF(공)_1.0'!$F:$F),0)</f>
        <v>171745000</v>
      </c>
      <c r="G54" s="406"/>
      <c r="H54" s="406">
        <v>196574806</v>
      </c>
      <c r="I54" s="407"/>
    </row>
    <row r="55" spans="4:10" ht="18" customHeight="1">
      <c r="D55" s="404" t="s">
        <v>1386</v>
      </c>
      <c r="E55" s="405" t="s">
        <v>1386</v>
      </c>
      <c r="F55" s="406">
        <f>ROUND(SUMIF('CF(공)_1.0'!$E:$E,'CF(공)_2.0'!E55,'CF(공)_1.0'!$F:$F),0)</f>
        <v>726000</v>
      </c>
      <c r="G55" s="406"/>
      <c r="H55" s="406">
        <v>18000000</v>
      </c>
      <c r="I55" s="407"/>
    </row>
    <row r="56" spans="4:10" ht="18" customHeight="1">
      <c r="D56" s="404" t="s">
        <v>1489</v>
      </c>
      <c r="E56" s="405" t="s">
        <v>1489</v>
      </c>
      <c r="F56" s="406">
        <f>ROUND(SUMIF('CF(공)_1.0'!$E:$E,'CF(공)_2.0'!E56,'CF(공)_1.0'!$F:$F),0)</f>
        <v>5388699833</v>
      </c>
      <c r="G56" s="406"/>
      <c r="H56" s="406">
        <v>61586457593</v>
      </c>
      <c r="I56" s="407"/>
    </row>
    <row r="57" spans="4:10" ht="18" customHeight="1">
      <c r="D57" s="404" t="s">
        <v>1490</v>
      </c>
      <c r="E57" s="405" t="s">
        <v>1490</v>
      </c>
      <c r="F57" s="406">
        <f>ROUND(SUMIF('CF(공)_1.0'!$E:$E,'CF(공)_2.0'!E57,'CF(공)_1.0'!$F:$F),0)</f>
        <v>5870766</v>
      </c>
      <c r="G57" s="406"/>
      <c r="H57" s="406">
        <v>9545268</v>
      </c>
      <c r="I57" s="407"/>
    </row>
    <row r="58" spans="4:10" ht="18" customHeight="1">
      <c r="D58" s="404" t="s">
        <v>1491</v>
      </c>
      <c r="E58" s="405" t="s">
        <v>1491</v>
      </c>
      <c r="F58" s="406">
        <v>0</v>
      </c>
      <c r="G58" s="406"/>
      <c r="H58" s="406">
        <v>8966000</v>
      </c>
      <c r="I58" s="407"/>
    </row>
    <row r="59" spans="4:10" s="29" customFormat="1" ht="18" customHeight="1">
      <c r="D59" s="400" t="s">
        <v>1493</v>
      </c>
      <c r="E59" s="401"/>
      <c r="F59" s="402">
        <f>-SUM(F60:F71)</f>
        <v>-8163032144</v>
      </c>
      <c r="G59" s="402"/>
      <c r="H59" s="402">
        <f>-SUM(H60:H71)</f>
        <v>-71988977654</v>
      </c>
      <c r="I59" s="403"/>
    </row>
    <row r="60" spans="4:10" ht="18" customHeight="1">
      <c r="D60" s="404" t="s">
        <v>1382</v>
      </c>
      <c r="E60" s="405" t="s">
        <v>1382</v>
      </c>
      <c r="F60" s="406">
        <f>-ROUND(SUMIF('CF(공)_1.0'!$E:$E,'CF(공)_2.0'!E60,'CF(공)_1.0'!$F:$F),0)</f>
        <v>317188000</v>
      </c>
      <c r="G60" s="406"/>
      <c r="H60" s="406">
        <v>20379757</v>
      </c>
      <c r="I60" s="407"/>
    </row>
    <row r="61" spans="4:10" ht="18" customHeight="1">
      <c r="D61" s="404" t="s">
        <v>1533</v>
      </c>
      <c r="E61" s="405" t="s">
        <v>1533</v>
      </c>
      <c r="F61" s="406">
        <f>-ROUND(SUMIF('CF(공)_1.0'!$E:$E,'CF(공)_2.0'!E61,'CF(공)_1.0'!$F:$F),0)</f>
        <v>105000000</v>
      </c>
      <c r="G61" s="406"/>
      <c r="H61" s="406"/>
      <c r="I61" s="407"/>
    </row>
    <row r="62" spans="4:10" ht="18" customHeight="1">
      <c r="D62" s="404" t="s">
        <v>1143</v>
      </c>
      <c r="E62" s="405" t="s">
        <v>1143</v>
      </c>
      <c r="F62" s="406">
        <f>-ROUND(SUMIF('CF(공)_1.0'!$E:$E,'CF(공)_2.0'!E62,'CF(공)_1.0'!$F:$F),0)</f>
        <v>352599000</v>
      </c>
      <c r="G62" s="406"/>
      <c r="H62" s="406"/>
      <c r="I62" s="407"/>
    </row>
    <row r="63" spans="4:10" ht="18" customHeight="1">
      <c r="D63" s="404" t="s">
        <v>1826</v>
      </c>
      <c r="E63" s="405" t="s">
        <v>1826</v>
      </c>
      <c r="F63" s="406">
        <f>-ROUND(SUMIF('CF(공)_1.0'!$E:$E,'CF(공)_2.0'!E63,'CF(공)_1.0'!$F:$F),0)</f>
        <v>0</v>
      </c>
      <c r="G63" s="406"/>
      <c r="H63" s="406"/>
      <c r="I63" s="407"/>
    </row>
    <row r="64" spans="4:10" s="233" customFormat="1" ht="18" customHeight="1">
      <c r="D64" s="840" t="s">
        <v>1982</v>
      </c>
      <c r="E64" s="841" t="s">
        <v>1982</v>
      </c>
      <c r="F64" s="842">
        <f>-ROUND(SUMIF('CF(공)_1.0'!$E:$E,'CF(공)_2.0'!E64,'CF(공)_1.0'!$F:$F),0)</f>
        <v>0</v>
      </c>
      <c r="G64" s="842"/>
      <c r="H64" s="842"/>
      <c r="I64" s="843"/>
    </row>
    <row r="65" spans="4:10" ht="18" customHeight="1">
      <c r="D65" s="404" t="s">
        <v>1495</v>
      </c>
      <c r="E65" s="405" t="s">
        <v>1495</v>
      </c>
      <c r="F65" s="406">
        <f>-ROUND(SUMIF('CF(공)_1.0'!$E:$E,'CF(공)_2.0'!E65,'CF(공)_1.0'!$F:$F),0)</f>
        <v>0</v>
      </c>
      <c r="G65" s="406"/>
      <c r="H65" s="406">
        <v>47900002834</v>
      </c>
      <c r="I65" s="407"/>
    </row>
    <row r="66" spans="4:10" ht="18" customHeight="1">
      <c r="D66" s="404" t="s">
        <v>1537</v>
      </c>
      <c r="E66" s="405" t="s">
        <v>1537</v>
      </c>
      <c r="F66" s="406">
        <f>-ROUND(SUMIF('CF(공)_1.0'!$E:$E,'CF(공)_2.0'!E66,'CF(공)_1.0'!$F:$F),0)</f>
        <v>0</v>
      </c>
      <c r="G66" s="406"/>
      <c r="H66" s="406">
        <v>1211867769</v>
      </c>
      <c r="I66" s="407"/>
    </row>
    <row r="67" spans="4:10" ht="18" customHeight="1">
      <c r="D67" s="404" t="s">
        <v>1876</v>
      </c>
      <c r="E67" s="405" t="s">
        <v>1876</v>
      </c>
      <c r="F67" s="406">
        <f>-ROUND(SUMIF('CF(공)_1.0'!$E:$E,'CF(공)_2.0'!E67,'CF(공)_1.0'!$F:$F),0)</f>
        <v>926598559</v>
      </c>
      <c r="G67" s="406"/>
      <c r="H67" s="406"/>
      <c r="I67" s="407"/>
    </row>
    <row r="68" spans="4:10" ht="18" customHeight="1">
      <c r="D68" s="404" t="s">
        <v>1497</v>
      </c>
      <c r="E68" s="405" t="s">
        <v>1497</v>
      </c>
      <c r="F68" s="406">
        <f>-ROUND(SUMIF('CF(공)_1.0'!$E:$E,'CF(공)_2.0'!E68,'CF(공)_1.0'!$F:$F),0)</f>
        <v>957015654</v>
      </c>
      <c r="G68" s="406"/>
      <c r="H68" s="406">
        <v>1999782244</v>
      </c>
      <c r="I68" s="407"/>
    </row>
    <row r="69" spans="4:10" ht="18" customHeight="1">
      <c r="D69" s="404" t="s">
        <v>1498</v>
      </c>
      <c r="E69" s="405" t="s">
        <v>1498</v>
      </c>
      <c r="F69" s="406">
        <f>-ROUND(SUMIF('CF(공)_1.0'!$E:$E,'CF(공)_2.0'!E69,'CF(공)_1.0'!$F:$F),0)</f>
        <v>4704630931</v>
      </c>
      <c r="G69" s="406"/>
      <c r="H69" s="406">
        <v>17536945050</v>
      </c>
      <c r="I69" s="407"/>
    </row>
    <row r="70" spans="4:10" ht="18" customHeight="1">
      <c r="D70" s="404" t="s">
        <v>1535</v>
      </c>
      <c r="E70" s="405" t="s">
        <v>1535</v>
      </c>
      <c r="F70" s="406">
        <f>-ROUND(SUMIF('CF(공)_1.0'!$E:$E,'CF(공)_2.0'!E70,'CF(공)_1.0'!$F:$F),0)</f>
        <v>800000000</v>
      </c>
      <c r="G70" s="406"/>
      <c r="H70" s="406">
        <v>3320000000</v>
      </c>
      <c r="I70" s="407"/>
    </row>
    <row r="71" spans="4:10" ht="18" customHeight="1">
      <c r="D71" s="404" t="s">
        <v>1886</v>
      </c>
      <c r="E71" s="405" t="s">
        <v>1886</v>
      </c>
      <c r="F71" s="406">
        <v>0</v>
      </c>
      <c r="G71" s="406"/>
      <c r="H71" s="406"/>
      <c r="I71" s="407"/>
    </row>
    <row r="72" spans="4:10" s="29" customFormat="1" ht="18" customHeight="1">
      <c r="D72" s="392" t="s">
        <v>1458</v>
      </c>
      <c r="E72" s="393"/>
      <c r="F72" s="394"/>
      <c r="G72" s="394">
        <f>SUM(F73,F75)</f>
        <v>-2965409032</v>
      </c>
      <c r="H72" s="394"/>
      <c r="I72" s="395">
        <f>SUM(H73,H75)</f>
        <v>68471782850</v>
      </c>
      <c r="J72" s="29" t="b">
        <f>'CF(공)_1.0'!F80=G72</f>
        <v>1</v>
      </c>
    </row>
    <row r="73" spans="4:10" s="29" customFormat="1" ht="18" customHeight="1">
      <c r="D73" s="400" t="s">
        <v>1499</v>
      </c>
      <c r="E73" s="401"/>
      <c r="F73" s="402">
        <f>F74</f>
        <v>0</v>
      </c>
      <c r="G73" s="402"/>
      <c r="H73" s="402">
        <f>H74</f>
        <v>69971782850</v>
      </c>
      <c r="I73" s="403"/>
    </row>
    <row r="74" spans="4:10" ht="18" customHeight="1">
      <c r="D74" s="404" t="s">
        <v>537</v>
      </c>
      <c r="E74" s="405" t="s">
        <v>537</v>
      </c>
      <c r="F74" s="406">
        <f>ROUND(SUMIF('CF(공)_1.0'!$E:$E,'CF(공)_2.0'!E74,'CF(공)_1.0'!$F:$F),0)</f>
        <v>0</v>
      </c>
      <c r="G74" s="406"/>
      <c r="H74" s="406">
        <v>69971782850</v>
      </c>
      <c r="I74" s="407"/>
    </row>
    <row r="75" spans="4:10" s="29" customFormat="1" ht="18" customHeight="1">
      <c r="D75" s="400" t="s">
        <v>1500</v>
      </c>
      <c r="E75" s="401"/>
      <c r="F75" s="402">
        <f>-SUM(F76:F79)</f>
        <v>-2965409032</v>
      </c>
      <c r="G75" s="402"/>
      <c r="H75" s="402">
        <f>-SUM(H76:H79)</f>
        <v>-1500000000</v>
      </c>
      <c r="I75" s="403"/>
    </row>
    <row r="76" spans="4:10" ht="18" customHeight="1">
      <c r="D76" s="404" t="s">
        <v>1302</v>
      </c>
      <c r="E76" s="405" t="s">
        <v>1302</v>
      </c>
      <c r="F76" s="406">
        <f>-ROUND(SUMIF('CF(공)_1.0'!$E:$E,'CF(공)_2.0'!E76,'CF(공)_1.0'!$F:$F),0)</f>
        <v>0</v>
      </c>
      <c r="G76" s="406"/>
      <c r="H76" s="406"/>
      <c r="I76" s="407"/>
    </row>
    <row r="77" spans="4:10" ht="18" customHeight="1">
      <c r="D77" s="404" t="s">
        <v>1288</v>
      </c>
      <c r="E77" s="405" t="s">
        <v>1288</v>
      </c>
      <c r="F77" s="406">
        <f>-ROUND(SUMIF('CF(공)_1.0'!$E:$E,'CF(공)_2.0'!E77,'CF(공)_1.0'!$F:$F),0)</f>
        <v>465735790</v>
      </c>
      <c r="G77" s="406"/>
      <c r="H77" s="406">
        <v>1500000000</v>
      </c>
      <c r="I77" s="407"/>
    </row>
    <row r="78" spans="4:10" ht="18" customHeight="1">
      <c r="D78" s="404" t="s">
        <v>1822</v>
      </c>
      <c r="E78" s="405" t="s">
        <v>1822</v>
      </c>
      <c r="F78" s="406">
        <f>-ROUND(SUMIF('CF(공)_1.0'!$E:$E,'CF(공)_2.0'!E78,'CF(공)_1.0'!$F:$F),0)</f>
        <v>2491608053</v>
      </c>
      <c r="G78" s="406"/>
      <c r="H78" s="406"/>
      <c r="I78" s="407"/>
    </row>
    <row r="79" spans="4:10" ht="18" customHeight="1">
      <c r="D79" s="404" t="s">
        <v>1320</v>
      </c>
      <c r="E79" s="405" t="s">
        <v>1320</v>
      </c>
      <c r="F79" s="406">
        <f>-ROUND(SUMIF('CF(공)_1.0'!$E:$E,'CF(공)_2.0'!E79,'CF(공)_1.0'!$F:$F),0)</f>
        <v>8065189</v>
      </c>
      <c r="G79" s="406"/>
      <c r="H79" s="406"/>
      <c r="I79" s="407"/>
    </row>
    <row r="80" spans="4:10" s="29" customFormat="1" ht="18" customHeight="1">
      <c r="D80" s="392" t="s">
        <v>1463</v>
      </c>
      <c r="E80" s="393"/>
      <c r="F80" s="394"/>
      <c r="G80" s="394">
        <f>SUM(G72,G52,G5)</f>
        <v>-6949094449</v>
      </c>
      <c r="H80" s="394"/>
      <c r="I80" s="395">
        <f>SUM(I72,I52,I5)</f>
        <v>71943965639</v>
      </c>
    </row>
    <row r="81" spans="4:9" s="29" customFormat="1" ht="18" customHeight="1">
      <c r="D81" s="392" t="s">
        <v>1464</v>
      </c>
      <c r="E81" s="393"/>
      <c r="F81" s="394"/>
      <c r="G81" s="394">
        <f>'BS(공)'!I7</f>
        <v>95653360723</v>
      </c>
      <c r="H81" s="394"/>
      <c r="I81" s="395">
        <v>22920303979</v>
      </c>
    </row>
    <row r="82" spans="4:9" s="29" customFormat="1" ht="18" customHeight="1">
      <c r="D82" s="392" t="s">
        <v>1465</v>
      </c>
      <c r="E82" s="393"/>
      <c r="F82" s="394"/>
      <c r="G82" s="394">
        <f>'CF(공)_1.0'!F91</f>
        <v>197126402</v>
      </c>
      <c r="H82" s="394"/>
      <c r="I82" s="395">
        <v>789091105</v>
      </c>
    </row>
    <row r="83" spans="4:9" s="29" customFormat="1" ht="18" customHeight="1" thickBot="1">
      <c r="D83" s="408" t="s">
        <v>1466</v>
      </c>
      <c r="E83" s="409"/>
      <c r="F83" s="410"/>
      <c r="G83" s="410">
        <f>SUM(G80:G82)</f>
        <v>88901392676</v>
      </c>
      <c r="H83" s="410"/>
      <c r="I83" s="411">
        <f>SUM(I80:I82)</f>
        <v>95653360723</v>
      </c>
    </row>
    <row r="84" spans="4:9" ht="18" customHeight="1">
      <c r="G84" s="28">
        <f>'BS(공)'!G7</f>
        <v>88901392676</v>
      </c>
    </row>
    <row r="85" spans="4:9" ht="18" customHeight="1">
      <c r="G85" s="28" t="b">
        <f>G84-G83=0</f>
        <v>1</v>
      </c>
    </row>
  </sheetData>
  <mergeCells count="2">
    <mergeCell ref="F4:G4"/>
    <mergeCell ref="H4:I4"/>
  </mergeCells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223055"/>
  </sheetPr>
  <dimension ref="D4:J49"/>
  <sheetViews>
    <sheetView showGridLines="0" workbookViewId="0">
      <pane xSplit="5" ySplit="5" topLeftCell="F6" activePane="bottomRight" state="frozen"/>
      <selection sqref="A1:XFD1048576"/>
      <selection pane="topRight" sqref="A1:XFD1048576"/>
      <selection pane="bottomLeft" sqref="A1:XFD1048576"/>
      <selection pane="bottomRight" activeCell="J25" sqref="J25"/>
    </sheetView>
  </sheetViews>
  <sheetFormatPr defaultColWidth="8.75" defaultRowHeight="18" customHeight="1"/>
  <cols>
    <col min="1" max="3" width="2.375" style="28" customWidth="1"/>
    <col min="4" max="16" width="20.375" style="28" customWidth="1"/>
    <col min="17" max="16384" width="8.75" style="28"/>
  </cols>
  <sheetData>
    <row r="4" spans="4:10" s="27" customFormat="1" ht="18" customHeight="1" thickBot="1">
      <c r="F4" s="27" t="b">
        <f>SUM(F6:F36)=0</f>
        <v>1</v>
      </c>
      <c r="G4" s="27" t="b">
        <f t="shared" ref="G4:J4" si="0">SUM(G6:G36)=0</f>
        <v>1</v>
      </c>
      <c r="H4" s="27" t="b">
        <f t="shared" si="0"/>
        <v>1</v>
      </c>
      <c r="I4" s="27" t="b">
        <f t="shared" si="0"/>
        <v>1</v>
      </c>
      <c r="J4" s="27" t="b">
        <f t="shared" si="0"/>
        <v>1</v>
      </c>
    </row>
    <row r="5" spans="4:10" ht="18" customHeight="1">
      <c r="D5" s="238" t="s">
        <v>16</v>
      </c>
      <c r="E5" s="239" t="s">
        <v>19</v>
      </c>
      <c r="F5" s="239" t="s">
        <v>395</v>
      </c>
      <c r="G5" s="239" t="s">
        <v>396</v>
      </c>
      <c r="H5" s="239" t="s">
        <v>397</v>
      </c>
      <c r="I5" s="239" t="s">
        <v>398</v>
      </c>
      <c r="J5" s="240" t="s">
        <v>399</v>
      </c>
    </row>
    <row r="6" spans="4:10" ht="18" customHeight="1">
      <c r="D6" s="384" t="s">
        <v>393</v>
      </c>
      <c r="E6" s="385"/>
      <c r="F6" s="385"/>
      <c r="G6" s="385"/>
      <c r="H6" s="385"/>
      <c r="I6" s="385"/>
      <c r="J6" s="386"/>
    </row>
    <row r="7" spans="4:10" ht="18" customHeight="1">
      <c r="D7" s="241" t="s">
        <v>128</v>
      </c>
      <c r="E7" s="243" t="s">
        <v>129</v>
      </c>
      <c r="F7" s="243">
        <v>19842800</v>
      </c>
      <c r="G7" s="243">
        <v>19842800</v>
      </c>
      <c r="H7" s="243">
        <f t="shared" ref="H7:J8" si="1">G7</f>
        <v>19842800</v>
      </c>
      <c r="I7" s="243">
        <f t="shared" si="1"/>
        <v>19842800</v>
      </c>
      <c r="J7" s="244">
        <f t="shared" si="1"/>
        <v>19842800</v>
      </c>
    </row>
    <row r="8" spans="4:10" ht="18" customHeight="1">
      <c r="D8" s="241">
        <v>320300</v>
      </c>
      <c r="E8" s="243" t="s">
        <v>194</v>
      </c>
      <c r="F8" s="243">
        <f>-F7</f>
        <v>-19842800</v>
      </c>
      <c r="G8" s="243">
        <v>-19842800</v>
      </c>
      <c r="H8" s="243">
        <f t="shared" si="1"/>
        <v>-19842800</v>
      </c>
      <c r="I8" s="243">
        <f t="shared" si="1"/>
        <v>-19842800</v>
      </c>
      <c r="J8" s="244">
        <f t="shared" si="1"/>
        <v>-19842800</v>
      </c>
    </row>
    <row r="9" spans="4:10" ht="18" customHeight="1">
      <c r="D9" s="384" t="s">
        <v>400</v>
      </c>
      <c r="E9" s="385"/>
      <c r="F9" s="385"/>
      <c r="G9" s="385"/>
      <c r="H9" s="385"/>
      <c r="I9" s="385"/>
      <c r="J9" s="386"/>
    </row>
    <row r="10" spans="4:10" ht="18" customHeight="1">
      <c r="D10" s="241">
        <v>320300</v>
      </c>
      <c r="E10" s="243" t="s">
        <v>194</v>
      </c>
      <c r="F10" s="243">
        <v>368242282</v>
      </c>
      <c r="G10" s="243">
        <v>368242282</v>
      </c>
      <c r="H10" s="243">
        <f t="shared" ref="H10:H13" si="2">G10</f>
        <v>368242282</v>
      </c>
      <c r="I10" s="243">
        <f t="shared" ref="I10:I23" si="3">H10</f>
        <v>368242282</v>
      </c>
      <c r="J10" s="244">
        <f t="shared" ref="J10:J13" si="4">I10</f>
        <v>368242282</v>
      </c>
    </row>
    <row r="11" spans="4:10" ht="18" customHeight="1">
      <c r="D11" s="241" t="s">
        <v>1364</v>
      </c>
      <c r="E11" s="243" t="s">
        <v>208</v>
      </c>
      <c r="F11" s="243">
        <f>-F10</f>
        <v>-368242282</v>
      </c>
      <c r="G11" s="243">
        <v>-368242282</v>
      </c>
      <c r="H11" s="243">
        <f t="shared" si="2"/>
        <v>-368242282</v>
      </c>
      <c r="I11" s="243">
        <f t="shared" si="3"/>
        <v>-368242282</v>
      </c>
      <c r="J11" s="244">
        <f t="shared" si="4"/>
        <v>-368242282</v>
      </c>
    </row>
    <row r="12" spans="4:10" ht="18" customHeight="1">
      <c r="D12" s="241">
        <v>320300</v>
      </c>
      <c r="E12" s="243" t="s">
        <v>194</v>
      </c>
      <c r="F12" s="243">
        <v>622390102</v>
      </c>
      <c r="G12" s="243">
        <v>622390102</v>
      </c>
      <c r="H12" s="243">
        <f t="shared" si="2"/>
        <v>622390102</v>
      </c>
      <c r="I12" s="243">
        <f t="shared" si="3"/>
        <v>622390102</v>
      </c>
      <c r="J12" s="244">
        <f t="shared" si="4"/>
        <v>622390102</v>
      </c>
    </row>
    <row r="13" spans="4:10" ht="18" customHeight="1">
      <c r="D13" s="241">
        <v>350951</v>
      </c>
      <c r="E13" s="243" t="s">
        <v>206</v>
      </c>
      <c r="F13" s="243">
        <f>-F12</f>
        <v>-622390102</v>
      </c>
      <c r="G13" s="243">
        <v>-622390102</v>
      </c>
      <c r="H13" s="243">
        <f t="shared" si="2"/>
        <v>-622390102</v>
      </c>
      <c r="I13" s="243">
        <f t="shared" si="3"/>
        <v>-622390102</v>
      </c>
      <c r="J13" s="244">
        <f t="shared" si="4"/>
        <v>-622390102</v>
      </c>
    </row>
    <row r="14" spans="4:10" ht="18" customHeight="1">
      <c r="D14" s="387" t="s">
        <v>401</v>
      </c>
      <c r="E14" s="385"/>
      <c r="F14" s="385"/>
      <c r="G14" s="385"/>
      <c r="H14" s="385"/>
      <c r="I14" s="385"/>
      <c r="J14" s="386"/>
    </row>
    <row r="15" spans="4:10" ht="18" customHeight="1">
      <c r="D15" s="241">
        <v>320300</v>
      </c>
      <c r="E15" s="243" t="s">
        <v>194</v>
      </c>
      <c r="F15" s="243">
        <v>-892464079</v>
      </c>
      <c r="G15" s="243">
        <v>-892464079</v>
      </c>
      <c r="H15" s="243">
        <f t="shared" ref="H15:H16" si="5">G15</f>
        <v>-892464079</v>
      </c>
      <c r="I15" s="243">
        <f t="shared" si="3"/>
        <v>-892464079</v>
      </c>
      <c r="J15" s="244">
        <f t="shared" ref="J15:J16" si="6">I15</f>
        <v>-892464079</v>
      </c>
    </row>
    <row r="16" spans="4:10" ht="18" customHeight="1">
      <c r="D16" s="241" t="s">
        <v>1364</v>
      </c>
      <c r="E16" s="243" t="s">
        <v>208</v>
      </c>
      <c r="F16" s="243">
        <f>-F15</f>
        <v>892464079</v>
      </c>
      <c r="G16" s="243">
        <v>892464079</v>
      </c>
      <c r="H16" s="243">
        <f t="shared" si="5"/>
        <v>892464079</v>
      </c>
      <c r="I16" s="243">
        <f t="shared" si="3"/>
        <v>892464079</v>
      </c>
      <c r="J16" s="244">
        <f t="shared" si="6"/>
        <v>892464079</v>
      </c>
    </row>
    <row r="17" spans="4:10" ht="18" customHeight="1">
      <c r="D17" s="387" t="s">
        <v>402</v>
      </c>
      <c r="E17" s="385"/>
      <c r="F17" s="385"/>
      <c r="G17" s="385"/>
      <c r="H17" s="385"/>
      <c r="I17" s="385"/>
      <c r="J17" s="386"/>
    </row>
    <row r="18" spans="4:10" ht="18" customHeight="1">
      <c r="D18" s="241">
        <v>320300</v>
      </c>
      <c r="E18" s="243" t="s">
        <v>194</v>
      </c>
      <c r="F18" s="243">
        <v>10952617</v>
      </c>
      <c r="G18" s="243">
        <v>10952617</v>
      </c>
      <c r="H18" s="243">
        <f t="shared" ref="H18:H23" si="7">G18</f>
        <v>10952617</v>
      </c>
      <c r="I18" s="243">
        <f t="shared" si="3"/>
        <v>10952617</v>
      </c>
      <c r="J18" s="244">
        <f t="shared" ref="J18:J23" si="8">I18</f>
        <v>10952617</v>
      </c>
    </row>
    <row r="19" spans="4:10" ht="18" customHeight="1">
      <c r="D19" s="241" t="s">
        <v>1364</v>
      </c>
      <c r="E19" s="243" t="s">
        <v>208</v>
      </c>
      <c r="F19" s="243">
        <v>-10952617</v>
      </c>
      <c r="G19" s="243">
        <v>-10952617</v>
      </c>
      <c r="H19" s="243">
        <f t="shared" si="7"/>
        <v>-10952617</v>
      </c>
      <c r="I19" s="243">
        <f t="shared" si="3"/>
        <v>-10952617</v>
      </c>
      <c r="J19" s="244">
        <f t="shared" si="8"/>
        <v>-10952617</v>
      </c>
    </row>
    <row r="20" spans="4:10" ht="18" customHeight="1">
      <c r="D20" s="241">
        <v>320300</v>
      </c>
      <c r="E20" s="243" t="s">
        <v>194</v>
      </c>
      <c r="F20" s="243">
        <v>-349388</v>
      </c>
      <c r="G20" s="243">
        <v>-349388</v>
      </c>
      <c r="H20" s="243">
        <f t="shared" si="7"/>
        <v>-349388</v>
      </c>
      <c r="I20" s="243">
        <f t="shared" si="3"/>
        <v>-349388</v>
      </c>
      <c r="J20" s="244">
        <f t="shared" si="8"/>
        <v>-349388</v>
      </c>
    </row>
    <row r="21" spans="4:10" ht="18" customHeight="1">
      <c r="D21" s="241" t="s">
        <v>1364</v>
      </c>
      <c r="E21" s="243" t="s">
        <v>208</v>
      </c>
      <c r="F21" s="243">
        <v>349388</v>
      </c>
      <c r="G21" s="243">
        <v>349388</v>
      </c>
      <c r="H21" s="243">
        <f t="shared" si="7"/>
        <v>349388</v>
      </c>
      <c r="I21" s="243">
        <f t="shared" si="3"/>
        <v>349388</v>
      </c>
      <c r="J21" s="244">
        <f t="shared" si="8"/>
        <v>349388</v>
      </c>
    </row>
    <row r="22" spans="4:10" ht="18" customHeight="1">
      <c r="D22" s="241">
        <v>320300</v>
      </c>
      <c r="E22" s="243" t="s">
        <v>194</v>
      </c>
      <c r="F22" s="243">
        <v>29855787</v>
      </c>
      <c r="G22" s="243">
        <v>29855787</v>
      </c>
      <c r="H22" s="243">
        <f t="shared" si="7"/>
        <v>29855787</v>
      </c>
      <c r="I22" s="243">
        <f t="shared" si="3"/>
        <v>29855787</v>
      </c>
      <c r="J22" s="244">
        <f t="shared" si="8"/>
        <v>29855787</v>
      </c>
    </row>
    <row r="23" spans="4:10" ht="18" customHeight="1">
      <c r="D23" s="241" t="s">
        <v>1364</v>
      </c>
      <c r="E23" s="243" t="s">
        <v>208</v>
      </c>
      <c r="F23" s="243">
        <v>-29855787</v>
      </c>
      <c r="G23" s="243">
        <v>-29855787</v>
      </c>
      <c r="H23" s="243">
        <f t="shared" si="7"/>
        <v>-29855787</v>
      </c>
      <c r="I23" s="243">
        <f t="shared" si="3"/>
        <v>-29855787</v>
      </c>
      <c r="J23" s="244">
        <f t="shared" si="8"/>
        <v>-29855787</v>
      </c>
    </row>
    <row r="24" spans="4:10" s="206" customFormat="1" ht="18" customHeight="1">
      <c r="D24" s="387" t="s">
        <v>559</v>
      </c>
      <c r="E24" s="388"/>
      <c r="F24" s="388"/>
      <c r="G24" s="388"/>
      <c r="H24" s="388"/>
      <c r="I24" s="388"/>
      <c r="J24" s="389"/>
    </row>
    <row r="25" spans="4:10" ht="18" customHeight="1">
      <c r="D25" s="241" t="s">
        <v>379</v>
      </c>
      <c r="E25" s="243" t="s">
        <v>378</v>
      </c>
      <c r="F25" s="243">
        <v>-5278089200</v>
      </c>
      <c r="G25" s="243">
        <v>0</v>
      </c>
      <c r="H25" s="243">
        <v>0</v>
      </c>
      <c r="I25" s="243">
        <v>0</v>
      </c>
      <c r="J25" s="244">
        <f>-T_IS!H114</f>
        <v>-25472597960</v>
      </c>
    </row>
    <row r="26" spans="4:10" ht="18" customHeight="1">
      <c r="D26" s="241" t="s">
        <v>1364</v>
      </c>
      <c r="E26" s="243" t="s">
        <v>208</v>
      </c>
      <c r="F26" s="243">
        <f>-F25</f>
        <v>5278089200</v>
      </c>
      <c r="G26" s="243">
        <v>0</v>
      </c>
      <c r="H26" s="243">
        <v>0</v>
      </c>
      <c r="I26" s="243">
        <v>0</v>
      </c>
      <c r="J26" s="244">
        <f>-J25</f>
        <v>25472597960</v>
      </c>
    </row>
    <row r="27" spans="4:10" ht="18" customHeight="1">
      <c r="D27" s="241" t="s">
        <v>1365</v>
      </c>
      <c r="E27" s="243" t="s">
        <v>210</v>
      </c>
      <c r="F27" s="243">
        <f>F25</f>
        <v>-5278089200</v>
      </c>
      <c r="G27" s="243">
        <v>0</v>
      </c>
      <c r="H27" s="243">
        <v>0</v>
      </c>
      <c r="I27" s="243">
        <v>0</v>
      </c>
      <c r="J27" s="244">
        <f>J25</f>
        <v>-25472597960</v>
      </c>
    </row>
    <row r="28" spans="4:10" ht="18" customHeight="1">
      <c r="D28" s="241"/>
      <c r="E28" s="243" t="s">
        <v>423</v>
      </c>
      <c r="F28" s="243">
        <f>-F27</f>
        <v>5278089200</v>
      </c>
      <c r="G28" s="243">
        <v>0</v>
      </c>
      <c r="H28" s="243">
        <v>0</v>
      </c>
      <c r="I28" s="243">
        <v>0</v>
      </c>
      <c r="J28" s="244">
        <f>-J27</f>
        <v>25472597960</v>
      </c>
    </row>
    <row r="29" spans="4:10" ht="18" customHeight="1">
      <c r="D29" s="260"/>
      <c r="E29" s="243"/>
      <c r="F29" s="243"/>
      <c r="G29" s="243"/>
      <c r="H29" s="243"/>
      <c r="I29" s="243"/>
      <c r="J29" s="244"/>
    </row>
    <row r="30" spans="4:10" ht="18" customHeight="1">
      <c r="D30" s="260"/>
      <c r="E30" s="243"/>
      <c r="F30" s="243"/>
      <c r="G30" s="243"/>
      <c r="H30" s="243"/>
      <c r="I30" s="243"/>
      <c r="J30" s="244"/>
    </row>
    <row r="31" spans="4:10" ht="18" customHeight="1">
      <c r="D31" s="260"/>
      <c r="E31" s="243"/>
      <c r="F31" s="243"/>
      <c r="G31" s="243"/>
      <c r="H31" s="243"/>
      <c r="I31" s="243"/>
      <c r="J31" s="244"/>
    </row>
    <row r="32" spans="4:10" ht="18" customHeight="1">
      <c r="D32" s="260"/>
      <c r="E32" s="243"/>
      <c r="F32" s="243"/>
      <c r="G32" s="243"/>
      <c r="H32" s="243"/>
      <c r="I32" s="243"/>
      <c r="J32" s="244"/>
    </row>
    <row r="33" spans="4:10" ht="18" customHeight="1">
      <c r="D33" s="260"/>
      <c r="E33" s="243"/>
      <c r="F33" s="243"/>
      <c r="G33" s="243"/>
      <c r="H33" s="243"/>
      <c r="I33" s="243"/>
      <c r="J33" s="244"/>
    </row>
    <row r="34" spans="4:10" ht="18" customHeight="1">
      <c r="D34" s="260"/>
      <c r="E34" s="243"/>
      <c r="F34" s="243"/>
      <c r="G34" s="243"/>
      <c r="H34" s="243"/>
      <c r="I34" s="243"/>
      <c r="J34" s="244"/>
    </row>
    <row r="35" spans="4:10" ht="18" customHeight="1">
      <c r="D35" s="260"/>
      <c r="E35" s="243"/>
      <c r="F35" s="243"/>
      <c r="G35" s="243"/>
      <c r="H35" s="243"/>
      <c r="I35" s="243"/>
      <c r="J35" s="244"/>
    </row>
    <row r="36" spans="4:10" ht="18" customHeight="1">
      <c r="D36" s="260"/>
      <c r="E36" s="243"/>
      <c r="F36" s="243"/>
      <c r="G36" s="243"/>
      <c r="H36" s="243"/>
      <c r="I36" s="243"/>
      <c r="J36" s="244"/>
    </row>
    <row r="37" spans="4:10" ht="18" customHeight="1">
      <c r="D37" s="260"/>
      <c r="E37" s="243"/>
      <c r="F37" s="243"/>
      <c r="G37" s="243"/>
      <c r="H37" s="243"/>
      <c r="I37" s="243"/>
      <c r="J37" s="244"/>
    </row>
    <row r="38" spans="4:10" ht="18" customHeight="1">
      <c r="D38" s="260"/>
      <c r="E38" s="243"/>
      <c r="F38" s="243"/>
      <c r="G38" s="243"/>
      <c r="H38" s="243"/>
      <c r="I38" s="243"/>
      <c r="J38" s="244"/>
    </row>
    <row r="39" spans="4:10" ht="18" customHeight="1">
      <c r="D39" s="260"/>
      <c r="E39" s="243"/>
      <c r="F39" s="243"/>
      <c r="G39" s="243"/>
      <c r="H39" s="243"/>
      <c r="I39" s="243"/>
      <c r="J39" s="244"/>
    </row>
    <row r="40" spans="4:10" ht="18" customHeight="1">
      <c r="D40" s="260"/>
      <c r="E40" s="243"/>
      <c r="F40" s="243"/>
      <c r="G40" s="243"/>
      <c r="H40" s="243"/>
      <c r="I40" s="243"/>
      <c r="J40" s="244"/>
    </row>
    <row r="41" spans="4:10" ht="18" customHeight="1">
      <c r="D41" s="260"/>
      <c r="E41" s="243"/>
      <c r="F41" s="243"/>
      <c r="G41" s="243"/>
      <c r="H41" s="243"/>
      <c r="I41" s="243"/>
      <c r="J41" s="244"/>
    </row>
    <row r="42" spans="4:10" ht="18" customHeight="1">
      <c r="D42" s="260"/>
      <c r="E42" s="243"/>
      <c r="F42" s="243"/>
      <c r="G42" s="243"/>
      <c r="H42" s="243"/>
      <c r="I42" s="243"/>
      <c r="J42" s="244"/>
    </row>
    <row r="43" spans="4:10" ht="18" customHeight="1">
      <c r="D43" s="260"/>
      <c r="E43" s="243"/>
      <c r="F43" s="243"/>
      <c r="G43" s="243"/>
      <c r="H43" s="243"/>
      <c r="I43" s="243"/>
      <c r="J43" s="244"/>
    </row>
    <row r="44" spans="4:10" ht="18" customHeight="1">
      <c r="D44" s="260"/>
      <c r="E44" s="243"/>
      <c r="F44" s="243"/>
      <c r="G44" s="243"/>
      <c r="H44" s="243"/>
      <c r="I44" s="243"/>
      <c r="J44" s="244"/>
    </row>
    <row r="45" spans="4:10" ht="18" customHeight="1">
      <c r="D45" s="260"/>
      <c r="E45" s="243"/>
      <c r="F45" s="243"/>
      <c r="G45" s="243"/>
      <c r="H45" s="243"/>
      <c r="I45" s="243"/>
      <c r="J45" s="244"/>
    </row>
    <row r="46" spans="4:10" ht="18" customHeight="1">
      <c r="D46" s="260"/>
      <c r="E46" s="243"/>
      <c r="F46" s="243"/>
      <c r="G46" s="243"/>
      <c r="H46" s="243"/>
      <c r="I46" s="243"/>
      <c r="J46" s="244"/>
    </row>
    <row r="47" spans="4:10" ht="18" customHeight="1">
      <c r="D47" s="260"/>
      <c r="E47" s="243"/>
      <c r="F47" s="243"/>
      <c r="G47" s="243"/>
      <c r="H47" s="243"/>
      <c r="I47" s="243"/>
      <c r="J47" s="244"/>
    </row>
    <row r="48" spans="4:10" ht="18" customHeight="1">
      <c r="D48" s="260"/>
      <c r="E48" s="243"/>
      <c r="F48" s="243"/>
      <c r="G48" s="243"/>
      <c r="H48" s="243"/>
      <c r="I48" s="243"/>
      <c r="J48" s="244"/>
    </row>
    <row r="49" spans="4:10" ht="18" customHeight="1" thickBot="1">
      <c r="D49" s="261"/>
      <c r="E49" s="246"/>
      <c r="F49" s="246"/>
      <c r="G49" s="246"/>
      <c r="H49" s="246"/>
      <c r="I49" s="246"/>
      <c r="J49" s="247"/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223055"/>
  </sheetPr>
  <dimension ref="D4:J54"/>
  <sheetViews>
    <sheetView showGridLines="0" zoomScaleNormal="100" workbookViewId="0">
      <pane xSplit="5" ySplit="5" topLeftCell="F6" activePane="bottomRight" state="frozen"/>
      <selection sqref="A1:XFD1048576"/>
      <selection pane="topRight" sqref="A1:XFD1048576"/>
      <selection pane="bottomLeft" sqref="A1:XFD1048576"/>
      <selection pane="bottomRight" activeCell="G19" sqref="G19"/>
    </sheetView>
  </sheetViews>
  <sheetFormatPr defaultColWidth="8.75" defaultRowHeight="12"/>
  <cols>
    <col min="1" max="3" width="2.375" style="28" customWidth="1"/>
    <col min="4" max="4" width="21.375" style="28" bestFit="1" customWidth="1"/>
    <col min="5" max="5" width="39.125" style="210" customWidth="1"/>
    <col min="6" max="16" width="20.375" style="28" customWidth="1"/>
    <col min="17" max="16384" width="8.75" style="28"/>
  </cols>
  <sheetData>
    <row r="4" spans="4:10" s="206" customFormat="1" ht="18" customHeight="1" thickBot="1">
      <c r="E4" s="223"/>
      <c r="F4" s="206" t="b">
        <f>SUM(F7:F41)=0</f>
        <v>1</v>
      </c>
      <c r="G4" s="206" t="b">
        <f>SUM(G7:G41)=0</f>
        <v>1</v>
      </c>
      <c r="H4" s="206" t="b">
        <f>SUM(H7:H41)=0</f>
        <v>1</v>
      </c>
      <c r="I4" s="206" t="b">
        <f>SUM(I7:I41)=0</f>
        <v>1</v>
      </c>
      <c r="J4" s="206" t="b">
        <f>SUM(J7:J41)=0</f>
        <v>1</v>
      </c>
    </row>
    <row r="5" spans="4:10" ht="18" customHeight="1">
      <c r="D5" s="238" t="s">
        <v>16</v>
      </c>
      <c r="E5" s="239" t="s">
        <v>19</v>
      </c>
      <c r="F5" s="239" t="s">
        <v>395</v>
      </c>
      <c r="G5" s="239" t="s">
        <v>396</v>
      </c>
      <c r="H5" s="239" t="s">
        <v>397</v>
      </c>
      <c r="I5" s="239" t="s">
        <v>398</v>
      </c>
      <c r="J5" s="240" t="s">
        <v>399</v>
      </c>
    </row>
    <row r="6" spans="4:10" s="381" customFormat="1" ht="18" customHeight="1">
      <c r="D6" s="377" t="s">
        <v>1396</v>
      </c>
      <c r="E6" s="378"/>
      <c r="F6" s="379"/>
      <c r="G6" s="379"/>
      <c r="H6" s="379"/>
      <c r="I6" s="379"/>
      <c r="J6" s="380"/>
    </row>
    <row r="7" spans="4:10" ht="18" customHeight="1">
      <c r="D7" s="241" t="s">
        <v>1364</v>
      </c>
      <c r="E7" s="242" t="s">
        <v>208</v>
      </c>
      <c r="F7" s="243">
        <v>-270380191</v>
      </c>
      <c r="G7" s="243"/>
      <c r="H7" s="243"/>
      <c r="I7" s="243"/>
      <c r="J7" s="244"/>
    </row>
    <row r="8" spans="4:10" ht="18" customHeight="1">
      <c r="D8" s="241" t="s">
        <v>1365</v>
      </c>
      <c r="E8" s="242" t="s">
        <v>210</v>
      </c>
      <c r="F8" s="243">
        <v>270380191</v>
      </c>
      <c r="G8" s="243"/>
      <c r="H8" s="243"/>
      <c r="I8" s="243"/>
      <c r="J8" s="244"/>
    </row>
    <row r="9" spans="4:10" s="381" customFormat="1" ht="18" customHeight="1">
      <c r="D9" s="377" t="s">
        <v>217</v>
      </c>
      <c r="E9" s="378"/>
      <c r="F9" s="379"/>
      <c r="G9" s="379"/>
      <c r="H9" s="379"/>
      <c r="I9" s="379"/>
      <c r="J9" s="380"/>
    </row>
    <row r="10" spans="4:10" ht="18" customHeight="1">
      <c r="D10" s="241" t="s">
        <v>1364</v>
      </c>
      <c r="E10" s="242" t="s">
        <v>208</v>
      </c>
      <c r="F10" s="243"/>
      <c r="G10" s="243"/>
      <c r="H10" s="243">
        <f>T_IS!N120</f>
        <v>-4508613933</v>
      </c>
      <c r="I10" s="243"/>
      <c r="J10" s="244"/>
    </row>
    <row r="11" spans="4:10" ht="18" customHeight="1">
      <c r="D11" s="241" t="s">
        <v>1365</v>
      </c>
      <c r="E11" s="242" t="s">
        <v>210</v>
      </c>
      <c r="F11" s="243"/>
      <c r="G11" s="243"/>
      <c r="H11" s="243">
        <f>-H10</f>
        <v>4508613933</v>
      </c>
      <c r="I11" s="243"/>
      <c r="J11" s="244"/>
    </row>
    <row r="12" spans="4:10" s="381" customFormat="1" ht="18" customHeight="1">
      <c r="D12" s="377" t="s">
        <v>1842</v>
      </c>
      <c r="E12" s="378"/>
      <c r="F12" s="379"/>
      <c r="G12" s="379"/>
      <c r="H12" s="379"/>
      <c r="I12" s="379"/>
      <c r="J12" s="380"/>
    </row>
    <row r="13" spans="4:10" ht="18" customHeight="1">
      <c r="D13" s="241" t="s">
        <v>1364</v>
      </c>
      <c r="E13" s="242" t="s">
        <v>403</v>
      </c>
      <c r="F13" s="243"/>
      <c r="G13" s="243"/>
      <c r="H13" s="243"/>
      <c r="I13" s="243">
        <v>-2590571062</v>
      </c>
      <c r="J13" s="244">
        <f>-'2.1'!G21</f>
        <v>-2590571062</v>
      </c>
    </row>
    <row r="14" spans="4:10" ht="18" customHeight="1">
      <c r="D14" s="241" t="s">
        <v>374</v>
      </c>
      <c r="E14" s="242" t="s">
        <v>1530</v>
      </c>
      <c r="F14" s="243"/>
      <c r="G14" s="243"/>
      <c r="H14" s="243"/>
      <c r="I14" s="243">
        <v>2590571062</v>
      </c>
      <c r="J14" s="244">
        <f>-J13</f>
        <v>2590571062</v>
      </c>
    </row>
    <row r="15" spans="4:10" ht="18" customHeight="1">
      <c r="D15" s="241" t="s">
        <v>302</v>
      </c>
      <c r="E15" s="242" t="s">
        <v>303</v>
      </c>
      <c r="F15" s="243"/>
      <c r="G15" s="243"/>
      <c r="H15" s="243"/>
      <c r="I15" s="243">
        <v>-1601971643</v>
      </c>
      <c r="J15" s="244">
        <f>-'2.1'!G23</f>
        <v>-920006498</v>
      </c>
    </row>
    <row r="16" spans="4:10" ht="18" customHeight="1">
      <c r="D16" s="241" t="s">
        <v>374</v>
      </c>
      <c r="E16" s="242" t="s">
        <v>1530</v>
      </c>
      <c r="F16" s="243"/>
      <c r="G16" s="243"/>
      <c r="H16" s="243"/>
      <c r="I16" s="243">
        <v>1601971643</v>
      </c>
      <c r="J16" s="244">
        <f>-J15</f>
        <v>920006498</v>
      </c>
    </row>
    <row r="17" spans="4:10" ht="18" customHeight="1">
      <c r="D17" s="241" t="s">
        <v>1852</v>
      </c>
      <c r="E17" s="242" t="s">
        <v>861</v>
      </c>
      <c r="F17" s="243"/>
      <c r="G17" s="243"/>
      <c r="H17" s="243"/>
      <c r="I17" s="243">
        <v>3510577560</v>
      </c>
      <c r="J17" s="244">
        <f>'2.1'!G25</f>
        <v>3510577560</v>
      </c>
    </row>
    <row r="18" spans="4:10" ht="18" customHeight="1">
      <c r="D18" s="241" t="s">
        <v>374</v>
      </c>
      <c r="E18" s="242" t="s">
        <v>1530</v>
      </c>
      <c r="F18" s="243"/>
      <c r="G18" s="243"/>
      <c r="H18" s="243"/>
      <c r="I18" s="243">
        <v>-3510577560</v>
      </c>
      <c r="J18" s="244">
        <f>-J17</f>
        <v>-3510577560</v>
      </c>
    </row>
    <row r="19" spans="4:10" ht="18" customHeight="1">
      <c r="D19" s="241" t="s">
        <v>302</v>
      </c>
      <c r="E19" s="242" t="s">
        <v>303</v>
      </c>
      <c r="F19" s="243"/>
      <c r="G19" s="243"/>
      <c r="H19" s="243"/>
      <c r="I19" s="243">
        <v>681965145</v>
      </c>
      <c r="J19" s="244">
        <v>0</v>
      </c>
    </row>
    <row r="20" spans="4:10" ht="18" customHeight="1">
      <c r="D20" s="241" t="s">
        <v>374</v>
      </c>
      <c r="E20" s="242" t="s">
        <v>1530</v>
      </c>
      <c r="F20" s="243"/>
      <c r="G20" s="243"/>
      <c r="H20" s="243"/>
      <c r="I20" s="243">
        <v>-681965145</v>
      </c>
      <c r="J20" s="244">
        <v>0</v>
      </c>
    </row>
    <row r="21" spans="4:10" s="194" customFormat="1" ht="18" customHeight="1">
      <c r="D21" s="254" t="s">
        <v>374</v>
      </c>
      <c r="E21" s="382" t="s">
        <v>1530</v>
      </c>
      <c r="F21" s="255"/>
      <c r="G21" s="255"/>
      <c r="H21" s="255"/>
      <c r="I21" s="255">
        <v>798641919</v>
      </c>
      <c r="J21" s="256">
        <f>-'2.1'!G27</f>
        <v>798641919</v>
      </c>
    </row>
    <row r="22" spans="4:10" s="194" customFormat="1" ht="18" customHeight="1">
      <c r="D22" s="254" t="s">
        <v>374</v>
      </c>
      <c r="E22" s="382" t="s">
        <v>1530</v>
      </c>
      <c r="F22" s="255"/>
      <c r="G22" s="255"/>
      <c r="H22" s="255"/>
      <c r="I22" s="255">
        <v>1199</v>
      </c>
      <c r="J22" s="256">
        <f>T_IS!H111</f>
        <v>1199</v>
      </c>
    </row>
    <row r="23" spans="4:10" s="194" customFormat="1" ht="18" customHeight="1">
      <c r="D23" s="254" t="s">
        <v>1365</v>
      </c>
      <c r="E23" s="382" t="s">
        <v>210</v>
      </c>
      <c r="F23" s="255"/>
      <c r="G23" s="255"/>
      <c r="H23" s="255"/>
      <c r="I23" s="255">
        <v>-798643118</v>
      </c>
      <c r="J23" s="256">
        <f>-SUM(J21:J22)</f>
        <v>-798643118</v>
      </c>
    </row>
    <row r="24" spans="4:10" ht="18" customHeight="1">
      <c r="D24" s="241" t="s">
        <v>1365</v>
      </c>
      <c r="E24" s="242" t="s">
        <v>210</v>
      </c>
      <c r="F24" s="243"/>
      <c r="G24" s="243"/>
      <c r="H24" s="243"/>
      <c r="I24" s="243">
        <v>3389214180</v>
      </c>
      <c r="J24" s="244">
        <f>-J25</f>
        <v>3389214180</v>
      </c>
    </row>
    <row r="25" spans="4:10" ht="18" customHeight="1">
      <c r="D25" s="241"/>
      <c r="E25" s="242" t="s">
        <v>423</v>
      </c>
      <c r="F25" s="243"/>
      <c r="G25" s="243"/>
      <c r="H25" s="243"/>
      <c r="I25" s="243">
        <v>-3389214180</v>
      </c>
      <c r="J25" s="244">
        <f>-SUM(J14:J22)</f>
        <v>-3389214180</v>
      </c>
    </row>
    <row r="26" spans="4:10" s="381" customFormat="1" ht="18" customHeight="1">
      <c r="D26" s="377"/>
      <c r="E26" s="378"/>
      <c r="F26" s="379"/>
      <c r="G26" s="379"/>
      <c r="H26" s="379"/>
      <c r="I26" s="379"/>
      <c r="J26" s="380"/>
    </row>
    <row r="27" spans="4:10" ht="18" customHeight="1">
      <c r="D27" s="241"/>
      <c r="E27" s="242"/>
      <c r="F27" s="243"/>
      <c r="G27" s="243"/>
      <c r="H27" s="243"/>
      <c r="I27" s="243"/>
      <c r="J27" s="244"/>
    </row>
    <row r="28" spans="4:10" ht="18" customHeight="1">
      <c r="D28" s="241"/>
      <c r="E28" s="242"/>
      <c r="F28" s="243"/>
      <c r="G28" s="243"/>
      <c r="H28" s="243"/>
      <c r="I28" s="243"/>
      <c r="J28" s="244"/>
    </row>
    <row r="29" spans="4:10" ht="18" customHeight="1">
      <c r="D29" s="241"/>
      <c r="E29" s="242"/>
      <c r="F29" s="243"/>
      <c r="G29" s="243"/>
      <c r="H29" s="243"/>
      <c r="I29" s="243"/>
      <c r="J29" s="244"/>
    </row>
    <row r="30" spans="4:10" ht="18" customHeight="1">
      <c r="D30" s="241"/>
      <c r="E30" s="242"/>
      <c r="F30" s="243"/>
      <c r="G30" s="243"/>
      <c r="H30" s="243"/>
      <c r="I30" s="243"/>
      <c r="J30" s="244"/>
    </row>
    <row r="31" spans="4:10" ht="18" customHeight="1">
      <c r="D31" s="241"/>
      <c r="E31" s="242"/>
      <c r="F31" s="243"/>
      <c r="G31" s="243"/>
      <c r="H31" s="243"/>
      <c r="I31" s="243"/>
      <c r="J31" s="244"/>
    </row>
    <row r="32" spans="4:10" ht="18" customHeight="1">
      <c r="D32" s="260"/>
      <c r="E32" s="242"/>
      <c r="F32" s="243"/>
      <c r="G32" s="243"/>
      <c r="H32" s="243"/>
      <c r="I32" s="243"/>
      <c r="J32" s="244"/>
    </row>
    <row r="33" spans="4:10" ht="18" customHeight="1">
      <c r="D33" s="260"/>
      <c r="E33" s="242"/>
      <c r="F33" s="243"/>
      <c r="G33" s="243"/>
      <c r="H33" s="243"/>
      <c r="I33" s="243"/>
      <c r="J33" s="244"/>
    </row>
    <row r="34" spans="4:10" ht="18" customHeight="1">
      <c r="D34" s="260"/>
      <c r="E34" s="242"/>
      <c r="F34" s="243"/>
      <c r="G34" s="243"/>
      <c r="H34" s="243"/>
      <c r="I34" s="243"/>
      <c r="J34" s="244"/>
    </row>
    <row r="35" spans="4:10" ht="18" customHeight="1">
      <c r="D35" s="260"/>
      <c r="E35" s="242"/>
      <c r="F35" s="243"/>
      <c r="G35" s="243"/>
      <c r="H35" s="243"/>
      <c r="I35" s="243"/>
      <c r="J35" s="244"/>
    </row>
    <row r="36" spans="4:10" ht="18" customHeight="1">
      <c r="D36" s="260"/>
      <c r="E36" s="242"/>
      <c r="F36" s="243"/>
      <c r="G36" s="243"/>
      <c r="H36" s="243"/>
      <c r="I36" s="243"/>
      <c r="J36" s="244"/>
    </row>
    <row r="37" spans="4:10" ht="18" customHeight="1">
      <c r="D37" s="260"/>
      <c r="E37" s="242"/>
      <c r="F37" s="243"/>
      <c r="G37" s="243"/>
      <c r="H37" s="243"/>
      <c r="I37" s="243"/>
      <c r="J37" s="244"/>
    </row>
    <row r="38" spans="4:10" ht="18" customHeight="1">
      <c r="D38" s="260"/>
      <c r="E38" s="242"/>
      <c r="F38" s="243"/>
      <c r="G38" s="243"/>
      <c r="H38" s="243"/>
      <c r="I38" s="243"/>
      <c r="J38" s="244"/>
    </row>
    <row r="39" spans="4:10" ht="18" customHeight="1">
      <c r="D39" s="260"/>
      <c r="E39" s="242"/>
      <c r="F39" s="243"/>
      <c r="G39" s="243"/>
      <c r="H39" s="243"/>
      <c r="I39" s="243"/>
      <c r="J39" s="244"/>
    </row>
    <row r="40" spans="4:10" ht="18" customHeight="1">
      <c r="D40" s="260"/>
      <c r="E40" s="242"/>
      <c r="F40" s="243"/>
      <c r="G40" s="243"/>
      <c r="H40" s="243"/>
      <c r="I40" s="243"/>
      <c r="J40" s="244"/>
    </row>
    <row r="41" spans="4:10" ht="18" customHeight="1">
      <c r="D41" s="260"/>
      <c r="E41" s="242"/>
      <c r="F41" s="243"/>
      <c r="G41" s="243"/>
      <c r="H41" s="243"/>
      <c r="I41" s="243"/>
      <c r="J41" s="244"/>
    </row>
    <row r="42" spans="4:10" ht="18" customHeight="1">
      <c r="D42" s="260"/>
      <c r="E42" s="242"/>
      <c r="F42" s="243"/>
      <c r="G42" s="243"/>
      <c r="H42" s="243"/>
      <c r="I42" s="243"/>
      <c r="J42" s="244"/>
    </row>
    <row r="43" spans="4:10" ht="18" customHeight="1">
      <c r="D43" s="260"/>
      <c r="E43" s="242"/>
      <c r="F43" s="243"/>
      <c r="G43" s="243"/>
      <c r="H43" s="243"/>
      <c r="I43" s="243"/>
      <c r="J43" s="244"/>
    </row>
    <row r="44" spans="4:10" ht="18" customHeight="1">
      <c r="D44" s="260"/>
      <c r="E44" s="242"/>
      <c r="F44" s="243"/>
      <c r="G44" s="243"/>
      <c r="H44" s="243"/>
      <c r="I44" s="243"/>
      <c r="J44" s="244"/>
    </row>
    <row r="45" spans="4:10" ht="18" customHeight="1">
      <c r="D45" s="260"/>
      <c r="E45" s="242"/>
      <c r="F45" s="243"/>
      <c r="G45" s="243"/>
      <c r="H45" s="243"/>
      <c r="I45" s="243"/>
      <c r="J45" s="244"/>
    </row>
    <row r="46" spans="4:10" ht="18" customHeight="1">
      <c r="D46" s="260"/>
      <c r="E46" s="242"/>
      <c r="F46" s="243"/>
      <c r="G46" s="243"/>
      <c r="H46" s="243"/>
      <c r="I46" s="243"/>
      <c r="J46" s="244"/>
    </row>
    <row r="47" spans="4:10" ht="18" customHeight="1">
      <c r="D47" s="260"/>
      <c r="E47" s="242"/>
      <c r="F47" s="243"/>
      <c r="G47" s="243"/>
      <c r="H47" s="243"/>
      <c r="I47" s="243"/>
      <c r="J47" s="244"/>
    </row>
    <row r="48" spans="4:10" ht="18" customHeight="1">
      <c r="D48" s="260"/>
      <c r="E48" s="242"/>
      <c r="F48" s="243"/>
      <c r="G48" s="243"/>
      <c r="H48" s="243"/>
      <c r="I48" s="243"/>
      <c r="J48" s="244"/>
    </row>
    <row r="49" spans="4:10" ht="18" customHeight="1">
      <c r="D49" s="260"/>
      <c r="E49" s="242"/>
      <c r="F49" s="243"/>
      <c r="G49" s="243"/>
      <c r="H49" s="243"/>
      <c r="I49" s="243"/>
      <c r="J49" s="244"/>
    </row>
    <row r="50" spans="4:10" ht="18" customHeight="1">
      <c r="D50" s="260"/>
      <c r="E50" s="242"/>
      <c r="F50" s="243"/>
      <c r="G50" s="243"/>
      <c r="H50" s="243"/>
      <c r="I50" s="243"/>
      <c r="J50" s="244"/>
    </row>
    <row r="51" spans="4:10" ht="18" customHeight="1">
      <c r="D51" s="260"/>
      <c r="E51" s="242"/>
      <c r="F51" s="243"/>
      <c r="G51" s="243"/>
      <c r="H51" s="243"/>
      <c r="I51" s="243"/>
      <c r="J51" s="244"/>
    </row>
    <row r="52" spans="4:10" ht="18" customHeight="1">
      <c r="D52" s="260"/>
      <c r="E52" s="242"/>
      <c r="F52" s="243"/>
      <c r="G52" s="243"/>
      <c r="H52" s="243"/>
      <c r="I52" s="243"/>
      <c r="J52" s="244"/>
    </row>
    <row r="53" spans="4:10" ht="18" customHeight="1">
      <c r="D53" s="260"/>
      <c r="E53" s="242"/>
      <c r="F53" s="243"/>
      <c r="G53" s="243"/>
      <c r="H53" s="243"/>
      <c r="I53" s="243"/>
      <c r="J53" s="244"/>
    </row>
    <row r="54" spans="4:10" ht="18" customHeight="1" thickBot="1">
      <c r="D54" s="261"/>
      <c r="E54" s="383"/>
      <c r="F54" s="246"/>
      <c r="G54" s="246"/>
      <c r="H54" s="246"/>
      <c r="I54" s="246"/>
      <c r="J54" s="247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zoomScale="90" zoomScaleNormal="90" workbookViewId="0">
      <selection activeCell="I24" sqref="I24"/>
    </sheetView>
  </sheetViews>
  <sheetFormatPr defaultColWidth="8.75" defaultRowHeight="18" customHeight="1"/>
  <cols>
    <col min="1" max="3" width="2.375" style="30" customWidth="1"/>
    <col min="4" max="6" width="18.25" style="30" customWidth="1"/>
    <col min="7" max="7" width="18.25" style="158" customWidth="1"/>
    <col min="8" max="13" width="18.25" style="30" customWidth="1"/>
    <col min="14" max="16" width="14.625" style="30" customWidth="1"/>
    <col min="17" max="21" width="20.375" style="30" customWidth="1"/>
    <col min="22" max="16384" width="8.75" style="30"/>
  </cols>
  <sheetData>
    <row r="1" spans="1:14" ht="33.6" customHeight="1">
      <c r="A1" s="29" t="s">
        <v>505</v>
      </c>
    </row>
    <row r="3" spans="1:14" s="162" customFormat="1" ht="18" customHeight="1">
      <c r="D3" s="794" t="s">
        <v>506</v>
      </c>
      <c r="E3" s="794" t="s">
        <v>507</v>
      </c>
      <c r="F3" s="794" t="s">
        <v>508</v>
      </c>
      <c r="G3" s="794" t="s">
        <v>509</v>
      </c>
      <c r="H3" s="794" t="s">
        <v>510</v>
      </c>
      <c r="I3" s="794"/>
      <c r="J3" s="794" t="s">
        <v>511</v>
      </c>
      <c r="K3" s="794"/>
      <c r="L3" s="794" t="s">
        <v>1891</v>
      </c>
      <c r="M3" s="794"/>
    </row>
    <row r="4" spans="1:14" s="163" customFormat="1" ht="18" customHeight="1">
      <c r="D4" s="794"/>
      <c r="E4" s="794"/>
      <c r="F4" s="794"/>
      <c r="G4" s="794"/>
      <c r="H4" s="168" t="s">
        <v>512</v>
      </c>
      <c r="I4" s="168" t="s">
        <v>504</v>
      </c>
      <c r="J4" s="168" t="s">
        <v>512</v>
      </c>
      <c r="K4" s="168" t="s">
        <v>504</v>
      </c>
      <c r="L4" s="168" t="s">
        <v>512</v>
      </c>
      <c r="M4" s="168" t="s">
        <v>504</v>
      </c>
    </row>
    <row r="5" spans="1:14" s="164" customFormat="1" ht="18" customHeight="1">
      <c r="D5" s="165">
        <v>1</v>
      </c>
      <c r="E5" s="164" t="s">
        <v>15</v>
      </c>
      <c r="F5" s="164" t="s">
        <v>513</v>
      </c>
      <c r="G5" s="166" t="s">
        <v>514</v>
      </c>
      <c r="H5" s="37">
        <v>1</v>
      </c>
      <c r="I5" s="37">
        <v>1</v>
      </c>
      <c r="J5" s="37">
        <v>1</v>
      </c>
      <c r="K5" s="37">
        <v>1</v>
      </c>
      <c r="L5" s="37">
        <v>1</v>
      </c>
      <c r="M5" s="37">
        <v>1</v>
      </c>
    </row>
    <row r="6" spans="1:14" s="164" customFormat="1" ht="18" customHeight="1">
      <c r="D6" s="165">
        <v>2</v>
      </c>
      <c r="E6" s="164" t="s">
        <v>15</v>
      </c>
      <c r="F6" s="164" t="s">
        <v>515</v>
      </c>
      <c r="G6" s="166" t="s">
        <v>516</v>
      </c>
      <c r="H6" s="37">
        <v>1</v>
      </c>
      <c r="I6" s="37">
        <v>1</v>
      </c>
      <c r="J6" s="37">
        <v>1</v>
      </c>
      <c r="K6" s="37">
        <v>1</v>
      </c>
      <c r="L6" s="37">
        <v>0</v>
      </c>
      <c r="M6" s="37">
        <v>0</v>
      </c>
      <c r="N6" s="162" t="s">
        <v>1892</v>
      </c>
    </row>
    <row r="7" spans="1:14" s="164" customFormat="1" ht="18" customHeight="1">
      <c r="D7" s="165">
        <v>3</v>
      </c>
      <c r="E7" s="164" t="s">
        <v>15</v>
      </c>
      <c r="F7" s="164" t="s">
        <v>517</v>
      </c>
      <c r="G7" s="166" t="s">
        <v>518</v>
      </c>
      <c r="H7" s="37">
        <v>1</v>
      </c>
      <c r="I7" s="37">
        <v>1</v>
      </c>
      <c r="J7" s="37">
        <v>1</v>
      </c>
      <c r="K7" s="37">
        <v>1</v>
      </c>
      <c r="L7" s="37">
        <v>0</v>
      </c>
      <c r="M7" s="37">
        <v>0</v>
      </c>
      <c r="N7" s="162" t="s">
        <v>1893</v>
      </c>
    </row>
    <row r="8" spans="1:14" s="164" customFormat="1" ht="18" customHeight="1">
      <c r="D8" s="165">
        <v>4</v>
      </c>
      <c r="E8" s="164" t="s">
        <v>15</v>
      </c>
      <c r="F8" s="164" t="s">
        <v>519</v>
      </c>
      <c r="G8" s="166" t="s">
        <v>518</v>
      </c>
      <c r="H8" s="37">
        <v>1</v>
      </c>
      <c r="I8" s="37">
        <v>1</v>
      </c>
      <c r="J8" s="37">
        <v>1</v>
      </c>
      <c r="K8" s="37">
        <v>1</v>
      </c>
      <c r="L8" s="37">
        <v>1</v>
      </c>
      <c r="M8" s="37">
        <v>1</v>
      </c>
    </row>
    <row r="9" spans="1:14" s="164" customFormat="1" ht="18" customHeight="1">
      <c r="D9" s="165">
        <v>5</v>
      </c>
      <c r="E9" s="164" t="s">
        <v>15</v>
      </c>
      <c r="F9" s="164" t="s">
        <v>520</v>
      </c>
      <c r="G9" s="166" t="s">
        <v>518</v>
      </c>
      <c r="H9" s="37">
        <v>1</v>
      </c>
      <c r="I9" s="37">
        <v>1</v>
      </c>
      <c r="J9" s="167">
        <v>0</v>
      </c>
      <c r="K9" s="167">
        <v>0</v>
      </c>
      <c r="L9" s="167">
        <v>0</v>
      </c>
      <c r="M9" s="167">
        <v>0</v>
      </c>
      <c r="N9" s="162" t="s">
        <v>521</v>
      </c>
    </row>
    <row r="10" spans="1:14" s="164" customFormat="1" ht="18" customHeight="1">
      <c r="D10" s="165">
        <v>6</v>
      </c>
      <c r="E10" s="164" t="s">
        <v>15</v>
      </c>
      <c r="F10" s="164" t="s">
        <v>522</v>
      </c>
      <c r="G10" s="166" t="s">
        <v>523</v>
      </c>
      <c r="H10" s="37">
        <v>0.442</v>
      </c>
      <c r="I10" s="37">
        <v>0.442</v>
      </c>
      <c r="J10" s="37">
        <v>1</v>
      </c>
      <c r="K10" s="37">
        <v>1</v>
      </c>
      <c r="L10" s="37">
        <v>0</v>
      </c>
      <c r="M10" s="37">
        <v>0</v>
      </c>
      <c r="N10" s="162" t="s">
        <v>1623</v>
      </c>
    </row>
    <row r="11" spans="1:14" s="164" customFormat="1" ht="18" customHeight="1">
      <c r="D11" s="165">
        <v>7</v>
      </c>
      <c r="E11" s="164" t="s">
        <v>513</v>
      </c>
      <c r="F11" s="164" t="s">
        <v>524</v>
      </c>
      <c r="G11" s="166" t="s">
        <v>525</v>
      </c>
      <c r="H11" s="37">
        <v>1</v>
      </c>
      <c r="I11" s="37">
        <v>1</v>
      </c>
      <c r="J11" s="37">
        <v>1</v>
      </c>
      <c r="K11" s="37">
        <v>1</v>
      </c>
      <c r="L11" s="37">
        <v>1</v>
      </c>
      <c r="M11" s="37">
        <v>1</v>
      </c>
    </row>
    <row r="12" spans="1:14" s="164" customFormat="1" ht="18" customHeight="1">
      <c r="D12" s="165">
        <v>8</v>
      </c>
      <c r="E12" s="164" t="s">
        <v>513</v>
      </c>
      <c r="F12" s="164" t="s">
        <v>526</v>
      </c>
      <c r="G12" s="166" t="s">
        <v>525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</row>
    <row r="13" spans="1:14" ht="18" customHeight="1">
      <c r="H13" s="160"/>
      <c r="I13" s="160"/>
    </row>
    <row r="14" spans="1:14" ht="18" customHeight="1">
      <c r="H14" s="160"/>
      <c r="I14" s="160"/>
    </row>
    <row r="15" spans="1:14" s="29" customFormat="1" ht="18" customHeight="1">
      <c r="G15" s="159"/>
      <c r="H15" s="161"/>
      <c r="I15" s="161"/>
    </row>
    <row r="16" spans="1:14" ht="18" customHeight="1">
      <c r="H16" s="160"/>
      <c r="I16" s="160"/>
    </row>
  </sheetData>
  <mergeCells count="7">
    <mergeCell ref="J3:K3"/>
    <mergeCell ref="L3:M3"/>
    <mergeCell ref="D3:D4"/>
    <mergeCell ref="E3:E4"/>
    <mergeCell ref="F3:F4"/>
    <mergeCell ref="G3:G4"/>
    <mergeCell ref="H3:I3"/>
  </mergeCells>
  <phoneticPr fontId="18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223055"/>
  </sheetPr>
  <dimension ref="C4:N61"/>
  <sheetViews>
    <sheetView showGridLines="0" zoomScaleNormal="100" workbookViewId="0">
      <selection activeCell="L32" sqref="L32:L33"/>
    </sheetView>
  </sheetViews>
  <sheetFormatPr defaultColWidth="9.125" defaultRowHeight="16.5" customHeight="1"/>
  <cols>
    <col min="1" max="3" width="2.75" style="28" customWidth="1"/>
    <col min="4" max="13" width="21.75" style="28" customWidth="1"/>
    <col min="14" max="23" width="20.75" style="28" customWidth="1"/>
    <col min="24" max="16384" width="9.125" style="28"/>
  </cols>
  <sheetData>
    <row r="4" spans="3:8" s="206" customFormat="1" ht="16.5" customHeight="1">
      <c r="C4" s="206">
        <v>1</v>
      </c>
      <c r="D4" s="206" t="s">
        <v>1842</v>
      </c>
      <c r="F4" s="28"/>
    </row>
    <row r="6" spans="3:8" ht="16.5" customHeight="1">
      <c r="D6" s="28" t="s">
        <v>1843</v>
      </c>
      <c r="E6" s="28">
        <v>1199</v>
      </c>
    </row>
    <row r="7" spans="3:8" ht="16.5" customHeight="1">
      <c r="D7" s="28" t="s">
        <v>1844</v>
      </c>
      <c r="E7" s="28">
        <v>650333455</v>
      </c>
      <c r="F7" s="28" t="s">
        <v>1869</v>
      </c>
    </row>
    <row r="8" spans="3:8" ht="16.5" customHeight="1" thickBot="1">
      <c r="D8" s="28" t="s">
        <v>1845</v>
      </c>
      <c r="E8" s="28">
        <v>-148309663</v>
      </c>
    </row>
    <row r="9" spans="3:8" ht="16.5" customHeight="1" thickBot="1">
      <c r="D9" s="346" t="s">
        <v>1867</v>
      </c>
      <c r="E9" s="347">
        <f>E6-E7+E8</f>
        <v>-798641919</v>
      </c>
    </row>
    <row r="13" spans="3:8" ht="16.5" customHeight="1" thickBot="1">
      <c r="D13" s="28" t="s">
        <v>1870</v>
      </c>
    </row>
    <row r="14" spans="3:8" ht="16.5" customHeight="1" thickBot="1">
      <c r="D14" s="808" t="s">
        <v>1887</v>
      </c>
      <c r="E14" s="809"/>
      <c r="F14" s="809"/>
      <c r="G14" s="810"/>
    </row>
    <row r="15" spans="3:8" ht="16.5" customHeight="1">
      <c r="D15" s="35" t="s">
        <v>0</v>
      </c>
      <c r="E15" s="38">
        <v>2192328600</v>
      </c>
      <c r="F15" s="36" t="s">
        <v>1871</v>
      </c>
      <c r="G15" s="201">
        <v>1541995145</v>
      </c>
      <c r="H15" s="28" t="s">
        <v>1680</v>
      </c>
    </row>
    <row r="16" spans="3:8" ht="16.5" customHeight="1">
      <c r="D16" s="35"/>
      <c r="E16" s="38"/>
      <c r="F16" s="36"/>
      <c r="G16" s="201"/>
    </row>
    <row r="17" spans="4:10" ht="16.5" customHeight="1">
      <c r="D17" s="35" t="s">
        <v>1845</v>
      </c>
      <c r="E17" s="38">
        <f>-E8</f>
        <v>148309663</v>
      </c>
      <c r="F17" s="36" t="s">
        <v>1872</v>
      </c>
      <c r="G17" s="201">
        <v>3510577560</v>
      </c>
    </row>
    <row r="18" spans="4:10" ht="16.5" customHeight="1" thickBot="1">
      <c r="D18" s="348"/>
      <c r="E18" s="218"/>
      <c r="F18" s="345" t="s">
        <v>1844</v>
      </c>
      <c r="G18" s="208">
        <f>SUM(E15:E17)-SUM(G15:G17)</f>
        <v>-2711934442</v>
      </c>
    </row>
    <row r="19" spans="4:10" ht="16.5" customHeight="1">
      <c r="G19" s="206">
        <f>SUM(G17:G18)</f>
        <v>798643118</v>
      </c>
    </row>
    <row r="20" spans="4:10" ht="16.5" customHeight="1" thickBot="1"/>
    <row r="21" spans="4:10" ht="16.5" customHeight="1">
      <c r="D21" s="349" t="s">
        <v>1846</v>
      </c>
      <c r="E21" s="350">
        <v>2590571062</v>
      </c>
      <c r="F21" s="350" t="s">
        <v>13</v>
      </c>
      <c r="G21" s="351">
        <v>2590571062</v>
      </c>
      <c r="H21" s="28" t="s">
        <v>1916</v>
      </c>
    </row>
    <row r="22" spans="4:10" ht="16.5" customHeight="1">
      <c r="D22" s="202"/>
      <c r="E22" s="36"/>
      <c r="F22" s="36"/>
      <c r="G22" s="201"/>
    </row>
    <row r="23" spans="4:10" ht="16.5" customHeight="1">
      <c r="D23" s="202" t="s">
        <v>1846</v>
      </c>
      <c r="E23" s="36">
        <f>SUM(G47:H47,J47)</f>
        <v>920006498</v>
      </c>
      <c r="F23" s="36" t="s">
        <v>303</v>
      </c>
      <c r="G23" s="201">
        <f>E23</f>
        <v>920006498</v>
      </c>
      <c r="H23" s="28" t="s">
        <v>1917</v>
      </c>
    </row>
    <row r="24" spans="4:10" ht="16.5" customHeight="1">
      <c r="D24" s="202"/>
      <c r="E24" s="36"/>
      <c r="F24" s="36"/>
      <c r="G24" s="201"/>
    </row>
    <row r="25" spans="4:10" ht="16.5" customHeight="1">
      <c r="D25" s="202" t="s">
        <v>861</v>
      </c>
      <c r="E25" s="36">
        <f>T_IS!J97</f>
        <v>3510577560</v>
      </c>
      <c r="F25" s="36" t="s">
        <v>1846</v>
      </c>
      <c r="G25" s="201">
        <f>E25</f>
        <v>3510577560</v>
      </c>
      <c r="H25" s="28" t="s">
        <v>1918</v>
      </c>
    </row>
    <row r="26" spans="4:10" ht="16.5" customHeight="1">
      <c r="D26" s="202"/>
      <c r="E26" s="36"/>
      <c r="F26" s="36"/>
      <c r="G26" s="201"/>
      <c r="J26" s="352"/>
    </row>
    <row r="27" spans="4:10" ht="16.5" customHeight="1">
      <c r="D27" s="202" t="s">
        <v>1844</v>
      </c>
      <c r="E27" s="36">
        <f>E9</f>
        <v>-798641919</v>
      </c>
      <c r="F27" s="36" t="s">
        <v>1846</v>
      </c>
      <c r="G27" s="201">
        <f>E27</f>
        <v>-798641919</v>
      </c>
      <c r="J27" s="352"/>
    </row>
    <row r="28" spans="4:10" ht="16.5" customHeight="1">
      <c r="D28" s="202"/>
      <c r="E28" s="36"/>
      <c r="F28" s="36"/>
      <c r="G28" s="201"/>
      <c r="J28" s="352"/>
    </row>
    <row r="29" spans="4:10" ht="16.5" customHeight="1">
      <c r="D29" s="202" t="s">
        <v>303</v>
      </c>
      <c r="E29" s="259">
        <v>0</v>
      </c>
      <c r="F29" s="36" t="s">
        <v>1846</v>
      </c>
      <c r="G29" s="201">
        <f>E29</f>
        <v>0</v>
      </c>
      <c r="J29" s="352"/>
    </row>
    <row r="30" spans="4:10" ht="16.5" customHeight="1" thickBot="1">
      <c r="D30" s="202"/>
      <c r="E30" s="36"/>
      <c r="F30" s="36"/>
      <c r="G30" s="201"/>
      <c r="J30" s="352"/>
    </row>
    <row r="31" spans="4:10" s="206" customFormat="1" ht="16.5" customHeight="1">
      <c r="D31" s="353" t="s">
        <v>1846</v>
      </c>
      <c r="E31" s="354">
        <f>SUMIF($D$21:$D$29,D31,$E$21:$E$29)</f>
        <v>3510577560</v>
      </c>
      <c r="F31" s="354" t="s">
        <v>1846</v>
      </c>
      <c r="G31" s="355">
        <f>SUMIF($F$21:$F$29,F31,$G$21:$G$29)</f>
        <v>2711935641</v>
      </c>
    </row>
    <row r="32" spans="4:10" ht="16.5" customHeight="1" thickBot="1">
      <c r="D32" s="356"/>
      <c r="E32" s="356"/>
      <c r="F32" s="356" t="s">
        <v>1866</v>
      </c>
      <c r="G32" s="357">
        <f>E31-G31</f>
        <v>798641919</v>
      </c>
    </row>
    <row r="34" spans="4:14" ht="16.5" customHeight="1">
      <c r="D34" s="27"/>
    </row>
    <row r="36" spans="4:14" ht="16.5" customHeight="1" thickBot="1">
      <c r="D36" s="28" t="s">
        <v>1913</v>
      </c>
      <c r="F36" s="28" t="s">
        <v>1912</v>
      </c>
    </row>
    <row r="37" spans="4:14" ht="16.5" customHeight="1" thickBot="1">
      <c r="D37" s="358" t="s">
        <v>1853</v>
      </c>
      <c r="E37" s="359" t="s">
        <v>416</v>
      </c>
      <c r="F37" s="359" t="s">
        <v>1854</v>
      </c>
      <c r="G37" s="359" t="s">
        <v>303</v>
      </c>
      <c r="H37" s="359" t="s">
        <v>1855</v>
      </c>
      <c r="I37" s="359" t="s">
        <v>1856</v>
      </c>
      <c r="J37" s="359" t="s">
        <v>1857</v>
      </c>
      <c r="K37" s="359" t="s">
        <v>1858</v>
      </c>
      <c r="L37" s="359" t="s">
        <v>1859</v>
      </c>
      <c r="M37" s="360" t="s">
        <v>562</v>
      </c>
    </row>
    <row r="38" spans="4:14" ht="16.5" customHeight="1">
      <c r="D38" s="811" t="s">
        <v>1860</v>
      </c>
      <c r="E38" s="361" t="s">
        <v>1861</v>
      </c>
      <c r="F38" s="362">
        <v>2590571062</v>
      </c>
      <c r="G38" s="362">
        <v>1711716954</v>
      </c>
      <c r="H38" s="362">
        <v>196355198</v>
      </c>
      <c r="I38" s="362">
        <v>-3510577560</v>
      </c>
      <c r="J38" s="362">
        <v>-306100509</v>
      </c>
      <c r="K38" s="362">
        <v>-2518274</v>
      </c>
      <c r="L38" s="362">
        <v>-396344008</v>
      </c>
      <c r="M38" s="363">
        <v>283102863</v>
      </c>
      <c r="N38" s="28" t="b">
        <f>SUM(F38:L38)=M38</f>
        <v>1</v>
      </c>
    </row>
    <row r="39" spans="4:14" ht="16.5" customHeight="1" thickBot="1">
      <c r="D39" s="812"/>
      <c r="E39" s="662" t="s">
        <v>1862</v>
      </c>
      <c r="F39" s="364"/>
      <c r="G39" s="364"/>
      <c r="H39" s="364"/>
      <c r="I39" s="364"/>
      <c r="J39" s="364"/>
      <c r="K39" s="364"/>
      <c r="L39" s="364">
        <v>396344008</v>
      </c>
      <c r="M39" s="365">
        <v>396344008</v>
      </c>
      <c r="N39" s="28" t="b">
        <f>SUM(F39:L39)=M39</f>
        <v>1</v>
      </c>
    </row>
    <row r="40" spans="4:14" s="206" customFormat="1" ht="16.5" customHeight="1" thickBot="1">
      <c r="D40" s="813" t="s">
        <v>1863</v>
      </c>
      <c r="E40" s="814"/>
      <c r="F40" s="366">
        <v>2590571062</v>
      </c>
      <c r="G40" s="366">
        <v>1711716954</v>
      </c>
      <c r="H40" s="366">
        <v>196355198</v>
      </c>
      <c r="I40" s="366">
        <v>-3510577560</v>
      </c>
      <c r="J40" s="366">
        <v>-306100509</v>
      </c>
      <c r="K40" s="366">
        <v>-2518274</v>
      </c>
      <c r="L40" s="366">
        <v>0</v>
      </c>
      <c r="M40" s="367">
        <v>679446871</v>
      </c>
    </row>
    <row r="41" spans="4:14" ht="16.5" customHeight="1">
      <c r="D41" s="815" t="s">
        <v>1864</v>
      </c>
      <c r="E41" s="368" t="s">
        <v>1861</v>
      </c>
      <c r="F41" s="369">
        <v>2316940.4</v>
      </c>
      <c r="G41" s="369">
        <v>1402188.24</v>
      </c>
      <c r="H41" s="369"/>
      <c r="I41" s="369">
        <v>-2888888.71</v>
      </c>
      <c r="J41" s="369">
        <v>-262385</v>
      </c>
      <c r="K41" s="369">
        <v>-2261.9299999999998</v>
      </c>
      <c r="L41" s="369">
        <v>-329929.25</v>
      </c>
      <c r="M41" s="370">
        <v>235663.75</v>
      </c>
    </row>
    <row r="42" spans="4:14" ht="16.5" customHeight="1" thickBot="1">
      <c r="D42" s="812"/>
      <c r="E42" s="662" t="s">
        <v>1862</v>
      </c>
      <c r="F42" s="364"/>
      <c r="G42" s="364"/>
      <c r="H42" s="364"/>
      <c r="I42" s="364"/>
      <c r="J42" s="364"/>
      <c r="K42" s="364"/>
      <c r="L42" s="364">
        <v>329929.25</v>
      </c>
      <c r="M42" s="365">
        <v>329929.25</v>
      </c>
    </row>
    <row r="43" spans="4:14" ht="16.5" customHeight="1" thickBot="1">
      <c r="D43" s="816" t="s">
        <v>1863</v>
      </c>
      <c r="E43" s="817"/>
      <c r="F43" s="371">
        <v>2316940.4</v>
      </c>
      <c r="G43" s="371">
        <v>1402188.24</v>
      </c>
      <c r="H43" s="371">
        <v>0</v>
      </c>
      <c r="I43" s="371">
        <v>-2888888.71</v>
      </c>
      <c r="J43" s="371">
        <v>-262385</v>
      </c>
      <c r="K43" s="371">
        <v>-2261.9299999999998</v>
      </c>
      <c r="L43" s="371">
        <v>0</v>
      </c>
      <c r="M43" s="372">
        <v>565593</v>
      </c>
    </row>
    <row r="45" spans="4:14" ht="16.5" customHeight="1" thickBot="1">
      <c r="D45" s="28" t="s">
        <v>1914</v>
      </c>
    </row>
    <row r="46" spans="4:14" ht="16.5" customHeight="1" thickBot="1">
      <c r="D46" s="358" t="s">
        <v>1853</v>
      </c>
      <c r="E46" s="359" t="s">
        <v>416</v>
      </c>
      <c r="F46" s="359" t="s">
        <v>1854</v>
      </c>
      <c r="G46" s="359" t="s">
        <v>303</v>
      </c>
      <c r="H46" s="359" t="s">
        <v>1855</v>
      </c>
      <c r="I46" s="359" t="s">
        <v>1856</v>
      </c>
      <c r="J46" s="359" t="s">
        <v>1857</v>
      </c>
      <c r="K46" s="359" t="s">
        <v>1858</v>
      </c>
      <c r="L46" s="359" t="s">
        <v>1859</v>
      </c>
      <c r="M46" s="360" t="s">
        <v>562</v>
      </c>
    </row>
    <row r="47" spans="4:14" ht="16.5" customHeight="1">
      <c r="D47" s="811" t="s">
        <v>1860</v>
      </c>
      <c r="E47" s="361" t="s">
        <v>1861</v>
      </c>
      <c r="F47" s="362">
        <v>2590571062</v>
      </c>
      <c r="G47" s="362">
        <v>1029751809</v>
      </c>
      <c r="H47" s="362">
        <v>196355198</v>
      </c>
      <c r="I47" s="362">
        <v>-3510577560</v>
      </c>
      <c r="J47" s="362">
        <f>J38</f>
        <v>-306100509</v>
      </c>
      <c r="K47" s="362"/>
      <c r="L47" s="362"/>
      <c r="M47" s="363">
        <f>SUM(F47:L47)</f>
        <v>0</v>
      </c>
      <c r="N47" s="28">
        <f>SUM(F47:L47)</f>
        <v>0</v>
      </c>
    </row>
    <row r="48" spans="4:14" ht="16.5" customHeight="1" thickBot="1">
      <c r="D48" s="812"/>
      <c r="E48" s="662" t="s">
        <v>1862</v>
      </c>
      <c r="F48" s="364"/>
      <c r="G48" s="364"/>
      <c r="H48" s="364"/>
      <c r="I48" s="364"/>
      <c r="J48" s="364"/>
      <c r="K48" s="364"/>
      <c r="L48" s="364"/>
      <c r="M48" s="365">
        <f>SUM(F48:L48)</f>
        <v>0</v>
      </c>
      <c r="N48" s="28">
        <f>SUM(F48:L48)</f>
        <v>0</v>
      </c>
    </row>
    <row r="49" spans="4:13" ht="16.5" customHeight="1" thickBot="1">
      <c r="D49" s="813" t="s">
        <v>1863</v>
      </c>
      <c r="E49" s="814"/>
      <c r="F49" s="366">
        <v>2590571062</v>
      </c>
      <c r="G49" s="366">
        <v>1711716954</v>
      </c>
      <c r="H49" s="366">
        <v>196355198</v>
      </c>
      <c r="I49" s="366">
        <v>-3510577560</v>
      </c>
      <c r="J49" s="366">
        <v>-306100509</v>
      </c>
      <c r="K49" s="366">
        <v>0</v>
      </c>
      <c r="L49" s="366">
        <v>0</v>
      </c>
      <c r="M49" s="367">
        <f>SUM(M47:M48)</f>
        <v>0</v>
      </c>
    </row>
    <row r="50" spans="4:13" ht="16.5" customHeight="1">
      <c r="D50" s="815" t="s">
        <v>1864</v>
      </c>
      <c r="E50" s="368" t="s">
        <v>1861</v>
      </c>
      <c r="F50" s="369">
        <v>2316940.4</v>
      </c>
      <c r="G50" s="369">
        <v>1402188.24</v>
      </c>
      <c r="H50" s="369"/>
      <c r="I50" s="369">
        <v>-2888888.71</v>
      </c>
      <c r="J50" s="369">
        <v>-262385</v>
      </c>
      <c r="K50" s="369">
        <v>-2261.9299999999998</v>
      </c>
      <c r="L50" s="369">
        <v>-329929.25</v>
      </c>
      <c r="M50" s="370">
        <v>235663.75</v>
      </c>
    </row>
    <row r="51" spans="4:13" ht="16.5" customHeight="1" thickBot="1">
      <c r="D51" s="812"/>
      <c r="E51" s="662" t="s">
        <v>1862</v>
      </c>
      <c r="F51" s="364"/>
      <c r="G51" s="364"/>
      <c r="H51" s="364"/>
      <c r="I51" s="364"/>
      <c r="J51" s="364"/>
      <c r="K51" s="364"/>
      <c r="L51" s="364">
        <v>329929.25</v>
      </c>
      <c r="M51" s="365">
        <v>329929.25</v>
      </c>
    </row>
    <row r="52" spans="4:13" ht="16.5" customHeight="1" thickBot="1">
      <c r="D52" s="816" t="s">
        <v>1863</v>
      </c>
      <c r="E52" s="817"/>
      <c r="F52" s="371">
        <v>2316940.4</v>
      </c>
      <c r="G52" s="371">
        <v>1402188.24</v>
      </c>
      <c r="H52" s="371">
        <v>0</v>
      </c>
      <c r="I52" s="371">
        <v>-2888888.71</v>
      </c>
      <c r="J52" s="371">
        <v>-262385</v>
      </c>
      <c r="K52" s="371">
        <v>-2261.9299999999998</v>
      </c>
      <c r="L52" s="371">
        <v>0</v>
      </c>
      <c r="M52" s="372">
        <v>565593</v>
      </c>
    </row>
    <row r="53" spans="4:13" ht="16.5" customHeight="1">
      <c r="G53" s="28">
        <f>+G49-G47</f>
        <v>681965145</v>
      </c>
    </row>
    <row r="55" spans="4:13" ht="16.5" customHeight="1" thickBot="1">
      <c r="D55" s="28" t="s">
        <v>1868</v>
      </c>
    </row>
    <row r="56" spans="4:13" s="196" customFormat="1" ht="16.5" customHeight="1" thickBot="1">
      <c r="D56" s="373" t="s">
        <v>462</v>
      </c>
      <c r="E56" s="374" t="s">
        <v>1873</v>
      </c>
      <c r="F56" s="374" t="s">
        <v>1874</v>
      </c>
      <c r="G56" s="375" t="s">
        <v>562</v>
      </c>
    </row>
    <row r="57" spans="4:13" ht="16.5" customHeight="1" thickBot="1">
      <c r="D57" s="344">
        <v>0</v>
      </c>
      <c r="E57" s="345">
        <f>E29</f>
        <v>0</v>
      </c>
      <c r="F57" s="345">
        <v>0</v>
      </c>
      <c r="G57" s="208">
        <f>SUM(D57:F57)</f>
        <v>0</v>
      </c>
      <c r="H57" s="27" t="b">
        <f>G57=M49</f>
        <v>1</v>
      </c>
    </row>
    <row r="61" spans="4:13" ht="16.5" customHeight="1">
      <c r="G61" s="376"/>
    </row>
  </sheetData>
  <mergeCells count="9">
    <mergeCell ref="D14:G14"/>
    <mergeCell ref="D47:D48"/>
    <mergeCell ref="D49:E49"/>
    <mergeCell ref="D50:D51"/>
    <mergeCell ref="D52:E52"/>
    <mergeCell ref="D38:D39"/>
    <mergeCell ref="D40:E40"/>
    <mergeCell ref="D41:D42"/>
    <mergeCell ref="D43:E43"/>
  </mergeCells>
  <phoneticPr fontId="18" type="noConversion"/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223055"/>
  </sheetPr>
  <dimension ref="D1:AH309"/>
  <sheetViews>
    <sheetView showGridLines="0" zoomScaleNormal="100" workbookViewId="0">
      <pane xSplit="5" ySplit="4" topLeftCell="F42" activePane="bottomRight" state="frozen"/>
      <selection sqref="A1:XFD1048576"/>
      <selection pane="topRight" sqref="A1:XFD1048576"/>
      <selection pane="bottomLeft" sqref="A1:XFD1048576"/>
      <selection pane="bottomRight" activeCell="M51" sqref="M51"/>
    </sheetView>
  </sheetViews>
  <sheetFormatPr defaultColWidth="8.75" defaultRowHeight="18" customHeight="1"/>
  <cols>
    <col min="1" max="3" width="2.375" style="28" customWidth="1"/>
    <col min="4" max="4" width="20.375" style="28" customWidth="1"/>
    <col min="5" max="5" width="32.375" style="28" bestFit="1" customWidth="1"/>
    <col min="6" max="8" width="20.375" style="28" customWidth="1"/>
    <col min="9" max="9" width="3.375" style="28" customWidth="1"/>
    <col min="10" max="10" width="8.75" style="717" bestFit="1" customWidth="1"/>
    <col min="11" max="11" width="14.125" style="28" customWidth="1"/>
    <col min="12" max="13" width="13.625" style="28" bestFit="1" customWidth="1"/>
    <col min="14" max="14" width="13.875" style="28" customWidth="1"/>
    <col min="15" max="16" width="8.75" style="28"/>
    <col min="17" max="17" width="20.125" style="28" customWidth="1"/>
    <col min="18" max="18" width="8.75" style="28"/>
    <col min="19" max="19" width="14.125" style="28" customWidth="1"/>
    <col min="20" max="23" width="1.875" style="28" customWidth="1"/>
    <col min="24" max="24" width="13" style="28" bestFit="1" customWidth="1"/>
    <col min="25" max="26" width="8.75" style="28"/>
    <col min="27" max="27" width="15.25" style="28" customWidth="1"/>
    <col min="28" max="29" width="8.75" style="28"/>
    <col min="30" max="33" width="0" style="28" hidden="1" customWidth="1"/>
    <col min="34" max="34" width="13" style="28" bestFit="1" customWidth="1"/>
    <col min="35" max="16384" width="8.75" style="28"/>
  </cols>
  <sheetData>
    <row r="1" spans="4:34" ht="18" customHeight="1">
      <c r="X1" s="28">
        <v>3933393</v>
      </c>
    </row>
    <row r="2" spans="4:34" ht="18" customHeight="1">
      <c r="X2" s="28">
        <f>X1-X35</f>
        <v>0</v>
      </c>
    </row>
    <row r="3" spans="4:34" ht="18" customHeight="1" thickBot="1">
      <c r="D3" s="27" t="s">
        <v>409</v>
      </c>
      <c r="F3" s="28">
        <v>3514628282.8815999</v>
      </c>
      <c r="G3" s="28">
        <v>3514628282.8815999</v>
      </c>
      <c r="H3" s="28">
        <f>SUM(H4:H203)</f>
        <v>0</v>
      </c>
      <c r="L3" s="28">
        <f>SUM(L5:L325)</f>
        <v>3320219725</v>
      </c>
      <c r="M3" s="28">
        <f>SUM(M5:M325)</f>
        <v>3320219725</v>
      </c>
    </row>
    <row r="4" spans="4:34" ht="18" customHeight="1">
      <c r="D4" s="42" t="s">
        <v>16</v>
      </c>
      <c r="E4" s="43" t="s">
        <v>19</v>
      </c>
      <c r="F4" s="43" t="s">
        <v>406</v>
      </c>
      <c r="G4" s="43" t="s">
        <v>407</v>
      </c>
      <c r="H4" s="44" t="s">
        <v>408</v>
      </c>
      <c r="J4" s="718" t="s">
        <v>16</v>
      </c>
      <c r="K4" s="43" t="s">
        <v>1957</v>
      </c>
      <c r="L4" s="719" t="s">
        <v>406</v>
      </c>
      <c r="M4" s="719" t="s">
        <v>407</v>
      </c>
      <c r="N4" s="43" t="s">
        <v>1927</v>
      </c>
      <c r="P4" s="748" t="s">
        <v>1647</v>
      </c>
      <c r="Q4" s="748" t="s">
        <v>1648</v>
      </c>
      <c r="R4" s="748" t="s">
        <v>1649</v>
      </c>
      <c r="S4" s="748" t="s">
        <v>546</v>
      </c>
      <c r="T4" s="748" t="s">
        <v>1650</v>
      </c>
      <c r="U4" s="748" t="s">
        <v>1651</v>
      </c>
      <c r="V4" s="748" t="s">
        <v>1652</v>
      </c>
      <c r="W4" s="748" t="s">
        <v>1653</v>
      </c>
      <c r="X4" s="748" t="s">
        <v>1654</v>
      </c>
      <c r="Z4" s="748" t="s">
        <v>1647</v>
      </c>
      <c r="AA4" s="748" t="s">
        <v>1648</v>
      </c>
      <c r="AB4" s="748" t="s">
        <v>1649</v>
      </c>
      <c r="AC4" s="748" t="s">
        <v>546</v>
      </c>
      <c r="AD4" s="748" t="s">
        <v>1650</v>
      </c>
      <c r="AE4" s="748" t="s">
        <v>1651</v>
      </c>
      <c r="AF4" s="748" t="s">
        <v>1652</v>
      </c>
      <c r="AG4" s="748" t="s">
        <v>1653</v>
      </c>
      <c r="AH4" s="748" t="s">
        <v>1654</v>
      </c>
    </row>
    <row r="5" spans="4:34" ht="18" customHeight="1">
      <c r="D5" s="45"/>
      <c r="E5" s="658" t="s">
        <v>0</v>
      </c>
      <c r="F5" s="658">
        <v>0</v>
      </c>
      <c r="G5" s="658"/>
      <c r="H5" s="47"/>
      <c r="J5" s="717">
        <v>111731</v>
      </c>
      <c r="K5" s="28" t="s">
        <v>26</v>
      </c>
      <c r="M5" s="734">
        <f>+X17</f>
        <v>21998200</v>
      </c>
      <c r="N5" s="28" t="s">
        <v>15</v>
      </c>
      <c r="P5" s="749" t="s">
        <v>1655</v>
      </c>
      <c r="Q5" s="749" t="s">
        <v>522</v>
      </c>
      <c r="R5" s="749" t="s">
        <v>1656</v>
      </c>
      <c r="S5" s="749" t="s">
        <v>67</v>
      </c>
      <c r="T5" s="749" t="s">
        <v>1657</v>
      </c>
      <c r="U5" s="750">
        <v>207476875</v>
      </c>
      <c r="V5" s="750">
        <v>0</v>
      </c>
      <c r="W5" s="750">
        <v>0</v>
      </c>
      <c r="X5" s="750">
        <v>207476875</v>
      </c>
      <c r="Y5" s="28">
        <f>AH5-X5</f>
        <v>0</v>
      </c>
      <c r="Z5" s="749" t="s">
        <v>1655</v>
      </c>
      <c r="AA5" s="749" t="s">
        <v>522</v>
      </c>
      <c r="AB5" s="749" t="s">
        <v>1656</v>
      </c>
      <c r="AC5" s="749" t="s">
        <v>67</v>
      </c>
      <c r="AD5" s="749" t="s">
        <v>1657</v>
      </c>
      <c r="AE5" s="750">
        <v>207476875</v>
      </c>
      <c r="AF5" s="750">
        <v>0</v>
      </c>
      <c r="AG5" s="750">
        <v>0</v>
      </c>
      <c r="AH5" s="750">
        <v>207476875</v>
      </c>
    </row>
    <row r="6" spans="4:34" ht="18" customHeight="1">
      <c r="D6" s="48"/>
      <c r="E6" s="659" t="s">
        <v>20</v>
      </c>
      <c r="F6" s="659">
        <v>0</v>
      </c>
      <c r="G6" s="659"/>
      <c r="H6" s="50"/>
      <c r="J6" s="717">
        <v>211121</v>
      </c>
      <c r="K6" s="28" t="s">
        <v>139</v>
      </c>
      <c r="L6" s="28">
        <f>+M5</f>
        <v>21998200</v>
      </c>
      <c r="N6" s="28" t="s">
        <v>1659</v>
      </c>
      <c r="P6" s="749" t="s">
        <v>1655</v>
      </c>
      <c r="Q6" s="749" t="s">
        <v>522</v>
      </c>
      <c r="R6" s="749" t="s">
        <v>1944</v>
      </c>
      <c r="S6" s="749" t="s">
        <v>52</v>
      </c>
      <c r="T6" s="749" t="s">
        <v>1657</v>
      </c>
      <c r="U6" s="750">
        <v>0</v>
      </c>
      <c r="V6" s="750">
        <v>18661800</v>
      </c>
      <c r="W6" s="750">
        <v>0</v>
      </c>
      <c r="X6" s="750">
        <v>18661800</v>
      </c>
      <c r="Y6" s="28">
        <f t="shared" ref="Y6:Y42" si="0">AH6-X6</f>
        <v>0</v>
      </c>
      <c r="Z6" s="749" t="s">
        <v>1655</v>
      </c>
      <c r="AA6" s="749" t="s">
        <v>522</v>
      </c>
      <c r="AB6" s="749" t="s">
        <v>1944</v>
      </c>
      <c r="AC6" s="749" t="s">
        <v>52</v>
      </c>
      <c r="AD6" s="749" t="s">
        <v>1657</v>
      </c>
      <c r="AE6" s="750">
        <v>0</v>
      </c>
      <c r="AF6" s="750">
        <v>18661800</v>
      </c>
      <c r="AG6" s="750">
        <v>0</v>
      </c>
      <c r="AH6" s="750">
        <v>18661800</v>
      </c>
    </row>
    <row r="7" spans="4:34" ht="18" customHeight="1">
      <c r="D7" s="51"/>
      <c r="E7" s="660" t="s">
        <v>1</v>
      </c>
      <c r="F7" s="660">
        <v>0</v>
      </c>
      <c r="G7" s="660"/>
      <c r="H7" s="53"/>
      <c r="J7" s="717">
        <v>111731</v>
      </c>
      <c r="K7" s="28" t="s">
        <v>26</v>
      </c>
      <c r="M7" s="28">
        <f>+L8</f>
        <v>822564121</v>
      </c>
      <c r="N7" s="28" t="s">
        <v>1663</v>
      </c>
      <c r="P7" s="749" t="s">
        <v>1655</v>
      </c>
      <c r="Q7" s="749" t="s">
        <v>522</v>
      </c>
      <c r="R7" s="749" t="s">
        <v>1945</v>
      </c>
      <c r="S7" s="749" t="s">
        <v>53</v>
      </c>
      <c r="T7" s="749" t="s">
        <v>1657</v>
      </c>
      <c r="U7" s="750">
        <v>0</v>
      </c>
      <c r="V7" s="750">
        <v>1866180</v>
      </c>
      <c r="W7" s="750">
        <v>0</v>
      </c>
      <c r="X7" s="750">
        <v>1866180</v>
      </c>
      <c r="Y7" s="28">
        <f t="shared" si="0"/>
        <v>0</v>
      </c>
      <c r="Z7" s="749" t="s">
        <v>1655</v>
      </c>
      <c r="AA7" s="749" t="s">
        <v>522</v>
      </c>
      <c r="AB7" s="749" t="s">
        <v>1945</v>
      </c>
      <c r="AC7" s="749" t="s">
        <v>53</v>
      </c>
      <c r="AD7" s="749" t="s">
        <v>1657</v>
      </c>
      <c r="AE7" s="750">
        <v>0</v>
      </c>
      <c r="AF7" s="750">
        <v>1866180</v>
      </c>
      <c r="AG7" s="750">
        <v>0</v>
      </c>
      <c r="AH7" s="750">
        <v>1866180</v>
      </c>
    </row>
    <row r="8" spans="4:34" ht="18" customHeight="1">
      <c r="D8" s="54">
        <v>111151</v>
      </c>
      <c r="E8" s="28" t="s">
        <v>21</v>
      </c>
      <c r="F8" s="28">
        <f>SUMIF($J:$J,$D8,L:L)</f>
        <v>0</v>
      </c>
      <c r="G8" s="28">
        <f>SUMIF($J:$J,$D8,M:M)</f>
        <v>0</v>
      </c>
      <c r="H8" s="55">
        <f>F8-G8</f>
        <v>0</v>
      </c>
      <c r="J8" s="717">
        <v>211121</v>
      </c>
      <c r="K8" s="28" t="s">
        <v>139</v>
      </c>
      <c r="L8" s="734">
        <f>+X24</f>
        <v>822564121</v>
      </c>
      <c r="N8" s="28" t="s">
        <v>15</v>
      </c>
      <c r="P8" s="749" t="s">
        <v>1655</v>
      </c>
      <c r="Q8" s="749" t="s">
        <v>522</v>
      </c>
      <c r="R8" s="749" t="s">
        <v>1946</v>
      </c>
      <c r="S8" s="749" t="s">
        <v>43</v>
      </c>
      <c r="T8" s="749" t="s">
        <v>1657</v>
      </c>
      <c r="U8" s="750">
        <v>1334869670</v>
      </c>
      <c r="V8" s="750">
        <v>0</v>
      </c>
      <c r="W8" s="750">
        <v>0</v>
      </c>
      <c r="X8" s="750">
        <v>1334869670</v>
      </c>
      <c r="Y8" s="28">
        <f t="shared" si="0"/>
        <v>0</v>
      </c>
      <c r="Z8" s="749" t="s">
        <v>1655</v>
      </c>
      <c r="AA8" s="749" t="s">
        <v>522</v>
      </c>
      <c r="AB8" s="749" t="s">
        <v>1946</v>
      </c>
      <c r="AC8" s="749" t="s">
        <v>43</v>
      </c>
      <c r="AD8" s="749" t="s">
        <v>1657</v>
      </c>
      <c r="AE8" s="750">
        <v>1334869670</v>
      </c>
      <c r="AF8" s="750">
        <v>0</v>
      </c>
      <c r="AG8" s="750">
        <v>0</v>
      </c>
      <c r="AH8" s="750">
        <v>1334869670</v>
      </c>
    </row>
    <row r="9" spans="4:34" ht="18" customHeight="1">
      <c r="D9" s="54">
        <v>111171</v>
      </c>
      <c r="E9" s="28" t="s">
        <v>22</v>
      </c>
      <c r="F9" s="28">
        <f>SUMIF($J:$J,$D9,L:L)</f>
        <v>0</v>
      </c>
      <c r="G9" s="28">
        <f>SUMIF($J:$J,$D9,M:M)</f>
        <v>0</v>
      </c>
      <c r="H9" s="55">
        <f>F9-G9</f>
        <v>0</v>
      </c>
      <c r="J9" s="717">
        <v>111731</v>
      </c>
      <c r="K9" s="28" t="s">
        <v>26</v>
      </c>
      <c r="M9" s="721"/>
      <c r="N9" s="722" t="s">
        <v>15</v>
      </c>
      <c r="P9" s="749" t="s">
        <v>1655</v>
      </c>
      <c r="Q9" s="749" t="s">
        <v>522</v>
      </c>
      <c r="R9" s="749" t="s">
        <v>1947</v>
      </c>
      <c r="S9" s="749" t="s">
        <v>49</v>
      </c>
      <c r="T9" s="749" t="s">
        <v>1657</v>
      </c>
      <c r="U9" s="750">
        <v>413000000</v>
      </c>
      <c r="V9" s="750">
        <v>0</v>
      </c>
      <c r="W9" s="750">
        <v>0</v>
      </c>
      <c r="X9" s="750">
        <v>413000000</v>
      </c>
      <c r="Y9" s="28">
        <f t="shared" si="0"/>
        <v>0</v>
      </c>
      <c r="Z9" s="749" t="s">
        <v>1655</v>
      </c>
      <c r="AA9" s="749" t="s">
        <v>522</v>
      </c>
      <c r="AB9" s="749" t="s">
        <v>1947</v>
      </c>
      <c r="AC9" s="749" t="s">
        <v>49</v>
      </c>
      <c r="AD9" s="749" t="s">
        <v>1657</v>
      </c>
      <c r="AE9" s="750">
        <v>413000000</v>
      </c>
      <c r="AF9" s="750">
        <v>0</v>
      </c>
      <c r="AG9" s="750">
        <v>0</v>
      </c>
      <c r="AH9" s="750">
        <v>413000000</v>
      </c>
    </row>
    <row r="10" spans="4:34" ht="18" customHeight="1">
      <c r="D10" s="51"/>
      <c r="E10" s="660" t="s">
        <v>23</v>
      </c>
      <c r="F10" s="660">
        <v>0</v>
      </c>
      <c r="G10" s="660"/>
      <c r="H10" s="53"/>
      <c r="J10" s="717">
        <v>211121</v>
      </c>
      <c r="K10" s="28" t="s">
        <v>139</v>
      </c>
      <c r="L10" s="28">
        <v>0</v>
      </c>
      <c r="N10" s="722" t="s">
        <v>515</v>
      </c>
      <c r="P10" s="749" t="s">
        <v>1655</v>
      </c>
      <c r="Q10" s="749" t="s">
        <v>522</v>
      </c>
      <c r="R10" s="749" t="s">
        <v>1948</v>
      </c>
      <c r="S10" s="749" t="s">
        <v>95</v>
      </c>
      <c r="T10" s="749" t="s">
        <v>1657</v>
      </c>
      <c r="U10" s="750">
        <v>0</v>
      </c>
      <c r="V10" s="750">
        <v>858771447</v>
      </c>
      <c r="W10" s="750">
        <v>0</v>
      </c>
      <c r="X10" s="750">
        <v>858771447</v>
      </c>
      <c r="Y10" s="28">
        <f t="shared" si="0"/>
        <v>0</v>
      </c>
      <c r="Z10" s="749" t="s">
        <v>1655</v>
      </c>
      <c r="AA10" s="749" t="s">
        <v>522</v>
      </c>
      <c r="AB10" s="749" t="s">
        <v>1948</v>
      </c>
      <c r="AC10" s="749" t="s">
        <v>95</v>
      </c>
      <c r="AD10" s="749" t="s">
        <v>1657</v>
      </c>
      <c r="AE10" s="750">
        <v>0</v>
      </c>
      <c r="AF10" s="750">
        <v>858771447</v>
      </c>
      <c r="AG10" s="750">
        <v>0</v>
      </c>
      <c r="AH10" s="750">
        <v>858771447</v>
      </c>
    </row>
    <row r="11" spans="4:34" ht="18" customHeight="1">
      <c r="D11" s="54">
        <v>111711</v>
      </c>
      <c r="E11" s="28" t="s">
        <v>24</v>
      </c>
      <c r="F11" s="28">
        <f t="shared" ref="F11:G25" si="1">SUMIF($J:$J,$D11,L:L)</f>
        <v>0</v>
      </c>
      <c r="G11" s="28">
        <f t="shared" si="1"/>
        <v>57500000</v>
      </c>
      <c r="H11" s="55">
        <f t="shared" ref="H11:H25" si="2">F11-G11</f>
        <v>-57500000</v>
      </c>
      <c r="J11" s="717">
        <v>213150</v>
      </c>
      <c r="K11" s="28" t="s">
        <v>145</v>
      </c>
      <c r="L11" s="721"/>
      <c r="N11" s="722" t="s">
        <v>15</v>
      </c>
      <c r="P11" s="749" t="s">
        <v>1655</v>
      </c>
      <c r="Q11" s="749" t="s">
        <v>522</v>
      </c>
      <c r="R11" s="749" t="s">
        <v>1949</v>
      </c>
      <c r="S11" s="749" t="s">
        <v>98</v>
      </c>
      <c r="T11" s="749" t="s">
        <v>1657</v>
      </c>
      <c r="U11" s="750">
        <v>160000000</v>
      </c>
      <c r="V11" s="750">
        <v>0</v>
      </c>
      <c r="W11" s="750">
        <v>0</v>
      </c>
      <c r="X11" s="750">
        <v>160000000</v>
      </c>
      <c r="Y11" s="28">
        <f t="shared" si="0"/>
        <v>0</v>
      </c>
      <c r="Z11" s="749" t="s">
        <v>1655</v>
      </c>
      <c r="AA11" s="749" t="s">
        <v>522</v>
      </c>
      <c r="AB11" s="749" t="s">
        <v>1949</v>
      </c>
      <c r="AC11" s="749" t="s">
        <v>98</v>
      </c>
      <c r="AD11" s="749" t="s">
        <v>1657</v>
      </c>
      <c r="AE11" s="750">
        <v>160000000</v>
      </c>
      <c r="AF11" s="750">
        <v>0</v>
      </c>
      <c r="AG11" s="750">
        <v>0</v>
      </c>
      <c r="AH11" s="750">
        <v>160000000</v>
      </c>
    </row>
    <row r="12" spans="4:34" ht="18" customHeight="1">
      <c r="D12" s="54">
        <v>111712</v>
      </c>
      <c r="E12" s="28" t="s">
        <v>25</v>
      </c>
      <c r="F12" s="28">
        <f t="shared" si="1"/>
        <v>0</v>
      </c>
      <c r="G12" s="28">
        <f t="shared" si="1"/>
        <v>0</v>
      </c>
      <c r="H12" s="55">
        <f t="shared" si="2"/>
        <v>0</v>
      </c>
      <c r="J12" s="717">
        <v>211121</v>
      </c>
      <c r="K12" s="28" t="s">
        <v>139</v>
      </c>
      <c r="M12" s="28">
        <v>0</v>
      </c>
      <c r="N12" s="722" t="s">
        <v>515</v>
      </c>
      <c r="P12" s="749" t="s">
        <v>1655</v>
      </c>
      <c r="Q12" s="749" t="s">
        <v>522</v>
      </c>
      <c r="R12" s="749" t="s">
        <v>128</v>
      </c>
      <c r="S12" s="749" t="s">
        <v>129</v>
      </c>
      <c r="T12" s="749" t="s">
        <v>1657</v>
      </c>
      <c r="U12" s="750">
        <v>0</v>
      </c>
      <c r="V12" s="750">
        <v>6828862305</v>
      </c>
      <c r="W12" s="750">
        <v>2731869088</v>
      </c>
      <c r="X12" s="750">
        <v>4096993217</v>
      </c>
      <c r="Y12" s="28">
        <f t="shared" si="0"/>
        <v>0</v>
      </c>
      <c r="Z12" s="749" t="s">
        <v>1655</v>
      </c>
      <c r="AA12" s="749" t="s">
        <v>522</v>
      </c>
      <c r="AB12" s="749" t="s">
        <v>128</v>
      </c>
      <c r="AC12" s="749" t="s">
        <v>129</v>
      </c>
      <c r="AD12" s="749" t="s">
        <v>1657</v>
      </c>
      <c r="AE12" s="750">
        <v>0</v>
      </c>
      <c r="AF12" s="750">
        <v>6828862305</v>
      </c>
      <c r="AG12" s="750">
        <v>2731869088</v>
      </c>
      <c r="AH12" s="750">
        <v>4096993217</v>
      </c>
    </row>
    <row r="13" spans="4:34" ht="18" customHeight="1">
      <c r="D13" s="687">
        <v>111731</v>
      </c>
      <c r="E13" s="735" t="s">
        <v>26</v>
      </c>
      <c r="F13" s="735">
        <f t="shared" si="1"/>
        <v>0</v>
      </c>
      <c r="G13" s="735">
        <f t="shared" si="1"/>
        <v>919969835</v>
      </c>
      <c r="H13" s="688">
        <f t="shared" si="2"/>
        <v>-919969835</v>
      </c>
      <c r="J13" s="717">
        <v>111731</v>
      </c>
      <c r="K13" s="28" t="s">
        <v>26</v>
      </c>
      <c r="M13" s="720">
        <v>0</v>
      </c>
      <c r="N13" s="28" t="s">
        <v>15</v>
      </c>
      <c r="P13" s="749" t="s">
        <v>1655</v>
      </c>
      <c r="Q13" s="749" t="s">
        <v>522</v>
      </c>
      <c r="R13" s="749" t="s">
        <v>1950</v>
      </c>
      <c r="S13" s="749" t="s">
        <v>180</v>
      </c>
      <c r="T13" s="749" t="s">
        <v>1657</v>
      </c>
      <c r="U13" s="750">
        <v>157905738</v>
      </c>
      <c r="V13" s="750">
        <v>0</v>
      </c>
      <c r="W13" s="750">
        <v>46117</v>
      </c>
      <c r="X13" s="750">
        <v>157951855</v>
      </c>
      <c r="Y13" s="28">
        <f t="shared" si="0"/>
        <v>0</v>
      </c>
      <c r="Z13" s="749" t="s">
        <v>1655</v>
      </c>
      <c r="AA13" s="749" t="s">
        <v>522</v>
      </c>
      <c r="AB13" s="749" t="s">
        <v>1950</v>
      </c>
      <c r="AC13" s="749" t="s">
        <v>180</v>
      </c>
      <c r="AD13" s="749" t="s">
        <v>1657</v>
      </c>
      <c r="AE13" s="750">
        <v>157905738</v>
      </c>
      <c r="AF13" s="750">
        <v>0</v>
      </c>
      <c r="AG13" s="750">
        <v>46117</v>
      </c>
      <c r="AH13" s="750">
        <v>157951855</v>
      </c>
    </row>
    <row r="14" spans="4:34" ht="18" customHeight="1">
      <c r="D14" s="54">
        <v>111732</v>
      </c>
      <c r="E14" s="28" t="s">
        <v>27</v>
      </c>
      <c r="F14" s="28">
        <f t="shared" si="1"/>
        <v>0</v>
      </c>
      <c r="G14" s="28">
        <f t="shared" si="1"/>
        <v>0</v>
      </c>
      <c r="H14" s="55">
        <f t="shared" si="2"/>
        <v>0</v>
      </c>
      <c r="J14" s="717">
        <v>211121</v>
      </c>
      <c r="K14" s="28" t="s">
        <v>139</v>
      </c>
      <c r="L14" s="28">
        <f>+M13</f>
        <v>0</v>
      </c>
      <c r="N14" s="28" t="s">
        <v>519</v>
      </c>
      <c r="P14" s="749" t="s">
        <v>1655</v>
      </c>
      <c r="Q14" s="749" t="s">
        <v>522</v>
      </c>
      <c r="R14" s="749" t="s">
        <v>1929</v>
      </c>
      <c r="S14" s="749" t="s">
        <v>232</v>
      </c>
      <c r="T14" s="749" t="s">
        <v>1657</v>
      </c>
      <c r="U14" s="750">
        <v>0</v>
      </c>
      <c r="V14" s="750">
        <v>0</v>
      </c>
      <c r="W14" s="750">
        <v>460206</v>
      </c>
      <c r="X14" s="751">
        <v>460206</v>
      </c>
      <c r="Y14" s="28">
        <f t="shared" si="0"/>
        <v>0</v>
      </c>
      <c r="Z14" s="749" t="s">
        <v>1655</v>
      </c>
      <c r="AA14" s="749" t="s">
        <v>522</v>
      </c>
      <c r="AB14" s="749" t="s">
        <v>1929</v>
      </c>
      <c r="AC14" s="749" t="s">
        <v>232</v>
      </c>
      <c r="AD14" s="749" t="s">
        <v>1657</v>
      </c>
      <c r="AE14" s="750">
        <v>0</v>
      </c>
      <c r="AF14" s="750">
        <v>0</v>
      </c>
      <c r="AG14" s="750">
        <v>460206</v>
      </c>
      <c r="AH14" s="750">
        <v>460206</v>
      </c>
    </row>
    <row r="15" spans="4:34" ht="18" customHeight="1">
      <c r="D15" s="54">
        <v>111761</v>
      </c>
      <c r="E15" s="28" t="s">
        <v>28</v>
      </c>
      <c r="F15" s="28">
        <f t="shared" si="1"/>
        <v>0</v>
      </c>
      <c r="G15" s="28">
        <f t="shared" si="1"/>
        <v>0</v>
      </c>
      <c r="H15" s="55">
        <f t="shared" si="2"/>
        <v>0</v>
      </c>
      <c r="J15" s="717">
        <v>111711</v>
      </c>
      <c r="K15" s="28" t="s">
        <v>24</v>
      </c>
      <c r="M15" s="734">
        <f>X31</f>
        <v>57500000</v>
      </c>
      <c r="N15" s="28" t="s">
        <v>15</v>
      </c>
      <c r="P15" s="749" t="s">
        <v>1655</v>
      </c>
      <c r="Q15" s="749" t="s">
        <v>522</v>
      </c>
      <c r="R15" s="749" t="s">
        <v>318</v>
      </c>
      <c r="S15" s="749" t="s">
        <v>319</v>
      </c>
      <c r="T15" s="749" t="s">
        <v>1657</v>
      </c>
      <c r="U15" s="750">
        <v>0</v>
      </c>
      <c r="V15" s="750">
        <v>0</v>
      </c>
      <c r="W15" s="750">
        <v>12831289</v>
      </c>
      <c r="X15" s="751">
        <v>12831289</v>
      </c>
      <c r="Y15" s="28">
        <f t="shared" si="0"/>
        <v>0</v>
      </c>
      <c r="Z15" s="749" t="s">
        <v>1655</v>
      </c>
      <c r="AA15" s="749" t="s">
        <v>522</v>
      </c>
      <c r="AB15" s="749" t="s">
        <v>318</v>
      </c>
      <c r="AC15" s="749" t="s">
        <v>319</v>
      </c>
      <c r="AD15" s="749" t="s">
        <v>1657</v>
      </c>
      <c r="AE15" s="750">
        <v>0</v>
      </c>
      <c r="AF15" s="750">
        <v>0</v>
      </c>
      <c r="AG15" s="750">
        <v>12831289</v>
      </c>
      <c r="AH15" s="750">
        <v>12831289</v>
      </c>
    </row>
    <row r="16" spans="4:34" ht="18" customHeight="1">
      <c r="D16" s="54">
        <v>111762</v>
      </c>
      <c r="E16" s="28" t="s">
        <v>29</v>
      </c>
      <c r="F16" s="28">
        <f t="shared" si="1"/>
        <v>0</v>
      </c>
      <c r="G16" s="28">
        <f t="shared" si="1"/>
        <v>0</v>
      </c>
      <c r="H16" s="55">
        <f t="shared" si="2"/>
        <v>0</v>
      </c>
      <c r="J16" s="717">
        <v>213150</v>
      </c>
      <c r="K16" s="28" t="s">
        <v>145</v>
      </c>
      <c r="L16" s="28">
        <f>+M15</f>
        <v>57500000</v>
      </c>
      <c r="N16" s="28" t="s">
        <v>1673</v>
      </c>
      <c r="P16" s="749" t="s">
        <v>1951</v>
      </c>
      <c r="Q16" s="749" t="s">
        <v>1952</v>
      </c>
      <c r="R16" s="749" t="s">
        <v>1946</v>
      </c>
      <c r="S16" s="749" t="s">
        <v>43</v>
      </c>
      <c r="T16" s="749" t="s">
        <v>1661</v>
      </c>
      <c r="U16" s="750">
        <v>613922</v>
      </c>
      <c r="V16" s="750">
        <v>0</v>
      </c>
      <c r="W16" s="750">
        <v>0</v>
      </c>
      <c r="X16" s="750">
        <v>613922</v>
      </c>
      <c r="Y16" s="28">
        <f t="shared" si="0"/>
        <v>0</v>
      </c>
      <c r="Z16" s="749" t="s">
        <v>1951</v>
      </c>
      <c r="AA16" s="749" t="s">
        <v>1952</v>
      </c>
      <c r="AB16" s="749" t="s">
        <v>1946</v>
      </c>
      <c r="AC16" s="749" t="s">
        <v>43</v>
      </c>
      <c r="AD16" s="749" t="s">
        <v>1661</v>
      </c>
      <c r="AE16" s="750">
        <v>613922</v>
      </c>
      <c r="AF16" s="750">
        <v>0</v>
      </c>
      <c r="AG16" s="750">
        <v>0</v>
      </c>
      <c r="AH16" s="750">
        <v>613922</v>
      </c>
    </row>
    <row r="17" spans="4:34" ht="18" customHeight="1">
      <c r="D17" s="54">
        <v>111763</v>
      </c>
      <c r="E17" s="28" t="s">
        <v>30</v>
      </c>
      <c r="F17" s="28">
        <f t="shared" si="1"/>
        <v>0</v>
      </c>
      <c r="G17" s="28">
        <f t="shared" si="1"/>
        <v>0</v>
      </c>
      <c r="H17" s="55">
        <f t="shared" si="2"/>
        <v>0</v>
      </c>
      <c r="J17" s="717">
        <v>111731</v>
      </c>
      <c r="K17" s="28" t="s">
        <v>26</v>
      </c>
      <c r="M17" s="734">
        <f>X32</f>
        <v>75407514</v>
      </c>
      <c r="N17" s="28" t="s">
        <v>15</v>
      </c>
      <c r="P17" s="749" t="s">
        <v>1658</v>
      </c>
      <c r="Q17" s="749" t="s">
        <v>1659</v>
      </c>
      <c r="R17" s="749" t="s">
        <v>1660</v>
      </c>
      <c r="S17" s="749" t="s">
        <v>26</v>
      </c>
      <c r="T17" s="749" t="s">
        <v>1661</v>
      </c>
      <c r="U17" s="750">
        <v>24598200</v>
      </c>
      <c r="V17" s="750">
        <v>10193400</v>
      </c>
      <c r="W17" s="750">
        <v>12793400</v>
      </c>
      <c r="X17" s="751">
        <v>21998200</v>
      </c>
      <c r="Y17" s="28">
        <f t="shared" si="0"/>
        <v>0</v>
      </c>
      <c r="Z17" s="749" t="s">
        <v>1658</v>
      </c>
      <c r="AA17" s="749" t="s">
        <v>1659</v>
      </c>
      <c r="AB17" s="749" t="s">
        <v>1660</v>
      </c>
      <c r="AC17" s="749" t="s">
        <v>26</v>
      </c>
      <c r="AD17" s="749" t="s">
        <v>1661</v>
      </c>
      <c r="AE17" s="750">
        <v>24598200</v>
      </c>
      <c r="AF17" s="750">
        <v>10193400</v>
      </c>
      <c r="AG17" s="750">
        <v>12793400</v>
      </c>
      <c r="AH17" s="750">
        <v>21998200</v>
      </c>
    </row>
    <row r="18" spans="4:34" ht="18" customHeight="1">
      <c r="D18" s="54">
        <v>111911</v>
      </c>
      <c r="E18" s="28" t="s">
        <v>31</v>
      </c>
      <c r="F18" s="28">
        <f t="shared" si="1"/>
        <v>0</v>
      </c>
      <c r="G18" s="28">
        <f t="shared" si="1"/>
        <v>0</v>
      </c>
      <c r="H18" s="55">
        <f t="shared" si="2"/>
        <v>0</v>
      </c>
      <c r="J18" s="717">
        <v>211121</v>
      </c>
      <c r="K18" s="28" t="s">
        <v>139</v>
      </c>
      <c r="L18" s="28">
        <f>+M17</f>
        <v>75407514</v>
      </c>
      <c r="N18" s="28" t="s">
        <v>1673</v>
      </c>
      <c r="P18" s="749" t="s">
        <v>1658</v>
      </c>
      <c r="Q18" s="749" t="s">
        <v>1659</v>
      </c>
      <c r="R18" s="749" t="s">
        <v>1360</v>
      </c>
      <c r="S18" s="749" t="s">
        <v>530</v>
      </c>
      <c r="T18" s="749" t="s">
        <v>1661</v>
      </c>
      <c r="U18" s="750">
        <v>9773508262</v>
      </c>
      <c r="V18" s="750">
        <v>0</v>
      </c>
      <c r="W18" s="750">
        <v>0</v>
      </c>
      <c r="X18" s="750">
        <v>9773508262</v>
      </c>
      <c r="Y18" s="28">
        <f t="shared" si="0"/>
        <v>0</v>
      </c>
      <c r="Z18" s="749" t="s">
        <v>1658</v>
      </c>
      <c r="AA18" s="749" t="s">
        <v>1659</v>
      </c>
      <c r="AB18" s="749" t="s">
        <v>1360</v>
      </c>
      <c r="AC18" s="749" t="s">
        <v>530</v>
      </c>
      <c r="AD18" s="749" t="s">
        <v>1661</v>
      </c>
      <c r="AE18" s="750">
        <v>9773508262</v>
      </c>
      <c r="AF18" s="750">
        <v>0</v>
      </c>
      <c r="AG18" s="750">
        <v>0</v>
      </c>
      <c r="AH18" s="750">
        <v>9773508262</v>
      </c>
    </row>
    <row r="19" spans="4:34" ht="18" customHeight="1">
      <c r="D19" s="687" t="s">
        <v>1832</v>
      </c>
      <c r="E19" s="735" t="s">
        <v>1645</v>
      </c>
      <c r="F19" s="735">
        <f t="shared" si="1"/>
        <v>0</v>
      </c>
      <c r="G19" s="735">
        <f t="shared" si="1"/>
        <v>531735000</v>
      </c>
      <c r="H19" s="688">
        <f t="shared" si="2"/>
        <v>-531735000</v>
      </c>
      <c r="J19" s="717">
        <v>111901</v>
      </c>
      <c r="K19" s="28" t="s">
        <v>1645</v>
      </c>
      <c r="M19" s="734">
        <f>+X33</f>
        <v>531735000</v>
      </c>
      <c r="N19" s="28" t="s">
        <v>15</v>
      </c>
      <c r="P19" s="749" t="s">
        <v>1953</v>
      </c>
      <c r="Q19" s="749" t="s">
        <v>1954</v>
      </c>
      <c r="R19" s="749" t="s">
        <v>1360</v>
      </c>
      <c r="S19" s="749" t="s">
        <v>530</v>
      </c>
      <c r="T19" s="749" t="s">
        <v>1661</v>
      </c>
      <c r="U19" s="750">
        <v>30959530</v>
      </c>
      <c r="V19" s="750">
        <v>0</v>
      </c>
      <c r="W19" s="750">
        <v>0</v>
      </c>
      <c r="X19" s="750">
        <v>30959530</v>
      </c>
      <c r="Y19" s="28">
        <f t="shared" si="0"/>
        <v>0</v>
      </c>
      <c r="Z19" s="749" t="s">
        <v>1953</v>
      </c>
      <c r="AA19" s="749" t="s">
        <v>1954</v>
      </c>
      <c r="AB19" s="749" t="s">
        <v>1360</v>
      </c>
      <c r="AC19" s="749" t="s">
        <v>530</v>
      </c>
      <c r="AD19" s="749" t="s">
        <v>1661</v>
      </c>
      <c r="AE19" s="750">
        <v>30959530</v>
      </c>
      <c r="AF19" s="750">
        <v>0</v>
      </c>
      <c r="AG19" s="750">
        <v>0</v>
      </c>
      <c r="AH19" s="750">
        <v>30959530</v>
      </c>
    </row>
    <row r="20" spans="4:34" ht="18" customHeight="1">
      <c r="D20" s="54">
        <v>112111</v>
      </c>
      <c r="E20" s="28" t="s">
        <v>32</v>
      </c>
      <c r="F20" s="28">
        <f t="shared" si="1"/>
        <v>0</v>
      </c>
      <c r="G20" s="28">
        <f t="shared" si="1"/>
        <v>0</v>
      </c>
      <c r="H20" s="55">
        <f t="shared" si="2"/>
        <v>0</v>
      </c>
      <c r="J20" s="717">
        <v>212500</v>
      </c>
      <c r="K20" s="28" t="s">
        <v>1643</v>
      </c>
      <c r="L20" s="28">
        <f>M19</f>
        <v>531735000</v>
      </c>
      <c r="N20" s="28" t="s">
        <v>1673</v>
      </c>
      <c r="P20" s="749" t="s">
        <v>1662</v>
      </c>
      <c r="Q20" s="749" t="s">
        <v>1663</v>
      </c>
      <c r="R20" s="749" t="s">
        <v>1946</v>
      </c>
      <c r="S20" s="749" t="s">
        <v>43</v>
      </c>
      <c r="T20" s="749" t="s">
        <v>1665</v>
      </c>
      <c r="U20" s="750">
        <v>8007136905</v>
      </c>
      <c r="V20" s="750">
        <v>0</v>
      </c>
      <c r="W20" s="750">
        <v>0</v>
      </c>
      <c r="X20" s="750">
        <v>8007136905</v>
      </c>
      <c r="Y20" s="28">
        <f t="shared" si="0"/>
        <v>0</v>
      </c>
      <c r="Z20" s="749" t="s">
        <v>1662</v>
      </c>
      <c r="AA20" s="749" t="s">
        <v>1663</v>
      </c>
      <c r="AB20" s="749" t="s">
        <v>1946</v>
      </c>
      <c r="AC20" s="749" t="s">
        <v>43</v>
      </c>
      <c r="AD20" s="749" t="s">
        <v>1665</v>
      </c>
      <c r="AE20" s="750">
        <v>8007136905</v>
      </c>
      <c r="AF20" s="750">
        <v>0</v>
      </c>
      <c r="AG20" s="750">
        <v>0</v>
      </c>
      <c r="AH20" s="750">
        <v>8007136905</v>
      </c>
    </row>
    <row r="21" spans="4:34" ht="18" customHeight="1">
      <c r="D21" s="54">
        <v>112113</v>
      </c>
      <c r="E21" s="28" t="s">
        <v>33</v>
      </c>
      <c r="F21" s="28">
        <f t="shared" si="1"/>
        <v>0</v>
      </c>
      <c r="G21" s="28">
        <f t="shared" si="1"/>
        <v>30087098</v>
      </c>
      <c r="H21" s="55">
        <f t="shared" si="2"/>
        <v>-30087098</v>
      </c>
      <c r="J21" s="717">
        <v>112113</v>
      </c>
      <c r="K21" s="28" t="s">
        <v>33</v>
      </c>
      <c r="M21" s="734">
        <f>X34</f>
        <v>30087098</v>
      </c>
      <c r="N21" s="28" t="s">
        <v>15</v>
      </c>
      <c r="P21" s="749" t="s">
        <v>1662</v>
      </c>
      <c r="Q21" s="749" t="s">
        <v>1663</v>
      </c>
      <c r="R21" s="749" t="s">
        <v>1955</v>
      </c>
      <c r="S21" s="749" t="s">
        <v>47</v>
      </c>
      <c r="T21" s="749" t="s">
        <v>1665</v>
      </c>
      <c r="U21" s="750">
        <v>23264488</v>
      </c>
      <c r="V21" s="750">
        <v>0</v>
      </c>
      <c r="W21" s="750">
        <v>0</v>
      </c>
      <c r="X21" s="750">
        <v>23264488</v>
      </c>
      <c r="Y21" s="28">
        <f t="shared" si="0"/>
        <v>0</v>
      </c>
      <c r="Z21" s="749" t="s">
        <v>1662</v>
      </c>
      <c r="AA21" s="749" t="s">
        <v>1663</v>
      </c>
      <c r="AB21" s="749" t="s">
        <v>1955</v>
      </c>
      <c r="AC21" s="749" t="s">
        <v>47</v>
      </c>
      <c r="AD21" s="749" t="s">
        <v>1665</v>
      </c>
      <c r="AE21" s="750">
        <v>23264488</v>
      </c>
      <c r="AF21" s="750">
        <v>0</v>
      </c>
      <c r="AG21" s="750">
        <v>0</v>
      </c>
      <c r="AH21" s="750">
        <v>23264488</v>
      </c>
    </row>
    <row r="22" spans="4:34" ht="18" customHeight="1">
      <c r="D22" s="54">
        <v>112115</v>
      </c>
      <c r="E22" s="28" t="s">
        <v>34</v>
      </c>
      <c r="F22" s="28">
        <f t="shared" si="1"/>
        <v>0</v>
      </c>
      <c r="G22" s="28">
        <f t="shared" si="1"/>
        <v>0</v>
      </c>
      <c r="H22" s="55">
        <f t="shared" si="2"/>
        <v>0</v>
      </c>
      <c r="J22" s="717">
        <v>213150</v>
      </c>
      <c r="K22" s="28" t="s">
        <v>145</v>
      </c>
      <c r="L22" s="28">
        <f>+M21</f>
        <v>30087098</v>
      </c>
      <c r="N22" s="28" t="s">
        <v>1673</v>
      </c>
      <c r="P22" s="749" t="s">
        <v>1662</v>
      </c>
      <c r="Q22" s="749" t="s">
        <v>1663</v>
      </c>
      <c r="R22" s="749" t="s">
        <v>1947</v>
      </c>
      <c r="S22" s="749" t="s">
        <v>49</v>
      </c>
      <c r="T22" s="749" t="s">
        <v>1665</v>
      </c>
      <c r="U22" s="750">
        <v>47131726</v>
      </c>
      <c r="V22" s="750">
        <v>0</v>
      </c>
      <c r="W22" s="750">
        <v>0</v>
      </c>
      <c r="X22" s="750">
        <v>47131726</v>
      </c>
      <c r="Y22" s="28">
        <f t="shared" si="0"/>
        <v>0</v>
      </c>
      <c r="Z22" s="749" t="s">
        <v>1662</v>
      </c>
      <c r="AA22" s="749" t="s">
        <v>1663</v>
      </c>
      <c r="AB22" s="749" t="s">
        <v>1947</v>
      </c>
      <c r="AC22" s="749" t="s">
        <v>49</v>
      </c>
      <c r="AD22" s="749" t="s">
        <v>1665</v>
      </c>
      <c r="AE22" s="750">
        <v>47131726</v>
      </c>
      <c r="AF22" s="750">
        <v>0</v>
      </c>
      <c r="AG22" s="750">
        <v>0</v>
      </c>
      <c r="AH22" s="750">
        <v>47131726</v>
      </c>
    </row>
    <row r="23" spans="4:34" ht="18" customHeight="1">
      <c r="D23" s="54">
        <v>112116</v>
      </c>
      <c r="E23" s="28" t="s">
        <v>35</v>
      </c>
      <c r="F23" s="28">
        <f t="shared" si="1"/>
        <v>0</v>
      </c>
      <c r="G23" s="28">
        <f t="shared" si="1"/>
        <v>0</v>
      </c>
      <c r="H23" s="55">
        <f t="shared" si="2"/>
        <v>0</v>
      </c>
      <c r="J23" s="717">
        <v>112300</v>
      </c>
      <c r="K23" s="28" t="s">
        <v>36</v>
      </c>
      <c r="M23" s="734">
        <f>X35</f>
        <v>3933393</v>
      </c>
      <c r="N23" s="28" t="s">
        <v>15</v>
      </c>
      <c r="P23" s="749" t="s">
        <v>1662</v>
      </c>
      <c r="Q23" s="749" t="s">
        <v>1663</v>
      </c>
      <c r="R23" s="749" t="s">
        <v>1956</v>
      </c>
      <c r="S23" s="749" t="s">
        <v>51</v>
      </c>
      <c r="T23" s="749" t="s">
        <v>1665</v>
      </c>
      <c r="U23" s="750">
        <v>-367408945</v>
      </c>
      <c r="V23" s="750">
        <v>0</v>
      </c>
      <c r="W23" s="750">
        <v>0</v>
      </c>
      <c r="X23" s="750">
        <v>-367408945</v>
      </c>
      <c r="Y23" s="28">
        <f t="shared" si="0"/>
        <v>0</v>
      </c>
      <c r="Z23" s="749" t="s">
        <v>1662</v>
      </c>
      <c r="AA23" s="749" t="s">
        <v>1663</v>
      </c>
      <c r="AB23" s="749" t="s">
        <v>1956</v>
      </c>
      <c r="AC23" s="749" t="s">
        <v>51</v>
      </c>
      <c r="AD23" s="749" t="s">
        <v>1665</v>
      </c>
      <c r="AE23" s="750">
        <v>-367408945</v>
      </c>
      <c r="AF23" s="750">
        <v>0</v>
      </c>
      <c r="AG23" s="750">
        <v>0</v>
      </c>
      <c r="AH23" s="750">
        <v>-367408945</v>
      </c>
    </row>
    <row r="24" spans="4:34" ht="18" customHeight="1">
      <c r="D24" s="54">
        <v>112300</v>
      </c>
      <c r="E24" s="28" t="s">
        <v>36</v>
      </c>
      <c r="F24" s="28">
        <f t="shared" si="1"/>
        <v>0</v>
      </c>
      <c r="G24" s="28">
        <f t="shared" si="1"/>
        <v>3933393</v>
      </c>
      <c r="H24" s="55">
        <f t="shared" si="2"/>
        <v>-3933393</v>
      </c>
      <c r="J24" s="717">
        <v>217200</v>
      </c>
      <c r="K24" s="28" t="s">
        <v>151</v>
      </c>
      <c r="L24" s="28">
        <f>+M23</f>
        <v>3933393</v>
      </c>
      <c r="N24" s="28" t="s">
        <v>1673</v>
      </c>
      <c r="P24" s="749" t="s">
        <v>1662</v>
      </c>
      <c r="Q24" s="749" t="s">
        <v>1663</v>
      </c>
      <c r="R24" s="749" t="s">
        <v>1664</v>
      </c>
      <c r="S24" s="749" t="s">
        <v>139</v>
      </c>
      <c r="T24" s="749" t="s">
        <v>1665</v>
      </c>
      <c r="U24" s="750">
        <v>917350078</v>
      </c>
      <c r="V24" s="750">
        <v>706897825</v>
      </c>
      <c r="W24" s="750">
        <v>612111868</v>
      </c>
      <c r="X24" s="751">
        <v>822564121</v>
      </c>
      <c r="Y24" s="28">
        <f t="shared" si="0"/>
        <v>0</v>
      </c>
      <c r="Z24" s="749" t="s">
        <v>1662</v>
      </c>
      <c r="AA24" s="749" t="s">
        <v>1663</v>
      </c>
      <c r="AB24" s="749" t="s">
        <v>1664</v>
      </c>
      <c r="AC24" s="749" t="s">
        <v>139</v>
      </c>
      <c r="AD24" s="749" t="s">
        <v>1665</v>
      </c>
      <c r="AE24" s="750">
        <v>917350078</v>
      </c>
      <c r="AF24" s="750">
        <v>706897825</v>
      </c>
      <c r="AG24" s="750">
        <v>612111868</v>
      </c>
      <c r="AH24" s="750">
        <v>822564121</v>
      </c>
    </row>
    <row r="25" spans="4:34" ht="18" customHeight="1">
      <c r="D25" s="54">
        <v>113310</v>
      </c>
      <c r="E25" s="28" t="s">
        <v>37</v>
      </c>
      <c r="F25" s="28">
        <f t="shared" si="1"/>
        <v>0</v>
      </c>
      <c r="G25" s="28">
        <f t="shared" si="1"/>
        <v>0</v>
      </c>
      <c r="H25" s="55">
        <f t="shared" si="2"/>
        <v>0</v>
      </c>
      <c r="J25" s="717">
        <v>111901</v>
      </c>
      <c r="K25" s="28" t="s">
        <v>1645</v>
      </c>
      <c r="M25" s="720"/>
      <c r="N25" s="28" t="s">
        <v>519</v>
      </c>
      <c r="P25" s="749" t="s">
        <v>1666</v>
      </c>
      <c r="Q25" s="749" t="s">
        <v>515</v>
      </c>
      <c r="R25" s="749" t="s">
        <v>1950</v>
      </c>
      <c r="S25" s="749" t="s">
        <v>180</v>
      </c>
      <c r="T25" s="749" t="s">
        <v>1661</v>
      </c>
      <c r="U25" s="750">
        <v>-36000</v>
      </c>
      <c r="V25" s="750">
        <v>0</v>
      </c>
      <c r="W25" s="750">
        <v>0</v>
      </c>
      <c r="X25" s="750">
        <v>-36000</v>
      </c>
      <c r="Y25" s="28">
        <f t="shared" si="0"/>
        <v>0</v>
      </c>
      <c r="Z25" s="749" t="s">
        <v>1666</v>
      </c>
      <c r="AA25" s="749" t="s">
        <v>515</v>
      </c>
      <c r="AB25" s="749" t="s">
        <v>1950</v>
      </c>
      <c r="AC25" s="749" t="s">
        <v>180</v>
      </c>
      <c r="AD25" s="749" t="s">
        <v>1661</v>
      </c>
      <c r="AE25" s="750">
        <v>-36000</v>
      </c>
      <c r="AF25" s="750">
        <v>0</v>
      </c>
      <c r="AG25" s="750">
        <v>0</v>
      </c>
      <c r="AH25" s="750">
        <v>-36000</v>
      </c>
    </row>
    <row r="26" spans="4:34" ht="18" customHeight="1">
      <c r="D26" s="56"/>
      <c r="E26" s="752" t="s">
        <v>38</v>
      </c>
      <c r="F26" s="660"/>
      <c r="G26" s="660"/>
      <c r="H26" s="53"/>
      <c r="J26" s="717">
        <v>212500</v>
      </c>
      <c r="K26" s="28" t="s">
        <v>1643</v>
      </c>
      <c r="L26" s="28">
        <f>+M25</f>
        <v>0</v>
      </c>
      <c r="N26" s="28" t="s">
        <v>1673</v>
      </c>
      <c r="P26" s="749" t="s">
        <v>1666</v>
      </c>
      <c r="Q26" s="749" t="s">
        <v>515</v>
      </c>
      <c r="R26" s="749" t="s">
        <v>1360</v>
      </c>
      <c r="S26" s="749" t="s">
        <v>530</v>
      </c>
      <c r="T26" s="749" t="s">
        <v>1661</v>
      </c>
      <c r="U26" s="750">
        <v>101649635</v>
      </c>
      <c r="V26" s="750">
        <v>0</v>
      </c>
      <c r="W26" s="750">
        <v>0</v>
      </c>
      <c r="X26" s="750">
        <v>101649635</v>
      </c>
      <c r="Y26" s="28">
        <f t="shared" si="0"/>
        <v>0</v>
      </c>
      <c r="Z26" s="749" t="s">
        <v>1666</v>
      </c>
      <c r="AA26" s="749" t="s">
        <v>515</v>
      </c>
      <c r="AB26" s="749" t="s">
        <v>1360</v>
      </c>
      <c r="AC26" s="749" t="s">
        <v>530</v>
      </c>
      <c r="AD26" s="749" t="s">
        <v>1661</v>
      </c>
      <c r="AE26" s="750">
        <v>101649635</v>
      </c>
      <c r="AF26" s="750">
        <v>0</v>
      </c>
      <c r="AG26" s="750">
        <v>0</v>
      </c>
      <c r="AH26" s="750">
        <v>101649635</v>
      </c>
    </row>
    <row r="27" spans="4:34" ht="18" customHeight="1">
      <c r="D27" s="54">
        <v>111391</v>
      </c>
      <c r="E27" s="28" t="s">
        <v>39</v>
      </c>
      <c r="F27" s="28">
        <f t="shared" ref="F27:G30" si="3">SUMIF($J:$J,$D27,L:L)</f>
        <v>0</v>
      </c>
      <c r="G27" s="28">
        <f t="shared" si="3"/>
        <v>0</v>
      </c>
      <c r="H27" s="55">
        <f t="shared" ref="H27:H30" si="4">F27-G27</f>
        <v>0</v>
      </c>
      <c r="J27" s="717">
        <v>112300</v>
      </c>
      <c r="K27" s="28" t="s">
        <v>36</v>
      </c>
      <c r="M27" s="720"/>
      <c r="N27" s="28" t="s">
        <v>519</v>
      </c>
      <c r="P27" s="749" t="s">
        <v>1666</v>
      </c>
      <c r="Q27" s="749" t="s">
        <v>515</v>
      </c>
      <c r="R27" s="749" t="s">
        <v>1668</v>
      </c>
      <c r="S27" s="749" t="s">
        <v>619</v>
      </c>
      <c r="T27" s="749" t="s">
        <v>1661</v>
      </c>
      <c r="U27" s="750">
        <v>0</v>
      </c>
      <c r="V27" s="750">
        <v>0</v>
      </c>
      <c r="W27" s="750">
        <v>160059437</v>
      </c>
      <c r="X27" s="751">
        <v>160059437</v>
      </c>
      <c r="Y27" s="28">
        <f t="shared" si="0"/>
        <v>0</v>
      </c>
      <c r="Z27" s="749" t="s">
        <v>1666</v>
      </c>
      <c r="AA27" s="749" t="s">
        <v>515</v>
      </c>
      <c r="AB27" s="749" t="s">
        <v>1668</v>
      </c>
      <c r="AC27" s="749" t="s">
        <v>619</v>
      </c>
      <c r="AD27" s="749" t="s">
        <v>1661</v>
      </c>
      <c r="AE27" s="750">
        <v>0</v>
      </c>
      <c r="AF27" s="750">
        <v>0</v>
      </c>
      <c r="AG27" s="750">
        <v>160059437</v>
      </c>
      <c r="AH27" s="750">
        <v>160059437</v>
      </c>
    </row>
    <row r="28" spans="4:34" ht="18" customHeight="1">
      <c r="D28" s="54">
        <v>111410</v>
      </c>
      <c r="E28" s="28" t="s">
        <v>40</v>
      </c>
      <c r="F28" s="28">
        <f t="shared" si="3"/>
        <v>0</v>
      </c>
      <c r="G28" s="28">
        <f t="shared" si="3"/>
        <v>0</v>
      </c>
      <c r="H28" s="55">
        <f t="shared" si="4"/>
        <v>0</v>
      </c>
      <c r="J28" s="717">
        <v>217200</v>
      </c>
      <c r="K28" s="28" t="s">
        <v>151</v>
      </c>
      <c r="L28" s="28">
        <f>+M27</f>
        <v>0</v>
      </c>
      <c r="N28" s="28" t="s">
        <v>1673</v>
      </c>
      <c r="P28" s="749" t="s">
        <v>1666</v>
      </c>
      <c r="Q28" s="749" t="s">
        <v>515</v>
      </c>
      <c r="R28" s="749" t="s">
        <v>1669</v>
      </c>
      <c r="S28" s="749" t="s">
        <v>620</v>
      </c>
      <c r="T28" s="749" t="s">
        <v>1661</v>
      </c>
      <c r="U28" s="750">
        <v>0</v>
      </c>
      <c r="V28" s="750">
        <v>0</v>
      </c>
      <c r="W28" s="750">
        <v>-32607</v>
      </c>
      <c r="X28" s="751">
        <v>-32607</v>
      </c>
      <c r="Y28" s="28">
        <f t="shared" si="0"/>
        <v>0</v>
      </c>
      <c r="Z28" s="749" t="s">
        <v>1666</v>
      </c>
      <c r="AA28" s="749" t="s">
        <v>515</v>
      </c>
      <c r="AB28" s="749" t="s">
        <v>1669</v>
      </c>
      <c r="AC28" s="749" t="s">
        <v>620</v>
      </c>
      <c r="AD28" s="749" t="s">
        <v>1661</v>
      </c>
      <c r="AE28" s="750">
        <v>0</v>
      </c>
      <c r="AF28" s="750">
        <v>0</v>
      </c>
      <c r="AG28" s="750">
        <v>-32607</v>
      </c>
      <c r="AH28" s="750">
        <v>-32607</v>
      </c>
    </row>
    <row r="29" spans="4:34" ht="18" customHeight="1">
      <c r="D29" s="57" t="s">
        <v>220</v>
      </c>
      <c r="E29" s="28" t="s">
        <v>41</v>
      </c>
      <c r="F29" s="28">
        <f t="shared" si="3"/>
        <v>0</v>
      </c>
      <c r="G29" s="28">
        <f t="shared" si="3"/>
        <v>0</v>
      </c>
      <c r="H29" s="55">
        <f t="shared" si="4"/>
        <v>0</v>
      </c>
      <c r="P29" s="749" t="s">
        <v>1666</v>
      </c>
      <c r="Q29" s="749" t="s">
        <v>515</v>
      </c>
      <c r="R29" s="749" t="s">
        <v>1670</v>
      </c>
      <c r="S29" s="749" t="s">
        <v>624</v>
      </c>
      <c r="T29" s="749" t="s">
        <v>1661</v>
      </c>
      <c r="U29" s="750">
        <v>0</v>
      </c>
      <c r="V29" s="750">
        <v>0</v>
      </c>
      <c r="W29" s="750">
        <v>979999289</v>
      </c>
      <c r="X29" s="751">
        <v>979999289</v>
      </c>
      <c r="Y29" s="28">
        <f t="shared" si="0"/>
        <v>0</v>
      </c>
      <c r="Z29" s="749" t="s">
        <v>1666</v>
      </c>
      <c r="AA29" s="749" t="s">
        <v>515</v>
      </c>
      <c r="AB29" s="749" t="s">
        <v>1670</v>
      </c>
      <c r="AC29" s="749" t="s">
        <v>624</v>
      </c>
      <c r="AD29" s="749" t="s">
        <v>1661</v>
      </c>
      <c r="AE29" s="750">
        <v>0</v>
      </c>
      <c r="AF29" s="750">
        <v>0</v>
      </c>
      <c r="AG29" s="750">
        <v>979999289</v>
      </c>
      <c r="AH29" s="750">
        <v>979999289</v>
      </c>
    </row>
    <row r="30" spans="4:34" ht="18" customHeight="1">
      <c r="D30" s="57" t="s">
        <v>221</v>
      </c>
      <c r="E30" s="28" t="s">
        <v>42</v>
      </c>
      <c r="F30" s="28">
        <f t="shared" si="3"/>
        <v>0</v>
      </c>
      <c r="G30" s="28">
        <f t="shared" si="3"/>
        <v>0</v>
      </c>
      <c r="H30" s="55">
        <f t="shared" si="4"/>
        <v>0</v>
      </c>
      <c r="J30" s="717">
        <v>410130</v>
      </c>
      <c r="K30" s="724" t="s">
        <v>619</v>
      </c>
      <c r="L30" s="734">
        <f>X27</f>
        <v>160059437</v>
      </c>
      <c r="N30" s="722" t="s">
        <v>15</v>
      </c>
      <c r="P30" s="749" t="s">
        <v>1666</v>
      </c>
      <c r="Q30" s="749" t="s">
        <v>515</v>
      </c>
      <c r="R30" s="749" t="s">
        <v>1671</v>
      </c>
      <c r="S30" s="749" t="s">
        <v>625</v>
      </c>
      <c r="T30" s="749" t="s">
        <v>1661</v>
      </c>
      <c r="U30" s="750">
        <v>0</v>
      </c>
      <c r="V30" s="750">
        <v>0</v>
      </c>
      <c r="W30" s="750">
        <v>-394852595</v>
      </c>
      <c r="X30" s="751">
        <v>-394852595</v>
      </c>
      <c r="Y30" s="28">
        <f t="shared" si="0"/>
        <v>0</v>
      </c>
      <c r="Z30" s="749" t="s">
        <v>1666</v>
      </c>
      <c r="AA30" s="749" t="s">
        <v>515</v>
      </c>
      <c r="AB30" s="749" t="s">
        <v>1671</v>
      </c>
      <c r="AC30" s="749" t="s">
        <v>625</v>
      </c>
      <c r="AD30" s="749" t="s">
        <v>1661</v>
      </c>
      <c r="AE30" s="750">
        <v>0</v>
      </c>
      <c r="AF30" s="750">
        <v>0</v>
      </c>
      <c r="AG30" s="750">
        <v>-394852595</v>
      </c>
      <c r="AH30" s="750">
        <v>-394852595</v>
      </c>
    </row>
    <row r="31" spans="4:34" ht="18" customHeight="1">
      <c r="D31" s="51"/>
      <c r="E31" s="660" t="s">
        <v>2</v>
      </c>
      <c r="F31" s="660"/>
      <c r="G31" s="660"/>
      <c r="H31" s="53"/>
      <c r="J31" s="717" t="s">
        <v>242</v>
      </c>
      <c r="K31" s="724" t="s">
        <v>243</v>
      </c>
      <c r="M31" s="28">
        <f>+L30</f>
        <v>160059437</v>
      </c>
      <c r="N31" s="722" t="s">
        <v>515</v>
      </c>
      <c r="P31" s="749" t="s">
        <v>1672</v>
      </c>
      <c r="Q31" s="749" t="s">
        <v>1673</v>
      </c>
      <c r="R31" s="749" t="s">
        <v>1674</v>
      </c>
      <c r="S31" s="749" t="s">
        <v>24</v>
      </c>
      <c r="T31" s="749" t="s">
        <v>1661</v>
      </c>
      <c r="U31" s="750">
        <v>0</v>
      </c>
      <c r="V31" s="750">
        <v>57500000</v>
      </c>
      <c r="W31" s="750">
        <v>0</v>
      </c>
      <c r="X31" s="751">
        <v>57500000</v>
      </c>
      <c r="Y31" s="28">
        <f t="shared" si="0"/>
        <v>0</v>
      </c>
      <c r="Z31" s="749" t="s">
        <v>1672</v>
      </c>
      <c r="AA31" s="749" t="s">
        <v>1673</v>
      </c>
      <c r="AB31" s="749" t="s">
        <v>1674</v>
      </c>
      <c r="AC31" s="749" t="s">
        <v>24</v>
      </c>
      <c r="AD31" s="749" t="s">
        <v>1661</v>
      </c>
      <c r="AE31" s="750">
        <v>0</v>
      </c>
      <c r="AF31" s="750">
        <v>57500000</v>
      </c>
      <c r="AG31" s="750">
        <v>0</v>
      </c>
      <c r="AH31" s="750">
        <v>57500000</v>
      </c>
    </row>
    <row r="32" spans="4:34" ht="18" customHeight="1">
      <c r="D32" s="54">
        <v>115100</v>
      </c>
      <c r="E32" s="28" t="s">
        <v>43</v>
      </c>
      <c r="F32" s="28">
        <f t="shared" ref="F32:G40" si="5">SUMIF($J:$J,$D32,L:L)</f>
        <v>0</v>
      </c>
      <c r="G32" s="28">
        <f t="shared" si="5"/>
        <v>0</v>
      </c>
      <c r="H32" s="55">
        <f t="shared" ref="H32:H40" si="6">F32-G32</f>
        <v>0</v>
      </c>
      <c r="J32" s="717">
        <v>410140</v>
      </c>
      <c r="K32" s="724" t="s">
        <v>620</v>
      </c>
      <c r="L32" s="734">
        <f>X28</f>
        <v>-32607</v>
      </c>
      <c r="N32" s="722" t="s">
        <v>15</v>
      </c>
      <c r="P32" s="749" t="s">
        <v>1672</v>
      </c>
      <c r="Q32" s="749" t="s">
        <v>1673</v>
      </c>
      <c r="R32" s="749" t="s">
        <v>1660</v>
      </c>
      <c r="S32" s="749" t="s">
        <v>26</v>
      </c>
      <c r="T32" s="749" t="s">
        <v>1661</v>
      </c>
      <c r="U32" s="750">
        <v>95463378</v>
      </c>
      <c r="V32" s="750">
        <v>40537105</v>
      </c>
      <c r="W32" s="750">
        <v>60592969</v>
      </c>
      <c r="X32" s="751">
        <v>75407514</v>
      </c>
      <c r="Y32" s="28">
        <f t="shared" si="0"/>
        <v>0</v>
      </c>
      <c r="Z32" s="749" t="s">
        <v>1672</v>
      </c>
      <c r="AA32" s="749" t="s">
        <v>1673</v>
      </c>
      <c r="AB32" s="749" t="s">
        <v>1660</v>
      </c>
      <c r="AC32" s="749" t="s">
        <v>26</v>
      </c>
      <c r="AD32" s="749" t="s">
        <v>1661</v>
      </c>
      <c r="AE32" s="750">
        <v>95463378</v>
      </c>
      <c r="AF32" s="750">
        <v>40537105</v>
      </c>
      <c r="AG32" s="750">
        <v>60592969</v>
      </c>
      <c r="AH32" s="750">
        <v>75407514</v>
      </c>
    </row>
    <row r="33" spans="4:34" ht="18" customHeight="1">
      <c r="D33" s="54">
        <v>115170</v>
      </c>
      <c r="E33" s="28" t="s">
        <v>44</v>
      </c>
      <c r="F33" s="28">
        <f t="shared" si="5"/>
        <v>0</v>
      </c>
      <c r="G33" s="28">
        <f t="shared" si="5"/>
        <v>0</v>
      </c>
      <c r="H33" s="55">
        <f t="shared" si="6"/>
        <v>0</v>
      </c>
      <c r="J33" s="717" t="s">
        <v>242</v>
      </c>
      <c r="K33" s="724" t="s">
        <v>243</v>
      </c>
      <c r="M33" s="28">
        <f>+L32</f>
        <v>-32607</v>
      </c>
      <c r="N33" s="722" t="s">
        <v>515</v>
      </c>
      <c r="P33" s="749" t="s">
        <v>1672</v>
      </c>
      <c r="Q33" s="749" t="s">
        <v>1673</v>
      </c>
      <c r="R33" s="749" t="s">
        <v>1832</v>
      </c>
      <c r="S33" s="749" t="s">
        <v>1645</v>
      </c>
      <c r="T33" s="749" t="s">
        <v>1661</v>
      </c>
      <c r="U33" s="750">
        <v>0</v>
      </c>
      <c r="V33" s="750">
        <v>447635000</v>
      </c>
      <c r="W33" s="750">
        <v>-84100000</v>
      </c>
      <c r="X33" s="751">
        <v>531735000</v>
      </c>
      <c r="Y33" s="28">
        <f t="shared" si="0"/>
        <v>0</v>
      </c>
      <c r="Z33" s="749" t="s">
        <v>1672</v>
      </c>
      <c r="AA33" s="749" t="s">
        <v>1673</v>
      </c>
      <c r="AB33" s="749" t="s">
        <v>1832</v>
      </c>
      <c r="AC33" s="749" t="s">
        <v>1645</v>
      </c>
      <c r="AD33" s="749" t="s">
        <v>1661</v>
      </c>
      <c r="AE33" s="750">
        <v>0</v>
      </c>
      <c r="AF33" s="750">
        <v>447635000</v>
      </c>
      <c r="AG33" s="750">
        <v>-84100000</v>
      </c>
      <c r="AH33" s="750">
        <v>531735000</v>
      </c>
    </row>
    <row r="34" spans="4:34" ht="18" customHeight="1">
      <c r="D34" s="54">
        <v>115200</v>
      </c>
      <c r="E34" s="28" t="s">
        <v>45</v>
      </c>
      <c r="F34" s="28">
        <f t="shared" si="5"/>
        <v>0</v>
      </c>
      <c r="G34" s="28">
        <f t="shared" si="5"/>
        <v>0</v>
      </c>
      <c r="H34" s="55">
        <f t="shared" si="6"/>
        <v>0</v>
      </c>
      <c r="J34" s="717">
        <v>410240</v>
      </c>
      <c r="K34" s="724" t="s">
        <v>624</v>
      </c>
      <c r="L34" s="734">
        <f>X29</f>
        <v>979999289</v>
      </c>
      <c r="N34" s="722" t="s">
        <v>15</v>
      </c>
      <c r="P34" s="749" t="s">
        <v>1672</v>
      </c>
      <c r="Q34" s="749" t="s">
        <v>1673</v>
      </c>
      <c r="R34" s="749" t="s">
        <v>1675</v>
      </c>
      <c r="S34" s="749" t="s">
        <v>33</v>
      </c>
      <c r="T34" s="749" t="s">
        <v>1661</v>
      </c>
      <c r="U34" s="750">
        <v>0</v>
      </c>
      <c r="V34" s="750">
        <v>37078122</v>
      </c>
      <c r="W34" s="750">
        <v>6991024</v>
      </c>
      <c r="X34" s="751">
        <v>30087098</v>
      </c>
      <c r="Y34" s="28">
        <f t="shared" si="0"/>
        <v>0</v>
      </c>
      <c r="Z34" s="749" t="s">
        <v>1672</v>
      </c>
      <c r="AA34" s="749" t="s">
        <v>1673</v>
      </c>
      <c r="AB34" s="749" t="s">
        <v>1675</v>
      </c>
      <c r="AC34" s="749" t="s">
        <v>33</v>
      </c>
      <c r="AD34" s="749" t="s">
        <v>1661</v>
      </c>
      <c r="AE34" s="750">
        <v>0</v>
      </c>
      <c r="AF34" s="750">
        <v>37078122</v>
      </c>
      <c r="AG34" s="750">
        <v>6991024</v>
      </c>
      <c r="AH34" s="750">
        <v>30087098</v>
      </c>
    </row>
    <row r="35" spans="4:34" ht="18" customHeight="1">
      <c r="D35" s="54">
        <v>115270</v>
      </c>
      <c r="E35" s="28" t="s">
        <v>46</v>
      </c>
      <c r="F35" s="28">
        <f t="shared" si="5"/>
        <v>0</v>
      </c>
      <c r="G35" s="28">
        <f t="shared" si="5"/>
        <v>0</v>
      </c>
      <c r="H35" s="55">
        <f t="shared" si="6"/>
        <v>0</v>
      </c>
      <c r="J35" s="717" t="s">
        <v>242</v>
      </c>
      <c r="K35" s="724" t="s">
        <v>243</v>
      </c>
      <c r="M35" s="28">
        <f>+L34</f>
        <v>979999289</v>
      </c>
      <c r="N35" s="722" t="s">
        <v>515</v>
      </c>
      <c r="P35" s="749" t="s">
        <v>1672</v>
      </c>
      <c r="Q35" s="749" t="s">
        <v>1673</v>
      </c>
      <c r="R35" s="749" t="s">
        <v>1928</v>
      </c>
      <c r="S35" s="749" t="s">
        <v>36</v>
      </c>
      <c r="T35" s="749" t="s">
        <v>1661</v>
      </c>
      <c r="U35" s="750">
        <v>0</v>
      </c>
      <c r="V35" s="750">
        <v>3984249</v>
      </c>
      <c r="W35" s="750">
        <v>0</v>
      </c>
      <c r="X35" s="751">
        <f>3984249-81704+30848</f>
        <v>3933393</v>
      </c>
      <c r="Y35" s="28">
        <f t="shared" si="0"/>
        <v>50856</v>
      </c>
      <c r="Z35" s="749" t="s">
        <v>1672</v>
      </c>
      <c r="AA35" s="749" t="s">
        <v>1673</v>
      </c>
      <c r="AB35" s="749" t="s">
        <v>1928</v>
      </c>
      <c r="AC35" s="749" t="s">
        <v>36</v>
      </c>
      <c r="AD35" s="749" t="s">
        <v>1661</v>
      </c>
      <c r="AE35" s="750">
        <v>0</v>
      </c>
      <c r="AF35" s="750">
        <v>3984249</v>
      </c>
      <c r="AG35" s="750">
        <v>0</v>
      </c>
      <c r="AH35" s="750">
        <v>3984249</v>
      </c>
    </row>
    <row r="36" spans="4:34" ht="18" customHeight="1">
      <c r="D36" s="54">
        <v>115300</v>
      </c>
      <c r="E36" s="28" t="s">
        <v>47</v>
      </c>
      <c r="F36" s="28">
        <f t="shared" si="5"/>
        <v>0</v>
      </c>
      <c r="G36" s="28">
        <f t="shared" si="5"/>
        <v>0</v>
      </c>
      <c r="H36" s="55">
        <f t="shared" si="6"/>
        <v>0</v>
      </c>
      <c r="J36" s="717">
        <v>410241</v>
      </c>
      <c r="K36" s="724" t="s">
        <v>625</v>
      </c>
      <c r="L36" s="734">
        <f>X30</f>
        <v>-394852595</v>
      </c>
      <c r="N36" s="722" t="s">
        <v>15</v>
      </c>
      <c r="P36" s="749" t="s">
        <v>1672</v>
      </c>
      <c r="Q36" s="749" t="s">
        <v>1673</v>
      </c>
      <c r="R36" s="749" t="s">
        <v>1946</v>
      </c>
      <c r="S36" s="749" t="s">
        <v>43</v>
      </c>
      <c r="T36" s="749" t="s">
        <v>1661</v>
      </c>
      <c r="U36" s="750">
        <v>29545830</v>
      </c>
      <c r="V36" s="750">
        <v>0</v>
      </c>
      <c r="W36" s="750">
        <v>0</v>
      </c>
      <c r="X36" s="750">
        <v>29545830</v>
      </c>
      <c r="Y36" s="28">
        <f t="shared" si="0"/>
        <v>0</v>
      </c>
      <c r="Z36" s="749" t="s">
        <v>1672</v>
      </c>
      <c r="AA36" s="749" t="s">
        <v>1673</v>
      </c>
      <c r="AB36" s="749" t="s">
        <v>1946</v>
      </c>
      <c r="AC36" s="749" t="s">
        <v>43</v>
      </c>
      <c r="AD36" s="749" t="s">
        <v>1661</v>
      </c>
      <c r="AE36" s="750">
        <v>29545830</v>
      </c>
      <c r="AF36" s="750">
        <v>0</v>
      </c>
      <c r="AG36" s="750">
        <v>0</v>
      </c>
      <c r="AH36" s="750">
        <v>29545830</v>
      </c>
    </row>
    <row r="37" spans="4:34" ht="18" customHeight="1">
      <c r="D37" s="54">
        <v>115350</v>
      </c>
      <c r="E37" s="28" t="s">
        <v>48</v>
      </c>
      <c r="F37" s="28">
        <f t="shared" si="5"/>
        <v>0</v>
      </c>
      <c r="G37" s="28">
        <f t="shared" si="5"/>
        <v>0</v>
      </c>
      <c r="H37" s="55">
        <f t="shared" si="6"/>
        <v>0</v>
      </c>
      <c r="J37" s="717" t="s">
        <v>242</v>
      </c>
      <c r="K37" s="724" t="s">
        <v>243</v>
      </c>
      <c r="M37" s="28">
        <f>+L36</f>
        <v>-394852595</v>
      </c>
      <c r="N37" s="722" t="s">
        <v>515</v>
      </c>
      <c r="P37" s="749" t="s">
        <v>1672</v>
      </c>
      <c r="Q37" s="749" t="s">
        <v>1673</v>
      </c>
      <c r="R37" s="749" t="s">
        <v>1948</v>
      </c>
      <c r="S37" s="749" t="s">
        <v>95</v>
      </c>
      <c r="T37" s="749" t="s">
        <v>1661</v>
      </c>
      <c r="U37" s="750">
        <v>992104</v>
      </c>
      <c r="V37" s="750">
        <v>0</v>
      </c>
      <c r="W37" s="750">
        <v>0</v>
      </c>
      <c r="X37" s="750">
        <v>992104</v>
      </c>
      <c r="Y37" s="28">
        <f t="shared" si="0"/>
        <v>0</v>
      </c>
      <c r="Z37" s="749" t="s">
        <v>1672</v>
      </c>
      <c r="AA37" s="749" t="s">
        <v>1673</v>
      </c>
      <c r="AB37" s="749" t="s">
        <v>1948</v>
      </c>
      <c r="AC37" s="749" t="s">
        <v>95</v>
      </c>
      <c r="AD37" s="749" t="s">
        <v>1661</v>
      </c>
      <c r="AE37" s="750">
        <v>992104</v>
      </c>
      <c r="AF37" s="750">
        <v>0</v>
      </c>
      <c r="AG37" s="750">
        <v>0</v>
      </c>
      <c r="AH37" s="750">
        <v>992104</v>
      </c>
    </row>
    <row r="38" spans="4:34" ht="18" customHeight="1">
      <c r="D38" s="54">
        <v>115400</v>
      </c>
      <c r="E38" s="28" t="s">
        <v>49</v>
      </c>
      <c r="F38" s="28">
        <f t="shared" si="5"/>
        <v>0</v>
      </c>
      <c r="G38" s="28">
        <f t="shared" si="5"/>
        <v>0</v>
      </c>
      <c r="H38" s="55">
        <f t="shared" si="6"/>
        <v>0</v>
      </c>
      <c r="J38" s="717">
        <v>410140</v>
      </c>
      <c r="K38" s="725" t="s">
        <v>620</v>
      </c>
      <c r="L38" s="734">
        <f>+X38</f>
        <v>-23990175</v>
      </c>
      <c r="N38" s="28" t="s">
        <v>15</v>
      </c>
      <c r="P38" s="749" t="s">
        <v>1672</v>
      </c>
      <c r="Q38" s="749" t="s">
        <v>1673</v>
      </c>
      <c r="R38" s="749" t="s">
        <v>1669</v>
      </c>
      <c r="S38" s="749" t="s">
        <v>620</v>
      </c>
      <c r="T38" s="749" t="s">
        <v>1661</v>
      </c>
      <c r="U38" s="750">
        <v>0</v>
      </c>
      <c r="V38" s="750">
        <v>0</v>
      </c>
      <c r="W38" s="750">
        <v>-23990175</v>
      </c>
      <c r="X38" s="751">
        <v>-23990175</v>
      </c>
      <c r="Y38" s="28">
        <f t="shared" si="0"/>
        <v>0</v>
      </c>
      <c r="Z38" s="749" t="s">
        <v>1672</v>
      </c>
      <c r="AA38" s="749" t="s">
        <v>1673</v>
      </c>
      <c r="AB38" s="749" t="s">
        <v>1669</v>
      </c>
      <c r="AC38" s="749" t="s">
        <v>620</v>
      </c>
      <c r="AD38" s="749" t="s">
        <v>1661</v>
      </c>
      <c r="AE38" s="750">
        <v>0</v>
      </c>
      <c r="AF38" s="750">
        <v>0</v>
      </c>
      <c r="AG38" s="750">
        <v>-23990175</v>
      </c>
      <c r="AH38" s="750">
        <v>-23990175</v>
      </c>
    </row>
    <row r="39" spans="4:34" ht="18" customHeight="1">
      <c r="D39" s="54">
        <v>115470</v>
      </c>
      <c r="E39" s="28" t="s">
        <v>50</v>
      </c>
      <c r="F39" s="28">
        <f t="shared" si="5"/>
        <v>0</v>
      </c>
      <c r="G39" s="28">
        <f t="shared" si="5"/>
        <v>0</v>
      </c>
      <c r="H39" s="55">
        <f t="shared" si="6"/>
        <v>0</v>
      </c>
      <c r="J39" s="717" t="s">
        <v>242</v>
      </c>
      <c r="K39" s="725" t="s">
        <v>243</v>
      </c>
      <c r="M39" s="28">
        <f>+L38</f>
        <v>-23990175</v>
      </c>
      <c r="N39" s="28" t="s">
        <v>1673</v>
      </c>
      <c r="P39" s="749" t="s">
        <v>1672</v>
      </c>
      <c r="Q39" s="749" t="s">
        <v>1673</v>
      </c>
      <c r="R39" s="749" t="s">
        <v>318</v>
      </c>
      <c r="S39" s="749" t="s">
        <v>319</v>
      </c>
      <c r="T39" s="749" t="s">
        <v>1661</v>
      </c>
      <c r="U39" s="750">
        <v>0</v>
      </c>
      <c r="V39" s="750">
        <v>0</v>
      </c>
      <c r="W39" s="750">
        <v>3984249</v>
      </c>
      <c r="X39" s="751">
        <v>3984249</v>
      </c>
      <c r="Y39" s="28">
        <f t="shared" si="0"/>
        <v>0</v>
      </c>
      <c r="Z39" s="749" t="s">
        <v>1672</v>
      </c>
      <c r="AA39" s="749" t="s">
        <v>1673</v>
      </c>
      <c r="AB39" s="749" t="s">
        <v>318</v>
      </c>
      <c r="AC39" s="749" t="s">
        <v>319</v>
      </c>
      <c r="AD39" s="749" t="s">
        <v>1661</v>
      </c>
      <c r="AE39" s="750">
        <v>0</v>
      </c>
      <c r="AF39" s="750">
        <v>0</v>
      </c>
      <c r="AG39" s="750">
        <v>3984249</v>
      </c>
      <c r="AH39" s="750">
        <v>3984249</v>
      </c>
    </row>
    <row r="40" spans="4:34" ht="18" customHeight="1">
      <c r="D40" s="54">
        <v>115800</v>
      </c>
      <c r="E40" s="28" t="s">
        <v>51</v>
      </c>
      <c r="F40" s="28">
        <f t="shared" si="5"/>
        <v>0</v>
      </c>
      <c r="G40" s="28">
        <f t="shared" si="5"/>
        <v>0</v>
      </c>
      <c r="H40" s="55">
        <f t="shared" si="6"/>
        <v>0</v>
      </c>
      <c r="J40" s="717">
        <v>410240</v>
      </c>
      <c r="K40" s="725" t="s">
        <v>624</v>
      </c>
      <c r="L40" s="734">
        <f>X41</f>
        <v>980215414</v>
      </c>
      <c r="N40" s="28" t="s">
        <v>15</v>
      </c>
      <c r="P40" s="749" t="s">
        <v>1676</v>
      </c>
      <c r="Q40" s="749" t="s">
        <v>519</v>
      </c>
      <c r="R40" s="749" t="s">
        <v>1668</v>
      </c>
      <c r="S40" s="749" t="s">
        <v>619</v>
      </c>
      <c r="T40" s="749" t="s">
        <v>1661</v>
      </c>
      <c r="U40" s="750">
        <v>0</v>
      </c>
      <c r="V40" s="750">
        <v>0</v>
      </c>
      <c r="W40" s="750">
        <v>71827095</v>
      </c>
      <c r="X40" s="751">
        <v>71827095</v>
      </c>
      <c r="Y40" s="28">
        <f t="shared" si="0"/>
        <v>0</v>
      </c>
      <c r="Z40" s="749" t="s">
        <v>1676</v>
      </c>
      <c r="AA40" s="749" t="s">
        <v>519</v>
      </c>
      <c r="AB40" s="749" t="s">
        <v>1668</v>
      </c>
      <c r="AC40" s="749" t="s">
        <v>619</v>
      </c>
      <c r="AD40" s="749" t="s">
        <v>1661</v>
      </c>
      <c r="AE40" s="750">
        <v>0</v>
      </c>
      <c r="AF40" s="750">
        <v>0</v>
      </c>
      <c r="AG40" s="750">
        <v>71827095</v>
      </c>
      <c r="AH40" s="750">
        <v>71827095</v>
      </c>
    </row>
    <row r="41" spans="4:34" ht="18" customHeight="1">
      <c r="D41" s="51"/>
      <c r="E41" s="660" t="s">
        <v>3</v>
      </c>
      <c r="F41" s="660"/>
      <c r="G41" s="660"/>
      <c r="H41" s="53"/>
      <c r="J41" s="717" t="s">
        <v>242</v>
      </c>
      <c r="K41" s="725" t="s">
        <v>243</v>
      </c>
      <c r="M41" s="28">
        <f>+L40</f>
        <v>980215414</v>
      </c>
      <c r="N41" s="28" t="s">
        <v>519</v>
      </c>
      <c r="P41" s="749" t="s">
        <v>1676</v>
      </c>
      <c r="Q41" s="749" t="s">
        <v>519</v>
      </c>
      <c r="R41" s="749" t="s">
        <v>1670</v>
      </c>
      <c r="S41" s="749" t="s">
        <v>624</v>
      </c>
      <c r="T41" s="749" t="s">
        <v>1661</v>
      </c>
      <c r="U41" s="750">
        <v>0</v>
      </c>
      <c r="V41" s="750">
        <v>0</v>
      </c>
      <c r="W41" s="750">
        <v>980215414</v>
      </c>
      <c r="X41" s="751">
        <v>980215414</v>
      </c>
      <c r="Y41" s="28">
        <f t="shared" si="0"/>
        <v>0</v>
      </c>
      <c r="Z41" s="749" t="s">
        <v>1676</v>
      </c>
      <c r="AA41" s="749" t="s">
        <v>519</v>
      </c>
      <c r="AB41" s="749" t="s">
        <v>1670</v>
      </c>
      <c r="AC41" s="749" t="s">
        <v>624</v>
      </c>
      <c r="AD41" s="749" t="s">
        <v>1661</v>
      </c>
      <c r="AE41" s="750">
        <v>0</v>
      </c>
      <c r="AF41" s="750">
        <v>0</v>
      </c>
      <c r="AG41" s="750">
        <v>980215414</v>
      </c>
      <c r="AH41" s="750">
        <v>980215414</v>
      </c>
    </row>
    <row r="42" spans="4:34" ht="18" customHeight="1">
      <c r="D42" s="54">
        <v>113100</v>
      </c>
      <c r="E42" s="28" t="s">
        <v>52</v>
      </c>
      <c r="F42" s="28">
        <f t="shared" ref="F42:G45" si="7">SUMIF($J:$J,$D42,L:L)</f>
        <v>0</v>
      </c>
      <c r="G42" s="28">
        <f t="shared" si="7"/>
        <v>0</v>
      </c>
      <c r="H42" s="55">
        <f t="shared" ref="H42:H45" si="8">F42-G42</f>
        <v>0</v>
      </c>
      <c r="J42" s="717">
        <v>410130</v>
      </c>
      <c r="K42" s="725" t="s">
        <v>619</v>
      </c>
      <c r="L42" s="734">
        <f>X40+X42</f>
        <v>36729604</v>
      </c>
      <c r="N42" s="28" t="s">
        <v>15</v>
      </c>
      <c r="P42" s="749" t="s">
        <v>1676</v>
      </c>
      <c r="Q42" s="749" t="s">
        <v>519</v>
      </c>
      <c r="R42" s="749" t="s">
        <v>1922</v>
      </c>
      <c r="S42" s="749" t="s">
        <v>1923</v>
      </c>
      <c r="T42" s="749" t="s">
        <v>1661</v>
      </c>
      <c r="U42" s="750">
        <v>0</v>
      </c>
      <c r="V42" s="750">
        <v>0</v>
      </c>
      <c r="W42" s="750">
        <v>-35097491</v>
      </c>
      <c r="X42" s="751">
        <v>-35097491</v>
      </c>
      <c r="Y42" s="28">
        <f t="shared" si="0"/>
        <v>0</v>
      </c>
      <c r="Z42" s="749" t="s">
        <v>1676</v>
      </c>
      <c r="AA42" s="749" t="s">
        <v>519</v>
      </c>
      <c r="AB42" s="749" t="s">
        <v>1922</v>
      </c>
      <c r="AC42" s="749" t="s">
        <v>1923</v>
      </c>
      <c r="AD42" s="749" t="s">
        <v>1661</v>
      </c>
      <c r="AE42" s="750">
        <v>0</v>
      </c>
      <c r="AF42" s="750">
        <v>0</v>
      </c>
      <c r="AG42" s="750">
        <v>-35097491</v>
      </c>
      <c r="AH42" s="750">
        <v>-35097491</v>
      </c>
    </row>
    <row r="43" spans="4:34" ht="18" customHeight="1">
      <c r="D43" s="54">
        <v>113101</v>
      </c>
      <c r="E43" s="28" t="s">
        <v>53</v>
      </c>
      <c r="F43" s="28">
        <f t="shared" si="7"/>
        <v>0</v>
      </c>
      <c r="G43" s="28">
        <f t="shared" si="7"/>
        <v>0</v>
      </c>
      <c r="H43" s="55">
        <f t="shared" si="8"/>
        <v>0</v>
      </c>
      <c r="J43" s="717">
        <v>420090</v>
      </c>
      <c r="K43" s="725" t="s">
        <v>241</v>
      </c>
      <c r="M43" s="28">
        <f>+L42</f>
        <v>36729604</v>
      </c>
      <c r="N43" s="28" t="s">
        <v>519</v>
      </c>
      <c r="P43" s="749"/>
      <c r="Q43" s="749"/>
      <c r="R43" s="749"/>
      <c r="S43" s="749" t="s">
        <v>429</v>
      </c>
      <c r="T43" s="749"/>
      <c r="U43" s="750">
        <v>20958021396</v>
      </c>
      <c r="V43" s="750">
        <v>9011987433</v>
      </c>
      <c r="W43" s="750">
        <v>5095708577</v>
      </c>
      <c r="X43" s="750">
        <v>28195628794</v>
      </c>
    </row>
    <row r="44" spans="4:34" ht="18" customHeight="1">
      <c r="D44" s="54">
        <v>113160</v>
      </c>
      <c r="E44" s="28" t="s">
        <v>54</v>
      </c>
      <c r="F44" s="28">
        <f t="shared" si="7"/>
        <v>0</v>
      </c>
      <c r="G44" s="28">
        <f t="shared" si="7"/>
        <v>0</v>
      </c>
      <c r="H44" s="55">
        <f t="shared" si="8"/>
        <v>0</v>
      </c>
      <c r="J44" s="717">
        <v>410610</v>
      </c>
      <c r="K44" s="725" t="s">
        <v>232</v>
      </c>
      <c r="L44" s="734">
        <f>+X14</f>
        <v>460206</v>
      </c>
      <c r="N44" s="28" t="s">
        <v>15</v>
      </c>
    </row>
    <row r="45" spans="4:34" ht="18" customHeight="1">
      <c r="D45" s="54">
        <v>113161</v>
      </c>
      <c r="E45" s="28" t="s">
        <v>55</v>
      </c>
      <c r="F45" s="28">
        <f t="shared" si="7"/>
        <v>0</v>
      </c>
      <c r="G45" s="28">
        <f t="shared" si="7"/>
        <v>0</v>
      </c>
      <c r="H45" s="55">
        <f t="shared" si="8"/>
        <v>0</v>
      </c>
      <c r="J45" s="717" t="s">
        <v>250</v>
      </c>
      <c r="K45" s="725" t="s">
        <v>251</v>
      </c>
      <c r="M45" s="28">
        <f>+L44</f>
        <v>460206</v>
      </c>
      <c r="N45" s="28" t="s">
        <v>522</v>
      </c>
    </row>
    <row r="46" spans="4:34" ht="18" customHeight="1">
      <c r="D46" s="51"/>
      <c r="E46" s="660" t="s">
        <v>4</v>
      </c>
      <c r="F46" s="660"/>
      <c r="G46" s="660"/>
      <c r="H46" s="53"/>
      <c r="J46" s="717">
        <v>410899</v>
      </c>
      <c r="K46" s="725" t="s">
        <v>238</v>
      </c>
      <c r="L46" s="723">
        <v>20249440</v>
      </c>
      <c r="N46" s="28" t="s">
        <v>1673</v>
      </c>
    </row>
    <row r="47" spans="4:34" ht="18" customHeight="1">
      <c r="D47" s="54">
        <v>112710</v>
      </c>
      <c r="E47" s="28" t="s">
        <v>56</v>
      </c>
      <c r="F47" s="28">
        <f t="shared" ref="F47:G59" si="9">SUMIF($J:$J,$D47,L:L)</f>
        <v>0</v>
      </c>
      <c r="G47" s="28">
        <f t="shared" si="9"/>
        <v>0</v>
      </c>
      <c r="H47" s="55">
        <f t="shared" ref="H47:H59" si="10">F47-G47</f>
        <v>0</v>
      </c>
      <c r="J47" s="717" t="s">
        <v>296</v>
      </c>
      <c r="K47" s="725" t="s">
        <v>297</v>
      </c>
      <c r="M47" s="28">
        <f>+L46</f>
        <v>20249440</v>
      </c>
      <c r="N47" s="28" t="s">
        <v>519</v>
      </c>
    </row>
    <row r="48" spans="4:34" ht="18" customHeight="1">
      <c r="D48" s="54">
        <v>112720</v>
      </c>
      <c r="E48" s="28" t="s">
        <v>57</v>
      </c>
      <c r="F48" s="28">
        <f t="shared" si="9"/>
        <v>0</v>
      </c>
      <c r="G48" s="28">
        <f t="shared" si="9"/>
        <v>0</v>
      </c>
      <c r="H48" s="55">
        <f t="shared" si="10"/>
        <v>0</v>
      </c>
    </row>
    <row r="49" spans="4:14" ht="18" customHeight="1">
      <c r="D49" s="54">
        <v>112730</v>
      </c>
      <c r="E49" s="28" t="s">
        <v>58</v>
      </c>
      <c r="F49" s="28">
        <f t="shared" si="9"/>
        <v>0</v>
      </c>
      <c r="G49" s="28">
        <f t="shared" si="9"/>
        <v>0</v>
      </c>
      <c r="H49" s="55">
        <f t="shared" si="10"/>
        <v>0</v>
      </c>
      <c r="J49" s="717">
        <v>731200</v>
      </c>
      <c r="K49" s="725" t="s">
        <v>338</v>
      </c>
      <c r="M49" s="28">
        <f>+L50</f>
        <v>12831289</v>
      </c>
      <c r="N49" s="28" t="s">
        <v>522</v>
      </c>
    </row>
    <row r="50" spans="4:14" ht="18" customHeight="1">
      <c r="D50" s="54">
        <v>113340</v>
      </c>
      <c r="E50" s="28" t="s">
        <v>59</v>
      </c>
      <c r="F50" s="28">
        <f t="shared" si="9"/>
        <v>0</v>
      </c>
      <c r="G50" s="28">
        <f t="shared" si="9"/>
        <v>0</v>
      </c>
      <c r="H50" s="55">
        <f t="shared" si="10"/>
        <v>0</v>
      </c>
      <c r="J50" s="717">
        <v>711191</v>
      </c>
      <c r="K50" s="725" t="s">
        <v>319</v>
      </c>
      <c r="L50" s="734">
        <f>X15</f>
        <v>12831289</v>
      </c>
      <c r="N50" s="28" t="s">
        <v>15</v>
      </c>
    </row>
    <row r="51" spans="4:14" ht="18" customHeight="1">
      <c r="D51" s="54">
        <v>112511</v>
      </c>
      <c r="E51" s="28" t="s">
        <v>60</v>
      </c>
      <c r="F51" s="28">
        <f t="shared" si="9"/>
        <v>0</v>
      </c>
      <c r="G51" s="28">
        <f t="shared" si="9"/>
        <v>0</v>
      </c>
      <c r="H51" s="55">
        <f t="shared" si="10"/>
        <v>0</v>
      </c>
      <c r="J51" s="717">
        <v>731200</v>
      </c>
      <c r="K51" s="725" t="s">
        <v>338</v>
      </c>
      <c r="M51" s="723">
        <v>1340848</v>
      </c>
      <c r="N51" s="28" t="s">
        <v>1673</v>
      </c>
    </row>
    <row r="52" spans="4:14" ht="18" customHeight="1">
      <c r="D52" s="54">
        <v>112521</v>
      </c>
      <c r="E52" s="28" t="s">
        <v>61</v>
      </c>
      <c r="F52" s="28">
        <f t="shared" si="9"/>
        <v>0</v>
      </c>
      <c r="G52" s="28">
        <f t="shared" si="9"/>
        <v>0</v>
      </c>
      <c r="H52" s="55">
        <f t="shared" si="10"/>
        <v>0</v>
      </c>
      <c r="J52" s="717">
        <v>711191</v>
      </c>
      <c r="K52" s="725" t="s">
        <v>319</v>
      </c>
      <c r="L52" s="28">
        <f>+M51</f>
        <v>1340848</v>
      </c>
      <c r="N52" s="28" t="s">
        <v>519</v>
      </c>
    </row>
    <row r="53" spans="4:14" ht="18" customHeight="1">
      <c r="D53" s="54">
        <v>112522</v>
      </c>
      <c r="E53" s="28" t="s">
        <v>62</v>
      </c>
      <c r="F53" s="28">
        <f t="shared" si="9"/>
        <v>0</v>
      </c>
      <c r="G53" s="28">
        <f t="shared" si="9"/>
        <v>0</v>
      </c>
      <c r="H53" s="55">
        <f t="shared" si="10"/>
        <v>0</v>
      </c>
      <c r="J53" s="717">
        <v>731200</v>
      </c>
      <c r="K53" s="725" t="s">
        <v>338</v>
      </c>
      <c r="M53" s="28">
        <f>+L54</f>
        <v>3984249</v>
      </c>
      <c r="N53" s="28" t="s">
        <v>1673</v>
      </c>
    </row>
    <row r="54" spans="4:14" ht="18" customHeight="1">
      <c r="D54" s="54">
        <v>112531</v>
      </c>
      <c r="E54" s="28" t="s">
        <v>63</v>
      </c>
      <c r="F54" s="28">
        <f t="shared" si="9"/>
        <v>0</v>
      </c>
      <c r="G54" s="28">
        <f t="shared" si="9"/>
        <v>0</v>
      </c>
      <c r="H54" s="55">
        <f t="shared" si="10"/>
        <v>0</v>
      </c>
      <c r="J54" s="717">
        <v>711191</v>
      </c>
      <c r="K54" s="725" t="s">
        <v>319</v>
      </c>
      <c r="L54" s="734">
        <f>+X39</f>
        <v>3984249</v>
      </c>
      <c r="N54" s="28" t="s">
        <v>15</v>
      </c>
    </row>
    <row r="55" spans="4:14" ht="18" customHeight="1">
      <c r="D55" s="54">
        <v>112533</v>
      </c>
      <c r="E55" s="28" t="s">
        <v>64</v>
      </c>
      <c r="F55" s="28">
        <f t="shared" si="9"/>
        <v>0</v>
      </c>
      <c r="G55" s="28">
        <f t="shared" si="9"/>
        <v>0</v>
      </c>
      <c r="H55" s="55">
        <f t="shared" si="10"/>
        <v>0</v>
      </c>
    </row>
    <row r="56" spans="4:14" ht="18" customHeight="1">
      <c r="D56" s="54">
        <v>112534</v>
      </c>
      <c r="E56" s="28" t="s">
        <v>65</v>
      </c>
      <c r="F56" s="28">
        <f t="shared" si="9"/>
        <v>0</v>
      </c>
      <c r="G56" s="28">
        <f t="shared" si="9"/>
        <v>0</v>
      </c>
      <c r="H56" s="55">
        <f t="shared" si="10"/>
        <v>0</v>
      </c>
    </row>
    <row r="57" spans="4:14" ht="18" customHeight="1">
      <c r="D57" s="54">
        <v>112535</v>
      </c>
      <c r="E57" s="28" t="s">
        <v>66</v>
      </c>
      <c r="F57" s="28">
        <f t="shared" si="9"/>
        <v>0</v>
      </c>
      <c r="G57" s="28">
        <f t="shared" si="9"/>
        <v>0</v>
      </c>
      <c r="H57" s="55">
        <f t="shared" si="10"/>
        <v>0</v>
      </c>
    </row>
    <row r="58" spans="4:14" ht="18" customHeight="1">
      <c r="D58" s="54">
        <v>112900</v>
      </c>
      <c r="E58" s="28" t="s">
        <v>67</v>
      </c>
      <c r="F58" s="28">
        <f t="shared" si="9"/>
        <v>0</v>
      </c>
      <c r="G58" s="28">
        <f t="shared" si="9"/>
        <v>0</v>
      </c>
      <c r="H58" s="55">
        <f t="shared" si="10"/>
        <v>0</v>
      </c>
    </row>
    <row r="59" spans="4:14" ht="18" customHeight="1">
      <c r="D59" s="54" t="s">
        <v>68</v>
      </c>
      <c r="E59" s="28" t="s">
        <v>69</v>
      </c>
      <c r="F59" s="28">
        <f t="shared" si="9"/>
        <v>0</v>
      </c>
      <c r="G59" s="28">
        <f t="shared" si="9"/>
        <v>0</v>
      </c>
      <c r="H59" s="55">
        <f t="shared" si="10"/>
        <v>0</v>
      </c>
    </row>
    <row r="60" spans="4:14" ht="18" customHeight="1">
      <c r="D60" s="48"/>
      <c r="E60" s="659" t="s">
        <v>70</v>
      </c>
      <c r="F60" s="659"/>
      <c r="G60" s="659"/>
      <c r="H60" s="50"/>
    </row>
    <row r="61" spans="4:14" ht="18" customHeight="1">
      <c r="D61" s="51"/>
      <c r="E61" s="660" t="s">
        <v>71</v>
      </c>
      <c r="F61" s="660"/>
      <c r="G61" s="660"/>
      <c r="H61" s="53"/>
    </row>
    <row r="62" spans="4:14" ht="18" customHeight="1">
      <c r="D62" s="54">
        <v>121551</v>
      </c>
      <c r="E62" s="28" t="s">
        <v>72</v>
      </c>
      <c r="F62" s="28">
        <f t="shared" ref="F62:G66" si="11">SUMIF($J:$J,$D62,L:L)</f>
        <v>0</v>
      </c>
      <c r="G62" s="28">
        <f t="shared" si="11"/>
        <v>0</v>
      </c>
      <c r="H62" s="55">
        <f t="shared" ref="H62:H66" si="12">F62-G62</f>
        <v>0</v>
      </c>
    </row>
    <row r="63" spans="4:14" ht="18" customHeight="1">
      <c r="D63" s="54">
        <v>121511</v>
      </c>
      <c r="E63" s="28" t="s">
        <v>73</v>
      </c>
      <c r="F63" s="28">
        <f t="shared" si="11"/>
        <v>0</v>
      </c>
      <c r="G63" s="28">
        <f t="shared" si="11"/>
        <v>0</v>
      </c>
      <c r="H63" s="55">
        <f t="shared" si="12"/>
        <v>0</v>
      </c>
    </row>
    <row r="64" spans="4:14" ht="18" customHeight="1">
      <c r="D64" s="54">
        <v>121602</v>
      </c>
      <c r="E64" s="28" t="s">
        <v>1839</v>
      </c>
      <c r="F64" s="28">
        <f t="shared" si="11"/>
        <v>0</v>
      </c>
      <c r="G64" s="28">
        <f t="shared" si="11"/>
        <v>0</v>
      </c>
      <c r="H64" s="55">
        <f t="shared" si="12"/>
        <v>0</v>
      </c>
    </row>
    <row r="65" spans="4:8" ht="18" customHeight="1">
      <c r="D65" s="54">
        <v>121532</v>
      </c>
      <c r="E65" s="28" t="s">
        <v>74</v>
      </c>
      <c r="F65" s="28">
        <f t="shared" si="11"/>
        <v>0</v>
      </c>
      <c r="G65" s="28">
        <f t="shared" si="11"/>
        <v>0</v>
      </c>
      <c r="H65" s="55">
        <f t="shared" si="12"/>
        <v>0</v>
      </c>
    </row>
    <row r="66" spans="4:8" ht="18" customHeight="1">
      <c r="D66" s="54">
        <v>121531</v>
      </c>
      <c r="E66" s="28" t="s">
        <v>75</v>
      </c>
      <c r="F66" s="28">
        <f t="shared" si="11"/>
        <v>0</v>
      </c>
      <c r="G66" s="28">
        <f t="shared" si="11"/>
        <v>0</v>
      </c>
      <c r="H66" s="55">
        <f t="shared" si="12"/>
        <v>0</v>
      </c>
    </row>
    <row r="67" spans="4:8" ht="18" customHeight="1">
      <c r="D67" s="51"/>
      <c r="E67" s="660" t="s">
        <v>76</v>
      </c>
      <c r="F67" s="660"/>
      <c r="G67" s="660"/>
      <c r="H67" s="53"/>
    </row>
    <row r="68" spans="4:8" ht="18" customHeight="1">
      <c r="D68" s="54">
        <v>121410</v>
      </c>
      <c r="E68" s="28" t="s">
        <v>77</v>
      </c>
      <c r="F68" s="28">
        <f t="shared" ref="F68:G71" si="13">SUMIF($J:$J,$D68,L:L)</f>
        <v>0</v>
      </c>
      <c r="G68" s="28">
        <f t="shared" si="13"/>
        <v>0</v>
      </c>
      <c r="H68" s="55">
        <f t="shared" ref="H68:H71" si="14">F68-G68</f>
        <v>0</v>
      </c>
    </row>
    <row r="69" spans="4:8" ht="18" customHeight="1">
      <c r="D69" s="57" t="s">
        <v>222</v>
      </c>
      <c r="E69" s="28" t="s">
        <v>78</v>
      </c>
      <c r="F69" s="28">
        <f t="shared" si="13"/>
        <v>0</v>
      </c>
      <c r="G69" s="28">
        <f t="shared" si="13"/>
        <v>0</v>
      </c>
      <c r="H69" s="55">
        <f t="shared" si="14"/>
        <v>0</v>
      </c>
    </row>
    <row r="70" spans="4:8" ht="18" customHeight="1">
      <c r="D70" s="57" t="s">
        <v>223</v>
      </c>
      <c r="E70" s="28" t="s">
        <v>79</v>
      </c>
      <c r="F70" s="28">
        <f t="shared" si="13"/>
        <v>0</v>
      </c>
      <c r="G70" s="28">
        <f t="shared" si="13"/>
        <v>0</v>
      </c>
      <c r="H70" s="55">
        <f t="shared" si="14"/>
        <v>0</v>
      </c>
    </row>
    <row r="71" spans="4:8" ht="18" customHeight="1">
      <c r="D71" s="57" t="s">
        <v>224</v>
      </c>
      <c r="E71" s="28" t="s">
        <v>42</v>
      </c>
      <c r="F71" s="28">
        <f t="shared" si="13"/>
        <v>0</v>
      </c>
      <c r="G71" s="28">
        <f t="shared" si="13"/>
        <v>0</v>
      </c>
      <c r="H71" s="55">
        <f t="shared" si="14"/>
        <v>0</v>
      </c>
    </row>
    <row r="72" spans="4:8" ht="18" customHeight="1">
      <c r="D72" s="51"/>
      <c r="E72" s="660" t="s">
        <v>80</v>
      </c>
      <c r="F72" s="660"/>
      <c r="G72" s="660"/>
      <c r="H72" s="53"/>
    </row>
    <row r="73" spans="4:8" ht="18" customHeight="1">
      <c r="D73" s="54">
        <v>900019</v>
      </c>
      <c r="E73" s="28" t="s">
        <v>81</v>
      </c>
      <c r="F73" s="28">
        <f t="shared" ref="F73:G74" si="15">SUMIF($J:$J,$D73,L:L)</f>
        <v>0</v>
      </c>
      <c r="G73" s="28">
        <f t="shared" si="15"/>
        <v>0</v>
      </c>
      <c r="H73" s="55">
        <f t="shared" ref="H73:H74" si="16">F73-G73</f>
        <v>0</v>
      </c>
    </row>
    <row r="74" spans="4:8" ht="18" customHeight="1">
      <c r="D74" s="54" t="s">
        <v>82</v>
      </c>
      <c r="E74" s="28" t="s">
        <v>83</v>
      </c>
      <c r="F74" s="28">
        <f t="shared" si="15"/>
        <v>0</v>
      </c>
      <c r="G74" s="28">
        <f t="shared" si="15"/>
        <v>0</v>
      </c>
      <c r="H74" s="55">
        <f t="shared" si="16"/>
        <v>0</v>
      </c>
    </row>
    <row r="75" spans="4:8" ht="18" customHeight="1">
      <c r="D75" s="51"/>
      <c r="E75" s="660" t="s">
        <v>5</v>
      </c>
      <c r="F75" s="660"/>
      <c r="G75" s="660"/>
      <c r="H75" s="53"/>
    </row>
    <row r="76" spans="4:8" ht="18" customHeight="1">
      <c r="D76" s="54">
        <v>123700</v>
      </c>
      <c r="E76" s="28" t="s">
        <v>84</v>
      </c>
      <c r="F76" s="28">
        <f t="shared" ref="F76:G96" si="17">SUMIF($J:$J,$D76,L:L)</f>
        <v>0</v>
      </c>
      <c r="G76" s="28">
        <f t="shared" si="17"/>
        <v>0</v>
      </c>
      <c r="H76" s="55">
        <f t="shared" ref="H76:H96" si="18">F76-G76</f>
        <v>0</v>
      </c>
    </row>
    <row r="77" spans="4:8" ht="18" customHeight="1">
      <c r="D77" s="54">
        <v>123750</v>
      </c>
      <c r="E77" s="28" t="s">
        <v>85</v>
      </c>
      <c r="F77" s="28">
        <f t="shared" si="17"/>
        <v>0</v>
      </c>
      <c r="G77" s="28">
        <f t="shared" si="17"/>
        <v>0</v>
      </c>
      <c r="H77" s="55">
        <f t="shared" si="18"/>
        <v>0</v>
      </c>
    </row>
    <row r="78" spans="4:8" ht="18" customHeight="1">
      <c r="D78" s="54">
        <v>123900</v>
      </c>
      <c r="E78" s="28" t="s">
        <v>86</v>
      </c>
      <c r="F78" s="28">
        <f t="shared" si="17"/>
        <v>0</v>
      </c>
      <c r="G78" s="28">
        <f t="shared" si="17"/>
        <v>0</v>
      </c>
      <c r="H78" s="55">
        <f t="shared" si="18"/>
        <v>0</v>
      </c>
    </row>
    <row r="79" spans="4:8" ht="18" customHeight="1">
      <c r="D79" s="54">
        <v>123950</v>
      </c>
      <c r="E79" s="28" t="s">
        <v>87</v>
      </c>
      <c r="F79" s="28">
        <f t="shared" si="17"/>
        <v>0</v>
      </c>
      <c r="G79" s="28">
        <f t="shared" si="17"/>
        <v>0</v>
      </c>
      <c r="H79" s="55">
        <f t="shared" si="18"/>
        <v>0</v>
      </c>
    </row>
    <row r="80" spans="4:8" ht="18" customHeight="1">
      <c r="D80" s="54">
        <v>123960</v>
      </c>
      <c r="E80" s="28" t="s">
        <v>88</v>
      </c>
      <c r="F80" s="28">
        <f t="shared" si="17"/>
        <v>0</v>
      </c>
      <c r="G80" s="28">
        <f t="shared" si="17"/>
        <v>0</v>
      </c>
      <c r="H80" s="55">
        <f t="shared" si="18"/>
        <v>0</v>
      </c>
    </row>
    <row r="81" spans="4:8" ht="18" customHeight="1">
      <c r="D81" s="54">
        <v>124000</v>
      </c>
      <c r="E81" s="28" t="s">
        <v>89</v>
      </c>
      <c r="F81" s="28">
        <f t="shared" si="17"/>
        <v>0</v>
      </c>
      <c r="G81" s="28">
        <f t="shared" si="17"/>
        <v>0</v>
      </c>
      <c r="H81" s="55">
        <f t="shared" si="18"/>
        <v>0</v>
      </c>
    </row>
    <row r="82" spans="4:8" ht="18" customHeight="1">
      <c r="D82" s="54">
        <v>124050</v>
      </c>
      <c r="E82" s="28" t="s">
        <v>90</v>
      </c>
      <c r="F82" s="28">
        <f t="shared" si="17"/>
        <v>0</v>
      </c>
      <c r="G82" s="28">
        <f t="shared" si="17"/>
        <v>0</v>
      </c>
      <c r="H82" s="55">
        <f t="shared" si="18"/>
        <v>0</v>
      </c>
    </row>
    <row r="83" spans="4:8" ht="18" customHeight="1">
      <c r="D83" s="54">
        <v>124160</v>
      </c>
      <c r="E83" s="28" t="s">
        <v>91</v>
      </c>
      <c r="F83" s="28">
        <f t="shared" si="17"/>
        <v>0</v>
      </c>
      <c r="G83" s="28">
        <f t="shared" si="17"/>
        <v>0</v>
      </c>
      <c r="H83" s="55">
        <f t="shared" si="18"/>
        <v>0</v>
      </c>
    </row>
    <row r="84" spans="4:8" ht="18" customHeight="1">
      <c r="D84" s="54">
        <v>124200</v>
      </c>
      <c r="E84" s="28" t="s">
        <v>92</v>
      </c>
      <c r="F84" s="28">
        <f t="shared" si="17"/>
        <v>0</v>
      </c>
      <c r="G84" s="28">
        <f t="shared" si="17"/>
        <v>0</v>
      </c>
      <c r="H84" s="55">
        <f t="shared" si="18"/>
        <v>0</v>
      </c>
    </row>
    <row r="85" spans="4:8" ht="18" customHeight="1">
      <c r="D85" s="54">
        <v>124250</v>
      </c>
      <c r="E85" s="28" t="s">
        <v>93</v>
      </c>
      <c r="F85" s="28">
        <f t="shared" si="17"/>
        <v>0</v>
      </c>
      <c r="G85" s="28">
        <f t="shared" si="17"/>
        <v>0</v>
      </c>
      <c r="H85" s="55">
        <f t="shared" si="18"/>
        <v>0</v>
      </c>
    </row>
    <row r="86" spans="4:8" ht="18" customHeight="1">
      <c r="D86" s="54">
        <v>124260</v>
      </c>
      <c r="E86" s="28" t="s">
        <v>94</v>
      </c>
      <c r="F86" s="28">
        <f t="shared" si="17"/>
        <v>0</v>
      </c>
      <c r="G86" s="28">
        <f t="shared" si="17"/>
        <v>0</v>
      </c>
      <c r="H86" s="55">
        <f t="shared" si="18"/>
        <v>0</v>
      </c>
    </row>
    <row r="87" spans="4:8" ht="18" customHeight="1">
      <c r="D87" s="54">
        <v>124300</v>
      </c>
      <c r="E87" s="28" t="s">
        <v>95</v>
      </c>
      <c r="F87" s="28">
        <f t="shared" si="17"/>
        <v>0</v>
      </c>
      <c r="G87" s="28">
        <f t="shared" si="17"/>
        <v>0</v>
      </c>
      <c r="H87" s="55">
        <f t="shared" si="18"/>
        <v>0</v>
      </c>
    </row>
    <row r="88" spans="4:8" ht="18" customHeight="1">
      <c r="D88" s="54">
        <v>124350</v>
      </c>
      <c r="E88" s="28" t="s">
        <v>96</v>
      </c>
      <c r="F88" s="28">
        <f t="shared" si="17"/>
        <v>0</v>
      </c>
      <c r="G88" s="28">
        <f t="shared" si="17"/>
        <v>0</v>
      </c>
      <c r="H88" s="55">
        <f t="shared" si="18"/>
        <v>0</v>
      </c>
    </row>
    <row r="89" spans="4:8" ht="18" customHeight="1">
      <c r="D89" s="54">
        <v>124360</v>
      </c>
      <c r="E89" s="28" t="s">
        <v>97</v>
      </c>
      <c r="F89" s="28">
        <f t="shared" si="17"/>
        <v>0</v>
      </c>
      <c r="G89" s="28">
        <f t="shared" si="17"/>
        <v>0</v>
      </c>
      <c r="H89" s="55">
        <f t="shared" si="18"/>
        <v>0</v>
      </c>
    </row>
    <row r="90" spans="4:8" ht="18" customHeight="1">
      <c r="D90" s="54">
        <v>124400</v>
      </c>
      <c r="E90" s="28" t="s">
        <v>98</v>
      </c>
      <c r="F90" s="28">
        <f t="shared" si="17"/>
        <v>0</v>
      </c>
      <c r="G90" s="28">
        <f t="shared" si="17"/>
        <v>0</v>
      </c>
      <c r="H90" s="55">
        <f t="shared" si="18"/>
        <v>0</v>
      </c>
    </row>
    <row r="91" spans="4:8" ht="18" customHeight="1">
      <c r="D91" s="54">
        <v>124450</v>
      </c>
      <c r="E91" s="28" t="s">
        <v>99</v>
      </c>
      <c r="F91" s="28">
        <f t="shared" si="17"/>
        <v>0</v>
      </c>
      <c r="G91" s="28">
        <f t="shared" si="17"/>
        <v>0</v>
      </c>
      <c r="H91" s="55">
        <f t="shared" si="18"/>
        <v>0</v>
      </c>
    </row>
    <row r="92" spans="4:8" ht="18" customHeight="1">
      <c r="D92" s="54">
        <v>124600</v>
      </c>
      <c r="E92" s="28" t="s">
        <v>100</v>
      </c>
      <c r="F92" s="28">
        <f t="shared" si="17"/>
        <v>0</v>
      </c>
      <c r="G92" s="28">
        <f t="shared" si="17"/>
        <v>0</v>
      </c>
      <c r="H92" s="55">
        <f t="shared" si="18"/>
        <v>0</v>
      </c>
    </row>
    <row r="93" spans="4:8" ht="18" customHeight="1">
      <c r="D93" s="54">
        <v>126100</v>
      </c>
      <c r="E93" s="28" t="s">
        <v>101</v>
      </c>
      <c r="F93" s="28">
        <f t="shared" si="17"/>
        <v>0</v>
      </c>
      <c r="G93" s="28">
        <f t="shared" si="17"/>
        <v>0</v>
      </c>
      <c r="H93" s="55">
        <f t="shared" si="18"/>
        <v>0</v>
      </c>
    </row>
    <row r="94" spans="4:8" ht="18" customHeight="1">
      <c r="D94" s="54">
        <v>126110</v>
      </c>
      <c r="E94" s="28" t="s">
        <v>102</v>
      </c>
      <c r="F94" s="28">
        <f t="shared" si="17"/>
        <v>0</v>
      </c>
      <c r="G94" s="28">
        <f t="shared" si="17"/>
        <v>0</v>
      </c>
      <c r="H94" s="55">
        <f t="shared" si="18"/>
        <v>0</v>
      </c>
    </row>
    <row r="95" spans="4:8" ht="18" customHeight="1">
      <c r="D95" s="54">
        <v>126200</v>
      </c>
      <c r="E95" s="28" t="s">
        <v>103</v>
      </c>
      <c r="F95" s="28">
        <f t="shared" si="17"/>
        <v>0</v>
      </c>
      <c r="G95" s="28">
        <f t="shared" si="17"/>
        <v>0</v>
      </c>
      <c r="H95" s="55">
        <f t="shared" si="18"/>
        <v>0</v>
      </c>
    </row>
    <row r="96" spans="4:8" ht="18" customHeight="1">
      <c r="D96" s="54">
        <v>126210</v>
      </c>
      <c r="E96" s="28" t="s">
        <v>104</v>
      </c>
      <c r="F96" s="28">
        <f t="shared" si="17"/>
        <v>0</v>
      </c>
      <c r="G96" s="28">
        <f t="shared" si="17"/>
        <v>0</v>
      </c>
      <c r="H96" s="55">
        <f t="shared" si="18"/>
        <v>0</v>
      </c>
    </row>
    <row r="97" spans="4:8" ht="18" customHeight="1">
      <c r="D97" s="51"/>
      <c r="E97" s="660" t="s">
        <v>6</v>
      </c>
      <c r="F97" s="660"/>
      <c r="G97" s="660"/>
      <c r="H97" s="53"/>
    </row>
    <row r="98" spans="4:8" ht="18" customHeight="1">
      <c r="D98" s="54" t="s">
        <v>105</v>
      </c>
      <c r="E98" s="28" t="s">
        <v>106</v>
      </c>
      <c r="F98" s="28">
        <f t="shared" ref="F98:G116" si="19">SUMIF($J:$J,$D98,L:L)</f>
        <v>0</v>
      </c>
      <c r="G98" s="28">
        <f t="shared" si="19"/>
        <v>0</v>
      </c>
      <c r="H98" s="55">
        <f t="shared" ref="H98:H116" si="20">F98-G98</f>
        <v>0</v>
      </c>
    </row>
    <row r="99" spans="4:8" ht="18" customHeight="1">
      <c r="D99" s="54" t="s">
        <v>107</v>
      </c>
      <c r="E99" s="28" t="s">
        <v>108</v>
      </c>
      <c r="F99" s="28">
        <f t="shared" si="19"/>
        <v>0</v>
      </c>
      <c r="G99" s="28">
        <f t="shared" si="19"/>
        <v>0</v>
      </c>
      <c r="H99" s="55">
        <f t="shared" si="20"/>
        <v>0</v>
      </c>
    </row>
    <row r="100" spans="4:8" ht="18" customHeight="1">
      <c r="D100" s="54" t="s">
        <v>109</v>
      </c>
      <c r="E100" s="28" t="s">
        <v>110</v>
      </c>
      <c r="F100" s="28">
        <f t="shared" si="19"/>
        <v>0</v>
      </c>
      <c r="G100" s="28">
        <f t="shared" si="19"/>
        <v>0</v>
      </c>
      <c r="H100" s="55">
        <f t="shared" si="20"/>
        <v>0</v>
      </c>
    </row>
    <row r="101" spans="4:8" ht="18" customHeight="1">
      <c r="D101" s="54" t="s">
        <v>111</v>
      </c>
      <c r="E101" s="28" t="s">
        <v>112</v>
      </c>
      <c r="F101" s="28">
        <f t="shared" si="19"/>
        <v>0</v>
      </c>
      <c r="G101" s="28">
        <f t="shared" si="19"/>
        <v>0</v>
      </c>
      <c r="H101" s="55">
        <f t="shared" si="20"/>
        <v>0</v>
      </c>
    </row>
    <row r="102" spans="4:8" ht="18" customHeight="1">
      <c r="D102" s="54" t="s">
        <v>113</v>
      </c>
      <c r="E102" s="28" t="s">
        <v>114</v>
      </c>
      <c r="F102" s="28">
        <f t="shared" si="19"/>
        <v>0</v>
      </c>
      <c r="G102" s="28">
        <f t="shared" si="19"/>
        <v>0</v>
      </c>
      <c r="H102" s="55">
        <f t="shared" si="20"/>
        <v>0</v>
      </c>
    </row>
    <row r="103" spans="4:8" ht="18" customHeight="1">
      <c r="D103" s="54">
        <v>125300</v>
      </c>
      <c r="E103" s="28" t="s">
        <v>115</v>
      </c>
      <c r="F103" s="28">
        <f t="shared" si="19"/>
        <v>0</v>
      </c>
      <c r="G103" s="28">
        <f t="shared" si="19"/>
        <v>0</v>
      </c>
      <c r="H103" s="55">
        <f t="shared" si="20"/>
        <v>0</v>
      </c>
    </row>
    <row r="104" spans="4:8" ht="18" customHeight="1">
      <c r="D104" s="54">
        <v>125400</v>
      </c>
      <c r="E104" s="28" t="s">
        <v>116</v>
      </c>
      <c r="F104" s="28">
        <f t="shared" si="19"/>
        <v>0</v>
      </c>
      <c r="G104" s="28">
        <f t="shared" si="19"/>
        <v>0</v>
      </c>
      <c r="H104" s="55">
        <f t="shared" si="20"/>
        <v>0</v>
      </c>
    </row>
    <row r="105" spans="4:8" ht="18" customHeight="1">
      <c r="D105" s="54" t="s">
        <v>117</v>
      </c>
      <c r="E105" s="28" t="s">
        <v>118</v>
      </c>
      <c r="F105" s="28">
        <f t="shared" si="19"/>
        <v>0</v>
      </c>
      <c r="G105" s="28">
        <f t="shared" si="19"/>
        <v>0</v>
      </c>
      <c r="H105" s="55">
        <f t="shared" si="20"/>
        <v>0</v>
      </c>
    </row>
    <row r="106" spans="4:8" ht="18" customHeight="1">
      <c r="D106" s="54" t="s">
        <v>119</v>
      </c>
      <c r="E106" s="28" t="s">
        <v>120</v>
      </c>
      <c r="F106" s="28">
        <f t="shared" si="19"/>
        <v>0</v>
      </c>
      <c r="G106" s="28">
        <f t="shared" si="19"/>
        <v>0</v>
      </c>
      <c r="H106" s="55">
        <f t="shared" si="20"/>
        <v>0</v>
      </c>
    </row>
    <row r="107" spans="4:8" ht="18" customHeight="1">
      <c r="D107" s="54" t="s">
        <v>121</v>
      </c>
      <c r="E107" s="28" t="s">
        <v>122</v>
      </c>
      <c r="F107" s="28">
        <f t="shared" si="19"/>
        <v>0</v>
      </c>
      <c r="G107" s="28">
        <f t="shared" si="19"/>
        <v>0</v>
      </c>
      <c r="H107" s="55">
        <f t="shared" si="20"/>
        <v>0</v>
      </c>
    </row>
    <row r="108" spans="4:8" ht="18" customHeight="1">
      <c r="D108" s="54">
        <v>125900</v>
      </c>
      <c r="E108" s="28" t="s">
        <v>123</v>
      </c>
      <c r="F108" s="28">
        <f t="shared" si="19"/>
        <v>0</v>
      </c>
      <c r="G108" s="28">
        <f t="shared" si="19"/>
        <v>0</v>
      </c>
      <c r="H108" s="55">
        <f t="shared" si="20"/>
        <v>0</v>
      </c>
    </row>
    <row r="109" spans="4:8" ht="18" customHeight="1">
      <c r="D109" s="54" t="s">
        <v>126</v>
      </c>
      <c r="E109" s="28" t="s">
        <v>127</v>
      </c>
      <c r="F109" s="28">
        <f t="shared" si="19"/>
        <v>0</v>
      </c>
      <c r="G109" s="28">
        <f t="shared" si="19"/>
        <v>0</v>
      </c>
      <c r="H109" s="55">
        <f t="shared" si="20"/>
        <v>0</v>
      </c>
    </row>
    <row r="110" spans="4:8" ht="18" customHeight="1">
      <c r="D110" s="54" t="s">
        <v>124</v>
      </c>
      <c r="E110" s="28" t="s">
        <v>125</v>
      </c>
      <c r="F110" s="28">
        <f t="shared" si="19"/>
        <v>0</v>
      </c>
      <c r="G110" s="28">
        <f t="shared" si="19"/>
        <v>0</v>
      </c>
      <c r="H110" s="55">
        <f t="shared" si="20"/>
        <v>0</v>
      </c>
    </row>
    <row r="111" spans="4:8" ht="18" customHeight="1">
      <c r="D111" s="54" t="s">
        <v>128</v>
      </c>
      <c r="E111" s="28" t="s">
        <v>129</v>
      </c>
      <c r="F111" s="28">
        <f t="shared" si="19"/>
        <v>0</v>
      </c>
      <c r="G111" s="28">
        <f t="shared" si="19"/>
        <v>0</v>
      </c>
      <c r="H111" s="55">
        <f t="shared" si="20"/>
        <v>0</v>
      </c>
    </row>
    <row r="112" spans="4:8" ht="18" customHeight="1">
      <c r="D112" s="54" t="s">
        <v>130</v>
      </c>
      <c r="E112" s="28" t="s">
        <v>131</v>
      </c>
      <c r="F112" s="28">
        <f t="shared" si="19"/>
        <v>0</v>
      </c>
      <c r="G112" s="28">
        <f t="shared" si="19"/>
        <v>0</v>
      </c>
      <c r="H112" s="55">
        <f t="shared" si="20"/>
        <v>0</v>
      </c>
    </row>
    <row r="113" spans="4:8" ht="18" customHeight="1">
      <c r="D113" s="54">
        <v>125950</v>
      </c>
      <c r="E113" s="28" t="s">
        <v>132</v>
      </c>
      <c r="F113" s="28">
        <f t="shared" si="19"/>
        <v>0</v>
      </c>
      <c r="G113" s="28">
        <f t="shared" si="19"/>
        <v>0</v>
      </c>
      <c r="H113" s="55">
        <f t="shared" si="20"/>
        <v>0</v>
      </c>
    </row>
    <row r="114" spans="4:8" ht="18" customHeight="1">
      <c r="D114" s="54">
        <v>125960</v>
      </c>
      <c r="E114" s="28" t="s">
        <v>133</v>
      </c>
      <c r="F114" s="28">
        <f t="shared" si="19"/>
        <v>0</v>
      </c>
      <c r="G114" s="28">
        <f t="shared" si="19"/>
        <v>0</v>
      </c>
      <c r="H114" s="55">
        <f t="shared" si="20"/>
        <v>0</v>
      </c>
    </row>
    <row r="115" spans="4:8" ht="18" customHeight="1">
      <c r="D115" s="54">
        <v>125970</v>
      </c>
      <c r="E115" s="28" t="s">
        <v>134</v>
      </c>
      <c r="F115" s="28">
        <f t="shared" si="19"/>
        <v>0</v>
      </c>
      <c r="G115" s="28">
        <f t="shared" si="19"/>
        <v>0</v>
      </c>
      <c r="H115" s="55">
        <f t="shared" si="20"/>
        <v>0</v>
      </c>
    </row>
    <row r="116" spans="4:8" ht="18" customHeight="1">
      <c r="D116" s="54">
        <v>125980</v>
      </c>
      <c r="E116" s="28" t="s">
        <v>135</v>
      </c>
      <c r="F116" s="28">
        <f t="shared" si="19"/>
        <v>0</v>
      </c>
      <c r="G116" s="28">
        <f t="shared" si="19"/>
        <v>0</v>
      </c>
      <c r="H116" s="55">
        <f t="shared" si="20"/>
        <v>0</v>
      </c>
    </row>
    <row r="117" spans="4:8" ht="18" customHeight="1">
      <c r="D117" s="51"/>
      <c r="E117" s="660" t="s">
        <v>7</v>
      </c>
      <c r="F117" s="660"/>
      <c r="G117" s="660"/>
      <c r="H117" s="53"/>
    </row>
    <row r="118" spans="4:8" ht="18" customHeight="1">
      <c r="D118" s="54">
        <v>121850</v>
      </c>
      <c r="E118" s="28" t="s">
        <v>136</v>
      </c>
      <c r="F118" s="28">
        <f>SUMIF($J:$J,$D118,L:L)</f>
        <v>0</v>
      </c>
      <c r="G118" s="28">
        <f>SUMIF($J:$J,$D118,M:M)</f>
        <v>0</v>
      </c>
      <c r="H118" s="55">
        <f>F118-G118</f>
        <v>0</v>
      </c>
    </row>
    <row r="119" spans="4:8" ht="18" customHeight="1">
      <c r="D119" s="45"/>
      <c r="E119" s="658" t="s">
        <v>8</v>
      </c>
      <c r="F119" s="658"/>
      <c r="G119" s="658"/>
      <c r="H119" s="47"/>
    </row>
    <row r="120" spans="4:8" ht="18" customHeight="1">
      <c r="D120" s="48"/>
      <c r="E120" s="659" t="s">
        <v>9</v>
      </c>
      <c r="F120" s="659"/>
      <c r="G120" s="659"/>
      <c r="H120" s="50"/>
    </row>
    <row r="121" spans="4:8" ht="18" customHeight="1">
      <c r="D121" s="51">
        <v>211000</v>
      </c>
      <c r="E121" s="660" t="s">
        <v>137</v>
      </c>
      <c r="F121" s="660"/>
      <c r="G121" s="660"/>
      <c r="H121" s="53"/>
    </row>
    <row r="122" spans="4:8" ht="18" customHeight="1">
      <c r="D122" s="54">
        <v>211111</v>
      </c>
      <c r="E122" s="28" t="s">
        <v>138</v>
      </c>
      <c r="F122" s="28">
        <f t="shared" ref="F122:G139" si="21">SUMIF($J:$J,$D122,L:L)</f>
        <v>0</v>
      </c>
      <c r="G122" s="28">
        <f t="shared" si="21"/>
        <v>0</v>
      </c>
      <c r="H122" s="55">
        <f t="shared" ref="H122:H146" si="22">F122-G122</f>
        <v>0</v>
      </c>
    </row>
    <row r="123" spans="4:8" ht="18" customHeight="1">
      <c r="D123" s="54">
        <v>211121</v>
      </c>
      <c r="E123" s="28" t="s">
        <v>139</v>
      </c>
      <c r="F123" s="28">
        <f t="shared" si="21"/>
        <v>919969835</v>
      </c>
      <c r="G123" s="28">
        <f t="shared" si="21"/>
        <v>0</v>
      </c>
      <c r="H123" s="55">
        <f t="shared" si="22"/>
        <v>919969835</v>
      </c>
    </row>
    <row r="124" spans="4:8" ht="18" customHeight="1">
      <c r="D124" s="54">
        <v>211131</v>
      </c>
      <c r="E124" s="28" t="s">
        <v>140</v>
      </c>
      <c r="F124" s="28">
        <f t="shared" si="21"/>
        <v>0</v>
      </c>
      <c r="G124" s="28">
        <f t="shared" si="21"/>
        <v>0</v>
      </c>
      <c r="H124" s="55">
        <f t="shared" si="22"/>
        <v>0</v>
      </c>
    </row>
    <row r="125" spans="4:8" ht="18" customHeight="1">
      <c r="D125" s="54">
        <v>211141</v>
      </c>
      <c r="E125" s="28" t="s">
        <v>141</v>
      </c>
      <c r="F125" s="28">
        <f t="shared" si="21"/>
        <v>0</v>
      </c>
      <c r="G125" s="28">
        <f t="shared" si="21"/>
        <v>0</v>
      </c>
      <c r="H125" s="55">
        <f t="shared" si="22"/>
        <v>0</v>
      </c>
    </row>
    <row r="126" spans="4:8" ht="18" customHeight="1">
      <c r="D126" s="54">
        <v>211151</v>
      </c>
      <c r="E126" s="28" t="s">
        <v>142</v>
      </c>
      <c r="F126" s="28">
        <f t="shared" si="21"/>
        <v>0</v>
      </c>
      <c r="G126" s="28">
        <f t="shared" si="21"/>
        <v>0</v>
      </c>
      <c r="H126" s="55">
        <f t="shared" si="22"/>
        <v>0</v>
      </c>
    </row>
    <row r="127" spans="4:8" ht="18" customHeight="1">
      <c r="D127" s="54">
        <v>211161</v>
      </c>
      <c r="E127" s="28" t="s">
        <v>143</v>
      </c>
      <c r="F127" s="28">
        <f t="shared" si="21"/>
        <v>0</v>
      </c>
      <c r="G127" s="28">
        <f t="shared" si="21"/>
        <v>0</v>
      </c>
      <c r="H127" s="55">
        <f t="shared" si="22"/>
        <v>0</v>
      </c>
    </row>
    <row r="128" spans="4:8" ht="18" customHeight="1">
      <c r="D128" s="54">
        <v>213100</v>
      </c>
      <c r="E128" s="28" t="s">
        <v>144</v>
      </c>
      <c r="F128" s="28">
        <f t="shared" si="21"/>
        <v>0</v>
      </c>
      <c r="G128" s="28">
        <f t="shared" si="21"/>
        <v>0</v>
      </c>
      <c r="H128" s="55">
        <f t="shared" si="22"/>
        <v>0</v>
      </c>
    </row>
    <row r="129" spans="4:8" ht="18" customHeight="1">
      <c r="D129" s="54">
        <v>213150</v>
      </c>
      <c r="E129" s="28" t="s">
        <v>145</v>
      </c>
      <c r="F129" s="28">
        <f t="shared" si="21"/>
        <v>87587098</v>
      </c>
      <c r="G129" s="28">
        <f t="shared" si="21"/>
        <v>0</v>
      </c>
      <c r="H129" s="55">
        <f t="shared" si="22"/>
        <v>87587098</v>
      </c>
    </row>
    <row r="130" spans="4:8" ht="18" customHeight="1">
      <c r="D130" s="54">
        <v>213900</v>
      </c>
      <c r="E130" s="28" t="s">
        <v>146</v>
      </c>
      <c r="F130" s="28">
        <f t="shared" si="21"/>
        <v>0</v>
      </c>
      <c r="G130" s="28">
        <f t="shared" si="21"/>
        <v>0</v>
      </c>
      <c r="H130" s="55">
        <f t="shared" si="22"/>
        <v>0</v>
      </c>
    </row>
    <row r="131" spans="4:8" ht="18" customHeight="1">
      <c r="D131" s="54">
        <v>213800</v>
      </c>
      <c r="E131" s="28" t="s">
        <v>147</v>
      </c>
      <c r="F131" s="28">
        <f t="shared" si="21"/>
        <v>0</v>
      </c>
      <c r="G131" s="28">
        <f t="shared" si="21"/>
        <v>0</v>
      </c>
      <c r="H131" s="55">
        <f t="shared" si="22"/>
        <v>0</v>
      </c>
    </row>
    <row r="132" spans="4:8" ht="18" customHeight="1">
      <c r="D132" s="54">
        <v>213101</v>
      </c>
      <c r="E132" s="28" t="s">
        <v>148</v>
      </c>
      <c r="F132" s="28">
        <f t="shared" si="21"/>
        <v>0</v>
      </c>
      <c r="G132" s="28">
        <f t="shared" si="21"/>
        <v>0</v>
      </c>
      <c r="H132" s="55">
        <f t="shared" si="22"/>
        <v>0</v>
      </c>
    </row>
    <row r="133" spans="4:8" ht="18" customHeight="1">
      <c r="D133" s="54">
        <v>213200</v>
      </c>
      <c r="E133" s="28" t="s">
        <v>149</v>
      </c>
      <c r="F133" s="28">
        <f t="shared" si="21"/>
        <v>0</v>
      </c>
      <c r="G133" s="28">
        <f t="shared" si="21"/>
        <v>0</v>
      </c>
      <c r="H133" s="55">
        <f t="shared" si="22"/>
        <v>0</v>
      </c>
    </row>
    <row r="134" spans="4:8" ht="18" customHeight="1">
      <c r="D134" s="54">
        <v>217900</v>
      </c>
      <c r="E134" s="28" t="s">
        <v>150</v>
      </c>
      <c r="F134" s="28">
        <f t="shared" si="21"/>
        <v>0</v>
      </c>
      <c r="G134" s="28">
        <f t="shared" si="21"/>
        <v>0</v>
      </c>
      <c r="H134" s="55">
        <f t="shared" si="22"/>
        <v>0</v>
      </c>
    </row>
    <row r="135" spans="4:8" ht="18" customHeight="1">
      <c r="D135" s="54">
        <v>217200</v>
      </c>
      <c r="E135" s="28" t="s">
        <v>151</v>
      </c>
      <c r="F135" s="28">
        <f t="shared" si="21"/>
        <v>3933393</v>
      </c>
      <c r="G135" s="28">
        <f t="shared" si="21"/>
        <v>0</v>
      </c>
      <c r="H135" s="55">
        <f t="shared" si="22"/>
        <v>3933393</v>
      </c>
    </row>
    <row r="136" spans="4:8" ht="18" customHeight="1">
      <c r="D136" s="54">
        <v>217300</v>
      </c>
      <c r="E136" s="28" t="s">
        <v>152</v>
      </c>
      <c r="F136" s="28">
        <f t="shared" si="21"/>
        <v>0</v>
      </c>
      <c r="G136" s="28">
        <f t="shared" si="21"/>
        <v>0</v>
      </c>
      <c r="H136" s="55">
        <f t="shared" si="22"/>
        <v>0</v>
      </c>
    </row>
    <row r="137" spans="4:8" ht="18" customHeight="1">
      <c r="D137" s="54">
        <v>217400</v>
      </c>
      <c r="E137" s="28" t="s">
        <v>153</v>
      </c>
      <c r="F137" s="28">
        <f t="shared" si="21"/>
        <v>0</v>
      </c>
      <c r="G137" s="28">
        <f t="shared" si="21"/>
        <v>0</v>
      </c>
      <c r="H137" s="55">
        <f t="shared" si="22"/>
        <v>0</v>
      </c>
    </row>
    <row r="138" spans="4:8" ht="18" customHeight="1">
      <c r="D138" s="54">
        <v>217500</v>
      </c>
      <c r="E138" s="28" t="s">
        <v>154</v>
      </c>
      <c r="F138" s="28">
        <f t="shared" si="21"/>
        <v>0</v>
      </c>
      <c r="G138" s="28">
        <f t="shared" si="21"/>
        <v>0</v>
      </c>
      <c r="H138" s="55">
        <f t="shared" si="22"/>
        <v>0</v>
      </c>
    </row>
    <row r="139" spans="4:8" ht="18" customHeight="1">
      <c r="D139" s="54">
        <v>223150</v>
      </c>
      <c r="E139" s="28" t="s">
        <v>155</v>
      </c>
      <c r="F139" s="28">
        <f t="shared" si="21"/>
        <v>0</v>
      </c>
      <c r="G139" s="28">
        <f t="shared" si="21"/>
        <v>0</v>
      </c>
      <c r="H139" s="55">
        <f t="shared" si="22"/>
        <v>0</v>
      </c>
    </row>
    <row r="140" spans="4:8" ht="18" customHeight="1">
      <c r="D140" s="51"/>
      <c r="E140" s="660" t="s">
        <v>156</v>
      </c>
      <c r="F140" s="660"/>
      <c r="G140" s="660"/>
      <c r="H140" s="53"/>
    </row>
    <row r="141" spans="4:8" ht="18" customHeight="1">
      <c r="D141" s="54">
        <v>212300</v>
      </c>
      <c r="E141" s="28" t="s">
        <v>157</v>
      </c>
      <c r="F141" s="28">
        <f t="shared" ref="F141:G146" si="23">SUMIF($J:$J,$D141,L:L)</f>
        <v>0</v>
      </c>
      <c r="G141" s="28">
        <f t="shared" si="23"/>
        <v>0</v>
      </c>
      <c r="H141" s="55">
        <f t="shared" si="22"/>
        <v>0</v>
      </c>
    </row>
    <row r="142" spans="4:8" ht="18" customHeight="1">
      <c r="D142" s="687">
        <v>212500</v>
      </c>
      <c r="E142" s="735" t="s">
        <v>1643</v>
      </c>
      <c r="F142" s="735">
        <f t="shared" si="23"/>
        <v>531735000</v>
      </c>
      <c r="G142" s="735">
        <f t="shared" si="23"/>
        <v>0</v>
      </c>
      <c r="H142" s="688">
        <f t="shared" si="22"/>
        <v>531735000</v>
      </c>
    </row>
    <row r="143" spans="4:8" ht="18" customHeight="1">
      <c r="D143" s="54">
        <v>230320</v>
      </c>
      <c r="E143" s="28" t="s">
        <v>158</v>
      </c>
      <c r="F143" s="28">
        <f t="shared" si="23"/>
        <v>0</v>
      </c>
      <c r="G143" s="28">
        <f t="shared" si="23"/>
        <v>0</v>
      </c>
      <c r="H143" s="55">
        <f t="shared" si="22"/>
        <v>0</v>
      </c>
    </row>
    <row r="144" spans="4:8" ht="18" customHeight="1">
      <c r="D144" s="54">
        <v>230321</v>
      </c>
      <c r="E144" s="28" t="s">
        <v>159</v>
      </c>
      <c r="F144" s="28">
        <f t="shared" si="23"/>
        <v>0</v>
      </c>
      <c r="G144" s="28">
        <f t="shared" si="23"/>
        <v>0</v>
      </c>
      <c r="H144" s="55">
        <f t="shared" si="22"/>
        <v>0</v>
      </c>
    </row>
    <row r="145" spans="4:8" ht="18" customHeight="1">
      <c r="D145" s="54">
        <v>230322</v>
      </c>
      <c r="E145" s="28" t="s">
        <v>160</v>
      </c>
      <c r="F145" s="28">
        <f t="shared" si="23"/>
        <v>0</v>
      </c>
      <c r="G145" s="28">
        <f t="shared" si="23"/>
        <v>0</v>
      </c>
      <c r="H145" s="55">
        <f t="shared" si="22"/>
        <v>0</v>
      </c>
    </row>
    <row r="146" spans="4:8" ht="18" customHeight="1">
      <c r="D146" s="54">
        <v>230325</v>
      </c>
      <c r="E146" s="28" t="s">
        <v>161</v>
      </c>
      <c r="F146" s="28">
        <f t="shared" si="23"/>
        <v>0</v>
      </c>
      <c r="G146" s="28">
        <f t="shared" si="23"/>
        <v>0</v>
      </c>
      <c r="H146" s="55">
        <f t="shared" si="22"/>
        <v>0</v>
      </c>
    </row>
    <row r="147" spans="4:8" ht="18" customHeight="1">
      <c r="D147" s="51"/>
      <c r="E147" s="660" t="s">
        <v>162</v>
      </c>
      <c r="F147" s="660"/>
      <c r="G147" s="660"/>
      <c r="H147" s="53"/>
    </row>
    <row r="148" spans="4:8" ht="18" customHeight="1">
      <c r="D148" s="54">
        <v>214100</v>
      </c>
      <c r="E148" s="28" t="s">
        <v>163</v>
      </c>
      <c r="F148" s="28">
        <f t="shared" ref="F148:G167" si="24">SUMIF($J:$J,$D148,L:L)</f>
        <v>0</v>
      </c>
      <c r="G148" s="28">
        <f t="shared" si="24"/>
        <v>0</v>
      </c>
      <c r="H148" s="55">
        <f t="shared" ref="H148:H167" si="25">F148-G148</f>
        <v>0</v>
      </c>
    </row>
    <row r="149" spans="4:8" ht="18" customHeight="1">
      <c r="D149" s="54">
        <v>214200</v>
      </c>
      <c r="E149" s="28" t="s">
        <v>164</v>
      </c>
      <c r="F149" s="28">
        <f t="shared" si="24"/>
        <v>0</v>
      </c>
      <c r="G149" s="28">
        <f t="shared" si="24"/>
        <v>0</v>
      </c>
      <c r="H149" s="55">
        <f t="shared" si="25"/>
        <v>0</v>
      </c>
    </row>
    <row r="150" spans="4:8" ht="18" customHeight="1">
      <c r="D150" s="54">
        <v>214350</v>
      </c>
      <c r="E150" s="28" t="s">
        <v>165</v>
      </c>
      <c r="F150" s="28">
        <f t="shared" si="24"/>
        <v>0</v>
      </c>
      <c r="G150" s="28">
        <f t="shared" si="24"/>
        <v>0</v>
      </c>
      <c r="H150" s="55">
        <f t="shared" si="25"/>
        <v>0</v>
      </c>
    </row>
    <row r="151" spans="4:8" ht="18" customHeight="1">
      <c r="D151" s="54">
        <v>214360</v>
      </c>
      <c r="E151" s="28" t="s">
        <v>166</v>
      </c>
      <c r="F151" s="28">
        <f t="shared" si="24"/>
        <v>0</v>
      </c>
      <c r="G151" s="28">
        <f t="shared" si="24"/>
        <v>0</v>
      </c>
      <c r="H151" s="55">
        <f t="shared" si="25"/>
        <v>0</v>
      </c>
    </row>
    <row r="152" spans="4:8" ht="18" customHeight="1">
      <c r="D152" s="54">
        <v>214150</v>
      </c>
      <c r="E152" s="28" t="s">
        <v>167</v>
      </c>
      <c r="F152" s="28">
        <f t="shared" si="24"/>
        <v>0</v>
      </c>
      <c r="G152" s="28">
        <f t="shared" si="24"/>
        <v>0</v>
      </c>
      <c r="H152" s="55">
        <f t="shared" si="25"/>
        <v>0</v>
      </c>
    </row>
    <row r="153" spans="4:8" ht="18" customHeight="1">
      <c r="D153" s="54">
        <v>214250</v>
      </c>
      <c r="E153" s="28" t="s">
        <v>168</v>
      </c>
      <c r="F153" s="28">
        <f t="shared" si="24"/>
        <v>0</v>
      </c>
      <c r="G153" s="28">
        <f t="shared" si="24"/>
        <v>0</v>
      </c>
      <c r="H153" s="55">
        <f t="shared" si="25"/>
        <v>0</v>
      </c>
    </row>
    <row r="154" spans="4:8" ht="18" customHeight="1">
      <c r="D154" s="54">
        <v>214400</v>
      </c>
      <c r="E154" s="28" t="s">
        <v>169</v>
      </c>
      <c r="F154" s="28">
        <f t="shared" si="24"/>
        <v>0</v>
      </c>
      <c r="G154" s="28">
        <f t="shared" si="24"/>
        <v>0</v>
      </c>
      <c r="H154" s="55">
        <f t="shared" si="25"/>
        <v>0</v>
      </c>
    </row>
    <row r="155" spans="4:8" ht="18" customHeight="1">
      <c r="D155" s="54">
        <v>214600</v>
      </c>
      <c r="E155" s="28" t="s">
        <v>170</v>
      </c>
      <c r="F155" s="28">
        <f t="shared" si="24"/>
        <v>0</v>
      </c>
      <c r="G155" s="28">
        <f t="shared" si="24"/>
        <v>0</v>
      </c>
      <c r="H155" s="55">
        <f t="shared" si="25"/>
        <v>0</v>
      </c>
    </row>
    <row r="156" spans="4:8" ht="18" customHeight="1">
      <c r="D156" s="54">
        <v>214700</v>
      </c>
      <c r="E156" s="28" t="s">
        <v>171</v>
      </c>
      <c r="F156" s="28">
        <f t="shared" si="24"/>
        <v>0</v>
      </c>
      <c r="G156" s="28">
        <f t="shared" si="24"/>
        <v>0</v>
      </c>
      <c r="H156" s="55">
        <f t="shared" si="25"/>
        <v>0</v>
      </c>
    </row>
    <row r="157" spans="4:8" ht="18" customHeight="1">
      <c r="D157" s="54">
        <v>215100</v>
      </c>
      <c r="E157" s="28" t="s">
        <v>172</v>
      </c>
      <c r="F157" s="28">
        <f t="shared" si="24"/>
        <v>0</v>
      </c>
      <c r="G157" s="28">
        <f t="shared" si="24"/>
        <v>0</v>
      </c>
      <c r="H157" s="55">
        <f t="shared" si="25"/>
        <v>0</v>
      </c>
    </row>
    <row r="158" spans="4:8" ht="18" customHeight="1">
      <c r="D158" s="54">
        <v>215200</v>
      </c>
      <c r="E158" s="28" t="s">
        <v>173</v>
      </c>
      <c r="F158" s="28">
        <f t="shared" si="24"/>
        <v>0</v>
      </c>
      <c r="G158" s="28">
        <f t="shared" si="24"/>
        <v>0</v>
      </c>
      <c r="H158" s="55">
        <f t="shared" si="25"/>
        <v>0</v>
      </c>
    </row>
    <row r="159" spans="4:8" ht="18" customHeight="1">
      <c r="D159" s="54">
        <v>215300</v>
      </c>
      <c r="E159" s="28" t="s">
        <v>174</v>
      </c>
      <c r="F159" s="28">
        <f t="shared" si="24"/>
        <v>0</v>
      </c>
      <c r="G159" s="28">
        <f t="shared" si="24"/>
        <v>0</v>
      </c>
      <c r="H159" s="55">
        <f t="shared" si="25"/>
        <v>0</v>
      </c>
    </row>
    <row r="160" spans="4:8" ht="18" customHeight="1">
      <c r="D160" s="54">
        <v>215400</v>
      </c>
      <c r="E160" s="28" t="s">
        <v>175</v>
      </c>
      <c r="F160" s="28">
        <f t="shared" si="24"/>
        <v>0</v>
      </c>
      <c r="G160" s="28">
        <f t="shared" si="24"/>
        <v>0</v>
      </c>
      <c r="H160" s="55">
        <f t="shared" si="25"/>
        <v>0</v>
      </c>
    </row>
    <row r="161" spans="4:8" ht="18" customHeight="1">
      <c r="D161" s="54">
        <v>215500</v>
      </c>
      <c r="E161" s="28" t="s">
        <v>176</v>
      </c>
      <c r="F161" s="28">
        <f t="shared" si="24"/>
        <v>0</v>
      </c>
      <c r="G161" s="28">
        <f t="shared" si="24"/>
        <v>0</v>
      </c>
      <c r="H161" s="55">
        <f t="shared" si="25"/>
        <v>0</v>
      </c>
    </row>
    <row r="162" spans="4:8" ht="18" customHeight="1">
      <c r="D162" s="54">
        <v>215900</v>
      </c>
      <c r="E162" s="28" t="s">
        <v>177</v>
      </c>
      <c r="F162" s="28">
        <f t="shared" si="24"/>
        <v>0</v>
      </c>
      <c r="G162" s="28">
        <f t="shared" si="24"/>
        <v>0</v>
      </c>
      <c r="H162" s="55">
        <f t="shared" si="25"/>
        <v>0</v>
      </c>
    </row>
    <row r="163" spans="4:8" ht="18" customHeight="1">
      <c r="D163" s="54">
        <v>215700</v>
      </c>
      <c r="E163" s="28" t="s">
        <v>178</v>
      </c>
      <c r="F163" s="28">
        <f t="shared" si="24"/>
        <v>0</v>
      </c>
      <c r="G163" s="28">
        <f t="shared" si="24"/>
        <v>0</v>
      </c>
      <c r="H163" s="55">
        <f t="shared" si="25"/>
        <v>0</v>
      </c>
    </row>
    <row r="164" spans="4:8" ht="18" customHeight="1">
      <c r="D164" s="54">
        <v>215800</v>
      </c>
      <c r="E164" s="28" t="s">
        <v>179</v>
      </c>
      <c r="F164" s="28">
        <f t="shared" si="24"/>
        <v>0</v>
      </c>
      <c r="G164" s="28">
        <f t="shared" si="24"/>
        <v>0</v>
      </c>
      <c r="H164" s="55">
        <f t="shared" si="25"/>
        <v>0</v>
      </c>
    </row>
    <row r="165" spans="4:8" ht="18" customHeight="1">
      <c r="D165" s="54">
        <v>219000</v>
      </c>
      <c r="E165" s="28" t="s">
        <v>180</v>
      </c>
      <c r="F165" s="28">
        <f t="shared" si="24"/>
        <v>0</v>
      </c>
      <c r="G165" s="28">
        <f t="shared" si="24"/>
        <v>0</v>
      </c>
      <c r="H165" s="55">
        <f t="shared" si="25"/>
        <v>0</v>
      </c>
    </row>
    <row r="166" spans="4:8" ht="18" customHeight="1">
      <c r="D166" s="54">
        <v>223100</v>
      </c>
      <c r="E166" s="28" t="s">
        <v>181</v>
      </c>
      <c r="F166" s="28">
        <f t="shared" si="24"/>
        <v>0</v>
      </c>
      <c r="G166" s="28">
        <f t="shared" si="24"/>
        <v>0</v>
      </c>
      <c r="H166" s="55">
        <f t="shared" si="25"/>
        <v>0</v>
      </c>
    </row>
    <row r="167" spans="4:8" ht="18" customHeight="1">
      <c r="D167" s="54">
        <v>223130</v>
      </c>
      <c r="E167" s="28" t="s">
        <v>182</v>
      </c>
      <c r="F167" s="28">
        <f t="shared" si="24"/>
        <v>0</v>
      </c>
      <c r="G167" s="28">
        <f t="shared" si="24"/>
        <v>0</v>
      </c>
      <c r="H167" s="55">
        <f t="shared" si="25"/>
        <v>0</v>
      </c>
    </row>
    <row r="168" spans="4:8" ht="18" customHeight="1">
      <c r="D168" s="51"/>
      <c r="E168" s="660" t="s">
        <v>183</v>
      </c>
      <c r="F168" s="660"/>
      <c r="G168" s="660"/>
      <c r="H168" s="53"/>
    </row>
    <row r="169" spans="4:8" ht="18" customHeight="1">
      <c r="D169" s="54">
        <v>223110</v>
      </c>
      <c r="E169" s="28" t="s">
        <v>183</v>
      </c>
      <c r="F169" s="28">
        <f>SUMIF($J:$J,$D169,L:L)</f>
        <v>0</v>
      </c>
      <c r="G169" s="28">
        <f>SUMIF($J:$J,$D169,M:M)</f>
        <v>0</v>
      </c>
      <c r="H169" s="55">
        <f>F169-G169</f>
        <v>0</v>
      </c>
    </row>
    <row r="170" spans="4:8" ht="18" customHeight="1">
      <c r="D170" s="51"/>
      <c r="E170" s="660" t="s">
        <v>219</v>
      </c>
      <c r="F170" s="660"/>
      <c r="G170" s="660"/>
      <c r="H170" s="53"/>
    </row>
    <row r="171" spans="4:8" ht="18" customHeight="1">
      <c r="D171" s="57" t="s">
        <v>225</v>
      </c>
      <c r="E171" s="28" t="s">
        <v>219</v>
      </c>
      <c r="F171" s="28">
        <f>SUMIF($J:$J,$D171,L:L)</f>
        <v>0</v>
      </c>
      <c r="G171" s="28">
        <f>SUMIF($J:$J,$D171,M:M)</f>
        <v>0</v>
      </c>
      <c r="H171" s="55">
        <f>F171-G171</f>
        <v>0</v>
      </c>
    </row>
    <row r="172" spans="4:8" ht="18" customHeight="1">
      <c r="D172" s="48"/>
      <c r="E172" s="659" t="s">
        <v>184</v>
      </c>
      <c r="F172" s="659"/>
      <c r="G172" s="659"/>
      <c r="H172" s="50"/>
    </row>
    <row r="173" spans="4:8" ht="18" customHeight="1">
      <c r="D173" s="51"/>
      <c r="E173" s="660" t="s">
        <v>185</v>
      </c>
      <c r="F173" s="660"/>
      <c r="G173" s="660"/>
      <c r="H173" s="53"/>
    </row>
    <row r="174" spans="4:8" ht="18" customHeight="1">
      <c r="D174" s="54">
        <v>230700</v>
      </c>
      <c r="E174" s="28" t="s">
        <v>186</v>
      </c>
      <c r="F174" s="28">
        <f t="shared" ref="F174:G175" si="26">SUMIF($J:$J,$D174,L:L)</f>
        <v>0</v>
      </c>
      <c r="G174" s="28">
        <f t="shared" si="26"/>
        <v>0</v>
      </c>
      <c r="H174" s="55">
        <f t="shared" ref="H174:H175" si="27">F174-G174</f>
        <v>0</v>
      </c>
    </row>
    <row r="175" spans="4:8" ht="18" customHeight="1">
      <c r="D175" s="54">
        <v>122110</v>
      </c>
      <c r="E175" s="28" t="s">
        <v>187</v>
      </c>
      <c r="F175" s="28">
        <f t="shared" si="26"/>
        <v>0</v>
      </c>
      <c r="G175" s="28">
        <f t="shared" si="26"/>
        <v>0</v>
      </c>
      <c r="H175" s="55">
        <f t="shared" si="27"/>
        <v>0</v>
      </c>
    </row>
    <row r="176" spans="4:8" ht="18" customHeight="1">
      <c r="D176" s="51"/>
      <c r="E176" s="660" t="s">
        <v>188</v>
      </c>
      <c r="F176" s="660"/>
      <c r="G176" s="660"/>
      <c r="H176" s="53"/>
    </row>
    <row r="177" spans="4:8" ht="18" customHeight="1">
      <c r="D177" s="54">
        <v>230900</v>
      </c>
      <c r="E177" s="28" t="s">
        <v>189</v>
      </c>
      <c r="F177" s="28">
        <f>SUMIF($J:$J,$D177,L:L)</f>
        <v>0</v>
      </c>
      <c r="G177" s="28">
        <f>SUMIF($J:$J,$D177,M:M)</f>
        <v>0</v>
      </c>
      <c r="H177" s="55">
        <f>F177-G177</f>
        <v>0</v>
      </c>
    </row>
    <row r="178" spans="4:8" ht="18" customHeight="1">
      <c r="D178" s="51"/>
      <c r="E178" s="660" t="s">
        <v>190</v>
      </c>
      <c r="F178" s="660"/>
      <c r="G178" s="660"/>
      <c r="H178" s="53"/>
    </row>
    <row r="179" spans="4:8" ht="18" customHeight="1">
      <c r="D179" s="54">
        <v>231600</v>
      </c>
      <c r="E179" s="28" t="s">
        <v>190</v>
      </c>
      <c r="F179" s="28">
        <f>SUMIF($J:$J,$D179,L:L)</f>
        <v>0</v>
      </c>
      <c r="G179" s="28">
        <f>SUMIF($J:$J,$D179,M:M)</f>
        <v>0</v>
      </c>
      <c r="H179" s="55">
        <f>F179-G179</f>
        <v>0</v>
      </c>
    </row>
    <row r="180" spans="4:8" ht="18" customHeight="1">
      <c r="D180" s="45"/>
      <c r="E180" s="658" t="s">
        <v>14</v>
      </c>
      <c r="F180" s="658"/>
      <c r="G180" s="658"/>
      <c r="H180" s="47"/>
    </row>
    <row r="181" spans="4:8" ht="18" customHeight="1">
      <c r="D181" s="48"/>
      <c r="E181" s="659" t="s">
        <v>11</v>
      </c>
      <c r="F181" s="659"/>
      <c r="G181" s="659"/>
      <c r="H181" s="50"/>
    </row>
    <row r="182" spans="4:8" ht="18" customHeight="1">
      <c r="D182" s="51"/>
      <c r="E182" s="660" t="s">
        <v>10</v>
      </c>
      <c r="F182" s="660"/>
      <c r="G182" s="660"/>
      <c r="H182" s="53"/>
    </row>
    <row r="183" spans="4:8" ht="18" customHeight="1">
      <c r="D183" s="54">
        <v>310100</v>
      </c>
      <c r="E183" s="28" t="s">
        <v>191</v>
      </c>
      <c r="F183" s="28">
        <f>SUMIF($J:$J,$D183,L:L)</f>
        <v>0</v>
      </c>
      <c r="G183" s="28">
        <f>SUMIF($J:$J,$D183,M:M)</f>
        <v>0</v>
      </c>
      <c r="H183" s="55">
        <f>F183-G183</f>
        <v>0</v>
      </c>
    </row>
    <row r="184" spans="4:8" ht="18" customHeight="1">
      <c r="D184" s="51"/>
      <c r="E184" s="660" t="s">
        <v>12</v>
      </c>
      <c r="F184" s="660"/>
      <c r="G184" s="660"/>
      <c r="H184" s="53"/>
    </row>
    <row r="185" spans="4:8" ht="18" customHeight="1">
      <c r="D185" s="54">
        <v>320100</v>
      </c>
      <c r="E185" s="28" t="s">
        <v>192</v>
      </c>
      <c r="F185" s="28">
        <f t="shared" ref="F185:G187" si="28">SUMIF($J:$J,$D185,L:L)</f>
        <v>0</v>
      </c>
      <c r="G185" s="28">
        <f t="shared" si="28"/>
        <v>0</v>
      </c>
      <c r="H185" s="55">
        <f t="shared" ref="H185:H187" si="29">F185-G185</f>
        <v>0</v>
      </c>
    </row>
    <row r="186" spans="4:8" ht="18" customHeight="1">
      <c r="D186" s="54">
        <v>320500</v>
      </c>
      <c r="E186" s="28" t="s">
        <v>193</v>
      </c>
      <c r="F186" s="28">
        <f t="shared" si="28"/>
        <v>0</v>
      </c>
      <c r="G186" s="28">
        <f t="shared" si="28"/>
        <v>0</v>
      </c>
      <c r="H186" s="55">
        <f t="shared" si="29"/>
        <v>0</v>
      </c>
    </row>
    <row r="187" spans="4:8" ht="18" customHeight="1">
      <c r="D187" s="54">
        <v>320300</v>
      </c>
      <c r="E187" s="28" t="s">
        <v>194</v>
      </c>
      <c r="F187" s="28">
        <f t="shared" si="28"/>
        <v>0</v>
      </c>
      <c r="G187" s="28">
        <f t="shared" si="28"/>
        <v>0</v>
      </c>
      <c r="H187" s="55">
        <f t="shared" si="29"/>
        <v>0</v>
      </c>
    </row>
    <row r="188" spans="4:8" ht="18" customHeight="1">
      <c r="D188" s="51"/>
      <c r="E188" s="660" t="s">
        <v>195</v>
      </c>
      <c r="F188" s="660"/>
      <c r="G188" s="660"/>
      <c r="H188" s="53"/>
    </row>
    <row r="189" spans="4:8" ht="18" customHeight="1">
      <c r="D189" s="54">
        <v>350300</v>
      </c>
      <c r="E189" s="28" t="s">
        <v>196</v>
      </c>
      <c r="F189" s="28">
        <f t="shared" ref="F189:G196" si="30">SUMIF($J:$J,$D189,L:L)</f>
        <v>0</v>
      </c>
      <c r="G189" s="28">
        <f t="shared" si="30"/>
        <v>0</v>
      </c>
      <c r="H189" s="55">
        <f t="shared" ref="H189:H196" si="31">F189-G189</f>
        <v>0</v>
      </c>
    </row>
    <row r="190" spans="4:8" ht="18" customHeight="1">
      <c r="D190" s="54">
        <v>350350</v>
      </c>
      <c r="E190" s="28" t="s">
        <v>197</v>
      </c>
      <c r="F190" s="28">
        <f t="shared" si="30"/>
        <v>0</v>
      </c>
      <c r="G190" s="28">
        <f t="shared" si="30"/>
        <v>0</v>
      </c>
      <c r="H190" s="55">
        <f t="shared" si="31"/>
        <v>0</v>
      </c>
    </row>
    <row r="191" spans="4:8" ht="18" customHeight="1">
      <c r="D191" s="54" t="s">
        <v>227</v>
      </c>
      <c r="E191" s="28" t="s">
        <v>226</v>
      </c>
      <c r="F191" s="28">
        <f t="shared" si="30"/>
        <v>0</v>
      </c>
      <c r="G191" s="28">
        <f t="shared" si="30"/>
        <v>0</v>
      </c>
      <c r="H191" s="55">
        <f t="shared" si="31"/>
        <v>0</v>
      </c>
    </row>
    <row r="192" spans="4:8" ht="18" customHeight="1">
      <c r="D192" s="54">
        <v>350400</v>
      </c>
      <c r="E192" s="28" t="s">
        <v>198</v>
      </c>
      <c r="F192" s="28">
        <f t="shared" si="30"/>
        <v>0</v>
      </c>
      <c r="G192" s="28">
        <f t="shared" si="30"/>
        <v>0</v>
      </c>
      <c r="H192" s="55">
        <f t="shared" si="31"/>
        <v>0</v>
      </c>
    </row>
    <row r="193" spans="4:8" ht="18" customHeight="1">
      <c r="D193" s="54">
        <v>350210</v>
      </c>
      <c r="E193" s="28" t="s">
        <v>199</v>
      </c>
      <c r="F193" s="28">
        <f t="shared" si="30"/>
        <v>0</v>
      </c>
      <c r="G193" s="28">
        <f t="shared" si="30"/>
        <v>0</v>
      </c>
      <c r="H193" s="55">
        <f t="shared" si="31"/>
        <v>0</v>
      </c>
    </row>
    <row r="194" spans="4:8" ht="18" customHeight="1">
      <c r="D194" s="54" t="s">
        <v>200</v>
      </c>
      <c r="E194" s="28" t="s">
        <v>201</v>
      </c>
      <c r="F194" s="28">
        <f t="shared" si="30"/>
        <v>0</v>
      </c>
      <c r="G194" s="28">
        <f t="shared" si="30"/>
        <v>0</v>
      </c>
      <c r="H194" s="55">
        <f t="shared" si="31"/>
        <v>0</v>
      </c>
    </row>
    <row r="195" spans="4:8" ht="18" customHeight="1">
      <c r="D195" s="54" t="s">
        <v>202</v>
      </c>
      <c r="E195" s="28" t="s">
        <v>203</v>
      </c>
      <c r="F195" s="28">
        <f t="shared" si="30"/>
        <v>0</v>
      </c>
      <c r="G195" s="28">
        <f t="shared" si="30"/>
        <v>0</v>
      </c>
      <c r="H195" s="55">
        <f t="shared" si="31"/>
        <v>0</v>
      </c>
    </row>
    <row r="196" spans="4:8" ht="18" customHeight="1">
      <c r="D196" s="54" t="s">
        <v>204</v>
      </c>
      <c r="E196" s="28" t="s">
        <v>205</v>
      </c>
      <c r="F196" s="28">
        <f t="shared" si="30"/>
        <v>0</v>
      </c>
      <c r="G196" s="28">
        <f t="shared" si="30"/>
        <v>0</v>
      </c>
      <c r="H196" s="55">
        <f t="shared" si="31"/>
        <v>0</v>
      </c>
    </row>
    <row r="197" spans="4:8" ht="18" customHeight="1">
      <c r="D197" s="51"/>
      <c r="E197" s="660" t="s">
        <v>13</v>
      </c>
      <c r="F197" s="660"/>
      <c r="G197" s="660"/>
      <c r="H197" s="53"/>
    </row>
    <row r="198" spans="4:8" ht="18" customHeight="1">
      <c r="D198" s="54">
        <v>350951</v>
      </c>
      <c r="E198" s="28" t="s">
        <v>206</v>
      </c>
      <c r="F198" s="28">
        <f t="shared" ref="F198:G200" si="32">SUMIF($J:$J,$D198,L:L)</f>
        <v>0</v>
      </c>
      <c r="G198" s="28">
        <f t="shared" si="32"/>
        <v>0</v>
      </c>
      <c r="H198" s="55">
        <f t="shared" ref="H198:H200" si="33">F198-G198</f>
        <v>0</v>
      </c>
    </row>
    <row r="199" spans="4:8" ht="18" customHeight="1">
      <c r="D199" s="54" t="s">
        <v>1364</v>
      </c>
      <c r="E199" s="28" t="s">
        <v>208</v>
      </c>
      <c r="F199" s="28">
        <f t="shared" si="32"/>
        <v>0</v>
      </c>
      <c r="G199" s="28">
        <f t="shared" si="32"/>
        <v>0</v>
      </c>
      <c r="H199" s="55">
        <f t="shared" si="33"/>
        <v>0</v>
      </c>
    </row>
    <row r="200" spans="4:8" ht="18" customHeight="1">
      <c r="D200" s="54" t="s">
        <v>1365</v>
      </c>
      <c r="E200" s="28" t="s">
        <v>210</v>
      </c>
      <c r="F200" s="28">
        <f t="shared" si="32"/>
        <v>0</v>
      </c>
      <c r="G200" s="28">
        <f t="shared" si="32"/>
        <v>0</v>
      </c>
      <c r="H200" s="55">
        <f t="shared" si="33"/>
        <v>0</v>
      </c>
    </row>
    <row r="201" spans="4:8" ht="18" customHeight="1">
      <c r="D201" s="48"/>
      <c r="E201" s="659" t="s">
        <v>211</v>
      </c>
      <c r="F201" s="659"/>
      <c r="G201" s="659"/>
      <c r="H201" s="50"/>
    </row>
    <row r="202" spans="4:8" ht="18" customHeight="1">
      <c r="D202" s="54" t="s">
        <v>496</v>
      </c>
      <c r="E202" s="206" t="s">
        <v>211</v>
      </c>
      <c r="F202" s="206">
        <f>SUMIF($J:$J,$D202,L:L)</f>
        <v>0</v>
      </c>
      <c r="G202" s="206">
        <f>SUMIF($J:$J,$D202,M:M)</f>
        <v>0</v>
      </c>
      <c r="H202" s="55">
        <f>F202-G202</f>
        <v>0</v>
      </c>
    </row>
    <row r="203" spans="4:8" ht="18" customHeight="1" thickBot="1">
      <c r="D203" s="59"/>
      <c r="E203" s="60" t="s">
        <v>213</v>
      </c>
      <c r="F203" s="60"/>
      <c r="G203" s="60"/>
      <c r="H203" s="61"/>
    </row>
    <row r="206" spans="4:8" ht="18" customHeight="1" thickBot="1">
      <c r="D206" s="27" t="s">
        <v>410</v>
      </c>
      <c r="H206" s="28">
        <f>SUM(H208:H309)</f>
        <v>0</v>
      </c>
    </row>
    <row r="207" spans="4:8" ht="18" customHeight="1">
      <c r="D207" s="42" t="s">
        <v>16</v>
      </c>
      <c r="E207" s="43" t="s">
        <v>19</v>
      </c>
      <c r="F207" s="43" t="s">
        <v>406</v>
      </c>
      <c r="G207" s="43" t="s">
        <v>407</v>
      </c>
      <c r="H207" s="44" t="s">
        <v>408</v>
      </c>
    </row>
    <row r="208" spans="4:8" ht="18" customHeight="1">
      <c r="D208" s="48"/>
      <c r="E208" s="753" t="s">
        <v>229</v>
      </c>
      <c r="F208" s="754"/>
      <c r="G208" s="754"/>
      <c r="H208" s="63"/>
    </row>
    <row r="209" spans="4:8" ht="18" customHeight="1">
      <c r="D209" s="54">
        <v>410100</v>
      </c>
      <c r="E209" s="28" t="s">
        <v>617</v>
      </c>
      <c r="F209" s="28">
        <f t="shared" ref="F209:G224" si="34">SUMIF($J:$J,$D209,L:L)</f>
        <v>0</v>
      </c>
      <c r="G209" s="28">
        <f t="shared" si="34"/>
        <v>0</v>
      </c>
      <c r="H209" s="55">
        <f>F209-G209</f>
        <v>0</v>
      </c>
    </row>
    <row r="210" spans="4:8" ht="18" customHeight="1">
      <c r="D210" s="54">
        <v>410120</v>
      </c>
      <c r="E210" s="28" t="s">
        <v>618</v>
      </c>
      <c r="F210" s="28">
        <f t="shared" si="34"/>
        <v>0</v>
      </c>
      <c r="G210" s="28">
        <f t="shared" si="34"/>
        <v>0</v>
      </c>
      <c r="H210" s="55">
        <f t="shared" ref="H210:H224" si="35">F210-G210</f>
        <v>0</v>
      </c>
    </row>
    <row r="211" spans="4:8" ht="18" customHeight="1">
      <c r="D211" s="54">
        <v>410130</v>
      </c>
      <c r="E211" s="28" t="s">
        <v>619</v>
      </c>
      <c r="F211" s="28">
        <f t="shared" si="34"/>
        <v>196789041</v>
      </c>
      <c r="G211" s="28">
        <f t="shared" si="34"/>
        <v>0</v>
      </c>
      <c r="H211" s="55">
        <f t="shared" si="35"/>
        <v>196789041</v>
      </c>
    </row>
    <row r="212" spans="4:8" ht="18" customHeight="1">
      <c r="D212" s="54">
        <v>410140</v>
      </c>
      <c r="E212" s="28" t="s">
        <v>620</v>
      </c>
      <c r="F212" s="28">
        <f t="shared" si="34"/>
        <v>-24022782</v>
      </c>
      <c r="G212" s="28">
        <f t="shared" si="34"/>
        <v>0</v>
      </c>
      <c r="H212" s="55">
        <f t="shared" si="35"/>
        <v>-24022782</v>
      </c>
    </row>
    <row r="213" spans="4:8" ht="18" customHeight="1">
      <c r="D213" s="54">
        <v>410200</v>
      </c>
      <c r="E213" s="28" t="s">
        <v>621</v>
      </c>
      <c r="F213" s="28">
        <f t="shared" si="34"/>
        <v>0</v>
      </c>
      <c r="G213" s="28">
        <f t="shared" si="34"/>
        <v>0</v>
      </c>
      <c r="H213" s="55">
        <f t="shared" si="35"/>
        <v>0</v>
      </c>
    </row>
    <row r="214" spans="4:8" ht="18" customHeight="1">
      <c r="D214" s="54">
        <v>410220</v>
      </c>
      <c r="E214" s="28" t="s">
        <v>622</v>
      </c>
      <c r="F214" s="28">
        <f t="shared" si="34"/>
        <v>0</v>
      </c>
      <c r="G214" s="28">
        <f t="shared" si="34"/>
        <v>0</v>
      </c>
      <c r="H214" s="55">
        <f t="shared" si="35"/>
        <v>0</v>
      </c>
    </row>
    <row r="215" spans="4:8" ht="18" customHeight="1">
      <c r="D215" s="54">
        <v>410230</v>
      </c>
      <c r="E215" s="28" t="s">
        <v>623</v>
      </c>
      <c r="F215" s="28">
        <f t="shared" si="34"/>
        <v>0</v>
      </c>
      <c r="G215" s="28">
        <f t="shared" si="34"/>
        <v>0</v>
      </c>
      <c r="H215" s="55">
        <f t="shared" si="35"/>
        <v>0</v>
      </c>
    </row>
    <row r="216" spans="4:8" ht="18" customHeight="1">
      <c r="D216" s="54">
        <v>410240</v>
      </c>
      <c r="E216" s="28" t="s">
        <v>624</v>
      </c>
      <c r="F216" s="28">
        <f t="shared" si="34"/>
        <v>1960214703</v>
      </c>
      <c r="G216" s="28">
        <f t="shared" si="34"/>
        <v>0</v>
      </c>
      <c r="H216" s="55">
        <f t="shared" si="35"/>
        <v>1960214703</v>
      </c>
    </row>
    <row r="217" spans="4:8" ht="18" customHeight="1">
      <c r="D217" s="54">
        <v>410241</v>
      </c>
      <c r="E217" s="28" t="s">
        <v>625</v>
      </c>
      <c r="F217" s="28">
        <f t="shared" si="34"/>
        <v>-394852595</v>
      </c>
      <c r="G217" s="28">
        <f t="shared" si="34"/>
        <v>0</v>
      </c>
      <c r="H217" s="55">
        <f t="shared" si="35"/>
        <v>-394852595</v>
      </c>
    </row>
    <row r="218" spans="4:8" ht="18" customHeight="1">
      <c r="D218" s="54">
        <v>410610</v>
      </c>
      <c r="E218" s="28" t="s">
        <v>232</v>
      </c>
      <c r="F218" s="28">
        <f t="shared" si="34"/>
        <v>460206</v>
      </c>
      <c r="G218" s="28">
        <f t="shared" si="34"/>
        <v>0</v>
      </c>
      <c r="H218" s="55">
        <f t="shared" si="35"/>
        <v>460206</v>
      </c>
    </row>
    <row r="219" spans="4:8" ht="18" customHeight="1">
      <c r="D219" s="54">
        <v>410620</v>
      </c>
      <c r="E219" s="28" t="s">
        <v>233</v>
      </c>
      <c r="F219" s="28">
        <f t="shared" si="34"/>
        <v>0</v>
      </c>
      <c r="G219" s="28">
        <f t="shared" si="34"/>
        <v>0</v>
      </c>
      <c r="H219" s="55">
        <f t="shared" si="35"/>
        <v>0</v>
      </c>
    </row>
    <row r="220" spans="4:8" ht="18" customHeight="1">
      <c r="D220" s="54">
        <v>410630</v>
      </c>
      <c r="E220" s="28" t="s">
        <v>234</v>
      </c>
      <c r="F220" s="28">
        <f t="shared" si="34"/>
        <v>0</v>
      </c>
      <c r="G220" s="28">
        <f t="shared" si="34"/>
        <v>0</v>
      </c>
      <c r="H220" s="55">
        <f t="shared" si="35"/>
        <v>0</v>
      </c>
    </row>
    <row r="221" spans="4:8" ht="18" customHeight="1">
      <c r="D221" s="54">
        <v>410640</v>
      </c>
      <c r="E221" s="28" t="s">
        <v>235</v>
      </c>
      <c r="F221" s="28">
        <f t="shared" si="34"/>
        <v>0</v>
      </c>
      <c r="G221" s="28">
        <f t="shared" si="34"/>
        <v>0</v>
      </c>
      <c r="H221" s="55">
        <f t="shared" si="35"/>
        <v>0</v>
      </c>
    </row>
    <row r="222" spans="4:8" ht="18" customHeight="1">
      <c r="D222" s="54">
        <v>410650</v>
      </c>
      <c r="E222" s="28" t="s">
        <v>236</v>
      </c>
      <c r="F222" s="28">
        <f t="shared" si="34"/>
        <v>0</v>
      </c>
      <c r="G222" s="28">
        <f t="shared" si="34"/>
        <v>0</v>
      </c>
      <c r="H222" s="55">
        <f t="shared" si="35"/>
        <v>0</v>
      </c>
    </row>
    <row r="223" spans="4:8" ht="18" customHeight="1">
      <c r="D223" s="54">
        <v>410660</v>
      </c>
      <c r="E223" s="28" t="s">
        <v>237</v>
      </c>
      <c r="F223" s="28">
        <f t="shared" si="34"/>
        <v>0</v>
      </c>
      <c r="G223" s="28">
        <f t="shared" si="34"/>
        <v>0</v>
      </c>
      <c r="H223" s="55">
        <f t="shared" si="35"/>
        <v>0</v>
      </c>
    </row>
    <row r="224" spans="4:8" ht="18" customHeight="1">
      <c r="D224" s="54">
        <v>410899</v>
      </c>
      <c r="E224" s="28" t="s">
        <v>238</v>
      </c>
      <c r="F224" s="28">
        <f t="shared" si="34"/>
        <v>20249440</v>
      </c>
      <c r="G224" s="28">
        <f t="shared" si="34"/>
        <v>0</v>
      </c>
      <c r="H224" s="55">
        <f t="shared" si="35"/>
        <v>20249440</v>
      </c>
    </row>
    <row r="225" spans="4:8" ht="18" customHeight="1">
      <c r="D225" s="48"/>
      <c r="E225" s="659" t="s">
        <v>239</v>
      </c>
      <c r="F225" s="659"/>
      <c r="G225" s="659"/>
      <c r="H225" s="50"/>
    </row>
    <row r="226" spans="4:8" ht="18" customHeight="1">
      <c r="D226" s="54" t="s">
        <v>240</v>
      </c>
      <c r="E226" s="28" t="s">
        <v>241</v>
      </c>
      <c r="F226" s="28">
        <f t="shared" ref="F226:G234" si="36">SUMIF($J:$J,$D226,L:L)</f>
        <v>0</v>
      </c>
      <c r="G226" s="28">
        <f t="shared" si="36"/>
        <v>36729604</v>
      </c>
      <c r="H226" s="55">
        <f t="shared" ref="H226:H234" si="37">F226-G226</f>
        <v>-36729604</v>
      </c>
    </row>
    <row r="227" spans="4:8" ht="18" customHeight="1">
      <c r="D227" s="54" t="s">
        <v>242</v>
      </c>
      <c r="E227" s="28" t="s">
        <v>243</v>
      </c>
      <c r="F227" s="28">
        <f t="shared" si="36"/>
        <v>0</v>
      </c>
      <c r="G227" s="28">
        <f t="shared" si="36"/>
        <v>1701398763</v>
      </c>
      <c r="H227" s="55">
        <f t="shared" si="37"/>
        <v>-1701398763</v>
      </c>
    </row>
    <row r="228" spans="4:8" ht="18" customHeight="1">
      <c r="D228" s="54" t="s">
        <v>244</v>
      </c>
      <c r="E228" s="28" t="s">
        <v>245</v>
      </c>
      <c r="F228" s="28">
        <f t="shared" si="36"/>
        <v>0</v>
      </c>
      <c r="G228" s="28">
        <f t="shared" si="36"/>
        <v>0</v>
      </c>
      <c r="H228" s="55">
        <f t="shared" si="37"/>
        <v>0</v>
      </c>
    </row>
    <row r="229" spans="4:8" ht="18" customHeight="1">
      <c r="D229" s="54" t="s">
        <v>246</v>
      </c>
      <c r="E229" s="28" t="s">
        <v>247</v>
      </c>
      <c r="F229" s="28">
        <f t="shared" si="36"/>
        <v>0</v>
      </c>
      <c r="G229" s="28">
        <f t="shared" si="36"/>
        <v>0</v>
      </c>
      <c r="H229" s="55">
        <f t="shared" si="37"/>
        <v>0</v>
      </c>
    </row>
    <row r="230" spans="4:8" ht="18" customHeight="1">
      <c r="D230" s="54" t="s">
        <v>248</v>
      </c>
      <c r="E230" s="28" t="s">
        <v>249</v>
      </c>
      <c r="F230" s="28">
        <f t="shared" si="36"/>
        <v>0</v>
      </c>
      <c r="G230" s="28">
        <f t="shared" si="36"/>
        <v>0</v>
      </c>
      <c r="H230" s="55">
        <f t="shared" si="37"/>
        <v>0</v>
      </c>
    </row>
    <row r="231" spans="4:8" ht="18" customHeight="1">
      <c r="D231" s="54" t="s">
        <v>250</v>
      </c>
      <c r="E231" s="28" t="s">
        <v>251</v>
      </c>
      <c r="F231" s="28">
        <f t="shared" si="36"/>
        <v>0</v>
      </c>
      <c r="G231" s="28">
        <f t="shared" si="36"/>
        <v>460206</v>
      </c>
      <c r="H231" s="55">
        <f t="shared" si="37"/>
        <v>-460206</v>
      </c>
    </row>
    <row r="232" spans="4:8" ht="18" customHeight="1">
      <c r="D232" s="54" t="s">
        <v>252</v>
      </c>
      <c r="E232" s="28" t="s">
        <v>253</v>
      </c>
      <c r="F232" s="28">
        <f t="shared" si="36"/>
        <v>0</v>
      </c>
      <c r="G232" s="28">
        <f t="shared" si="36"/>
        <v>0</v>
      </c>
      <c r="H232" s="55">
        <f t="shared" si="37"/>
        <v>0</v>
      </c>
    </row>
    <row r="233" spans="4:8" ht="18" customHeight="1">
      <c r="D233" s="54" t="s">
        <v>254</v>
      </c>
      <c r="E233" s="28" t="s">
        <v>255</v>
      </c>
      <c r="F233" s="28">
        <f t="shared" si="36"/>
        <v>0</v>
      </c>
      <c r="G233" s="28">
        <f t="shared" si="36"/>
        <v>0</v>
      </c>
      <c r="H233" s="55">
        <f t="shared" si="37"/>
        <v>0</v>
      </c>
    </row>
    <row r="234" spans="4:8" ht="18" customHeight="1">
      <c r="D234" s="54" t="s">
        <v>256</v>
      </c>
      <c r="E234" s="28" t="s">
        <v>257</v>
      </c>
      <c r="F234" s="28">
        <f t="shared" si="36"/>
        <v>0</v>
      </c>
      <c r="G234" s="28">
        <f t="shared" si="36"/>
        <v>0</v>
      </c>
      <c r="H234" s="55">
        <f t="shared" si="37"/>
        <v>0</v>
      </c>
    </row>
    <row r="235" spans="4:8" ht="18" customHeight="1">
      <c r="D235" s="48"/>
      <c r="E235" s="659" t="s">
        <v>258</v>
      </c>
      <c r="F235" s="659"/>
      <c r="G235" s="659"/>
      <c r="H235" s="50"/>
    </row>
    <row r="236" spans="4:8" ht="18" customHeight="1">
      <c r="D236" s="48"/>
      <c r="E236" s="659" t="s">
        <v>259</v>
      </c>
      <c r="F236" s="659"/>
      <c r="G236" s="659"/>
      <c r="H236" s="50"/>
    </row>
    <row r="237" spans="4:8" ht="18" customHeight="1">
      <c r="D237" s="54" t="s">
        <v>260</v>
      </c>
      <c r="E237" s="28" t="s">
        <v>261</v>
      </c>
      <c r="F237" s="28">
        <f t="shared" ref="F237:G265" si="38">SUMIF($J:$J,$D237,L:L)</f>
        <v>0</v>
      </c>
      <c r="G237" s="28">
        <f t="shared" si="38"/>
        <v>0</v>
      </c>
      <c r="H237" s="55">
        <f t="shared" ref="H237:H265" si="39">F237-G237</f>
        <v>0</v>
      </c>
    </row>
    <row r="238" spans="4:8" ht="18" customHeight="1">
      <c r="D238" s="54" t="s">
        <v>262</v>
      </c>
      <c r="E238" s="28" t="s">
        <v>263</v>
      </c>
      <c r="F238" s="28">
        <f t="shared" si="38"/>
        <v>0</v>
      </c>
      <c r="G238" s="28">
        <f t="shared" si="38"/>
        <v>0</v>
      </c>
      <c r="H238" s="55">
        <f t="shared" si="39"/>
        <v>0</v>
      </c>
    </row>
    <row r="239" spans="4:8" ht="18" customHeight="1">
      <c r="D239" s="54" t="s">
        <v>264</v>
      </c>
      <c r="E239" s="28" t="s">
        <v>265</v>
      </c>
      <c r="F239" s="28">
        <f t="shared" si="38"/>
        <v>0</v>
      </c>
      <c r="G239" s="28">
        <f t="shared" si="38"/>
        <v>0</v>
      </c>
      <c r="H239" s="55">
        <f t="shared" si="39"/>
        <v>0</v>
      </c>
    </row>
    <row r="240" spans="4:8" ht="18" customHeight="1">
      <c r="D240" s="54" t="s">
        <v>266</v>
      </c>
      <c r="E240" s="28" t="s">
        <v>267</v>
      </c>
      <c r="F240" s="28">
        <f t="shared" si="38"/>
        <v>0</v>
      </c>
      <c r="G240" s="28">
        <f t="shared" si="38"/>
        <v>0</v>
      </c>
      <c r="H240" s="55">
        <f t="shared" si="39"/>
        <v>0</v>
      </c>
    </row>
    <row r="241" spans="4:8" ht="18" customHeight="1">
      <c r="D241" s="54" t="s">
        <v>268</v>
      </c>
      <c r="E241" s="28" t="s">
        <v>269</v>
      </c>
      <c r="F241" s="28">
        <f t="shared" si="38"/>
        <v>0</v>
      </c>
      <c r="G241" s="28">
        <f t="shared" si="38"/>
        <v>0</v>
      </c>
      <c r="H241" s="55">
        <f t="shared" si="39"/>
        <v>0</v>
      </c>
    </row>
    <row r="242" spans="4:8" ht="18" customHeight="1">
      <c r="D242" s="54" t="s">
        <v>270</v>
      </c>
      <c r="E242" s="28" t="s">
        <v>271</v>
      </c>
      <c r="F242" s="28">
        <f t="shared" si="38"/>
        <v>0</v>
      </c>
      <c r="G242" s="28">
        <f t="shared" si="38"/>
        <v>0</v>
      </c>
      <c r="H242" s="55">
        <f t="shared" si="39"/>
        <v>0</v>
      </c>
    </row>
    <row r="243" spans="4:8" ht="18" customHeight="1">
      <c r="D243" s="54" t="s">
        <v>272</v>
      </c>
      <c r="E243" s="28" t="s">
        <v>273</v>
      </c>
      <c r="F243" s="28">
        <f t="shared" si="38"/>
        <v>0</v>
      </c>
      <c r="G243" s="28">
        <f t="shared" si="38"/>
        <v>0</v>
      </c>
      <c r="H243" s="55">
        <f t="shared" si="39"/>
        <v>0</v>
      </c>
    </row>
    <row r="244" spans="4:8" ht="18" customHeight="1">
      <c r="D244" s="54" t="s">
        <v>274</v>
      </c>
      <c r="E244" s="28" t="s">
        <v>275</v>
      </c>
      <c r="F244" s="28">
        <f t="shared" si="38"/>
        <v>0</v>
      </c>
      <c r="G244" s="28">
        <f t="shared" si="38"/>
        <v>0</v>
      </c>
      <c r="H244" s="55">
        <f t="shared" si="39"/>
        <v>0</v>
      </c>
    </row>
    <row r="245" spans="4:8" ht="18" customHeight="1">
      <c r="D245" s="54" t="s">
        <v>390</v>
      </c>
      <c r="E245" s="28" t="s">
        <v>386</v>
      </c>
      <c r="F245" s="28">
        <f t="shared" si="38"/>
        <v>0</v>
      </c>
      <c r="G245" s="28">
        <f t="shared" si="38"/>
        <v>0</v>
      </c>
      <c r="H245" s="55">
        <f t="shared" si="39"/>
        <v>0</v>
      </c>
    </row>
    <row r="246" spans="4:8" ht="18" customHeight="1">
      <c r="D246" s="54" t="s">
        <v>391</v>
      </c>
      <c r="E246" s="28" t="s">
        <v>387</v>
      </c>
      <c r="F246" s="28">
        <f t="shared" si="38"/>
        <v>0</v>
      </c>
      <c r="G246" s="28">
        <f t="shared" si="38"/>
        <v>0</v>
      </c>
      <c r="H246" s="55">
        <f t="shared" si="39"/>
        <v>0</v>
      </c>
    </row>
    <row r="247" spans="4:8" ht="18" customHeight="1">
      <c r="D247" s="54" t="s">
        <v>276</v>
      </c>
      <c r="E247" s="28" t="s">
        <v>277</v>
      </c>
      <c r="F247" s="28">
        <f t="shared" si="38"/>
        <v>0</v>
      </c>
      <c r="G247" s="28">
        <f t="shared" si="38"/>
        <v>0</v>
      </c>
      <c r="H247" s="55">
        <f t="shared" si="39"/>
        <v>0</v>
      </c>
    </row>
    <row r="248" spans="4:8" ht="18" customHeight="1">
      <c r="D248" s="54" t="s">
        <v>278</v>
      </c>
      <c r="E248" s="28" t="s">
        <v>279</v>
      </c>
      <c r="F248" s="28">
        <f t="shared" si="38"/>
        <v>0</v>
      </c>
      <c r="G248" s="28">
        <f t="shared" si="38"/>
        <v>0</v>
      </c>
      <c r="H248" s="55">
        <f t="shared" si="39"/>
        <v>0</v>
      </c>
    </row>
    <row r="249" spans="4:8" ht="18" customHeight="1">
      <c r="D249" s="54" t="s">
        <v>280</v>
      </c>
      <c r="E249" s="28" t="s">
        <v>281</v>
      </c>
      <c r="F249" s="28">
        <f t="shared" si="38"/>
        <v>0</v>
      </c>
      <c r="G249" s="28">
        <f t="shared" si="38"/>
        <v>0</v>
      </c>
      <c r="H249" s="55">
        <f t="shared" si="39"/>
        <v>0</v>
      </c>
    </row>
    <row r="250" spans="4:8" ht="18" customHeight="1">
      <c r="D250" s="54" t="s">
        <v>282</v>
      </c>
      <c r="E250" s="28" t="s">
        <v>283</v>
      </c>
      <c r="F250" s="28">
        <f t="shared" si="38"/>
        <v>0</v>
      </c>
      <c r="G250" s="28">
        <f t="shared" si="38"/>
        <v>0</v>
      </c>
      <c r="H250" s="55">
        <f t="shared" si="39"/>
        <v>0</v>
      </c>
    </row>
    <row r="251" spans="4:8" ht="18" customHeight="1">
      <c r="D251" s="54" t="s">
        <v>284</v>
      </c>
      <c r="E251" s="28" t="s">
        <v>285</v>
      </c>
      <c r="F251" s="28">
        <f t="shared" si="38"/>
        <v>0</v>
      </c>
      <c r="G251" s="28">
        <f t="shared" si="38"/>
        <v>0</v>
      </c>
      <c r="H251" s="55">
        <f t="shared" si="39"/>
        <v>0</v>
      </c>
    </row>
    <row r="252" spans="4:8" ht="18" customHeight="1">
      <c r="D252" s="54" t="s">
        <v>286</v>
      </c>
      <c r="E252" s="28" t="s">
        <v>287</v>
      </c>
      <c r="F252" s="28">
        <f t="shared" si="38"/>
        <v>0</v>
      </c>
      <c r="G252" s="28">
        <f t="shared" si="38"/>
        <v>0</v>
      </c>
      <c r="H252" s="55">
        <f t="shared" si="39"/>
        <v>0</v>
      </c>
    </row>
    <row r="253" spans="4:8" ht="18" customHeight="1">
      <c r="D253" s="54" t="s">
        <v>288</v>
      </c>
      <c r="E253" s="28" t="s">
        <v>289</v>
      </c>
      <c r="F253" s="28">
        <f t="shared" si="38"/>
        <v>0</v>
      </c>
      <c r="G253" s="28">
        <f t="shared" si="38"/>
        <v>0</v>
      </c>
      <c r="H253" s="55">
        <f t="shared" si="39"/>
        <v>0</v>
      </c>
    </row>
    <row r="254" spans="4:8" ht="18" customHeight="1">
      <c r="D254" s="54" t="s">
        <v>290</v>
      </c>
      <c r="E254" s="28" t="s">
        <v>291</v>
      </c>
      <c r="F254" s="28">
        <f t="shared" si="38"/>
        <v>0</v>
      </c>
      <c r="G254" s="28">
        <f t="shared" si="38"/>
        <v>0</v>
      </c>
      <c r="H254" s="55">
        <f t="shared" si="39"/>
        <v>0</v>
      </c>
    </row>
    <row r="255" spans="4:8" ht="18" customHeight="1">
      <c r="D255" s="54" t="s">
        <v>292</v>
      </c>
      <c r="E255" s="28" t="s">
        <v>293</v>
      </c>
      <c r="F255" s="28">
        <f t="shared" si="38"/>
        <v>0</v>
      </c>
      <c r="G255" s="28">
        <f t="shared" si="38"/>
        <v>0</v>
      </c>
      <c r="H255" s="55">
        <f t="shared" si="39"/>
        <v>0</v>
      </c>
    </row>
    <row r="256" spans="4:8" ht="18" customHeight="1">
      <c r="D256" s="54" t="s">
        <v>294</v>
      </c>
      <c r="E256" s="28" t="s">
        <v>295</v>
      </c>
      <c r="F256" s="28">
        <f t="shared" si="38"/>
        <v>0</v>
      </c>
      <c r="G256" s="28">
        <f t="shared" si="38"/>
        <v>0</v>
      </c>
      <c r="H256" s="55">
        <f t="shared" si="39"/>
        <v>0</v>
      </c>
    </row>
    <row r="257" spans="4:8" ht="18" customHeight="1">
      <c r="D257" s="54" t="s">
        <v>296</v>
      </c>
      <c r="E257" s="28" t="s">
        <v>297</v>
      </c>
      <c r="F257" s="28">
        <f t="shared" si="38"/>
        <v>0</v>
      </c>
      <c r="G257" s="28">
        <f t="shared" si="38"/>
        <v>20249440</v>
      </c>
      <c r="H257" s="55">
        <f t="shared" si="39"/>
        <v>-20249440</v>
      </c>
    </row>
    <row r="258" spans="4:8" ht="18" customHeight="1">
      <c r="D258" s="54" t="s">
        <v>298</v>
      </c>
      <c r="E258" s="28" t="s">
        <v>299</v>
      </c>
      <c r="F258" s="28">
        <f t="shared" si="38"/>
        <v>0</v>
      </c>
      <c r="G258" s="28">
        <f t="shared" si="38"/>
        <v>0</v>
      </c>
      <c r="H258" s="55">
        <f t="shared" si="39"/>
        <v>0</v>
      </c>
    </row>
    <row r="259" spans="4:8" ht="18" customHeight="1">
      <c r="D259" s="54" t="s">
        <v>300</v>
      </c>
      <c r="E259" s="28" t="s">
        <v>301</v>
      </c>
      <c r="F259" s="28">
        <f t="shared" si="38"/>
        <v>0</v>
      </c>
      <c r="G259" s="28">
        <f t="shared" si="38"/>
        <v>0</v>
      </c>
      <c r="H259" s="55">
        <f t="shared" si="39"/>
        <v>0</v>
      </c>
    </row>
    <row r="260" spans="4:8" ht="18" customHeight="1">
      <c r="D260" s="54" t="s">
        <v>302</v>
      </c>
      <c r="E260" s="28" t="s">
        <v>303</v>
      </c>
      <c r="F260" s="28">
        <f t="shared" si="38"/>
        <v>0</v>
      </c>
      <c r="G260" s="28">
        <f t="shared" si="38"/>
        <v>0</v>
      </c>
      <c r="H260" s="55">
        <f t="shared" si="39"/>
        <v>0</v>
      </c>
    </row>
    <row r="261" spans="4:8" ht="18" customHeight="1">
      <c r="D261" s="54" t="s">
        <v>304</v>
      </c>
      <c r="E261" s="28" t="s">
        <v>305</v>
      </c>
      <c r="F261" s="28">
        <f t="shared" si="38"/>
        <v>0</v>
      </c>
      <c r="G261" s="28">
        <f t="shared" si="38"/>
        <v>0</v>
      </c>
      <c r="H261" s="55">
        <f t="shared" si="39"/>
        <v>0</v>
      </c>
    </row>
    <row r="262" spans="4:8" ht="18" customHeight="1">
      <c r="D262" s="54" t="s">
        <v>306</v>
      </c>
      <c r="E262" s="28" t="s">
        <v>307</v>
      </c>
      <c r="F262" s="28">
        <f t="shared" si="38"/>
        <v>0</v>
      </c>
      <c r="G262" s="28">
        <f t="shared" si="38"/>
        <v>0</v>
      </c>
      <c r="H262" s="55">
        <f t="shared" si="39"/>
        <v>0</v>
      </c>
    </row>
    <row r="263" spans="4:8" ht="18" customHeight="1">
      <c r="D263" s="54" t="s">
        <v>308</v>
      </c>
      <c r="E263" s="28" t="s">
        <v>309</v>
      </c>
      <c r="F263" s="28">
        <f t="shared" si="38"/>
        <v>0</v>
      </c>
      <c r="G263" s="28">
        <f t="shared" si="38"/>
        <v>0</v>
      </c>
      <c r="H263" s="55">
        <f t="shared" si="39"/>
        <v>0</v>
      </c>
    </row>
    <row r="264" spans="4:8" ht="18" customHeight="1">
      <c r="D264" s="54" t="s">
        <v>310</v>
      </c>
      <c r="E264" s="28" t="s">
        <v>311</v>
      </c>
      <c r="F264" s="28">
        <f t="shared" si="38"/>
        <v>0</v>
      </c>
      <c r="G264" s="28">
        <f t="shared" si="38"/>
        <v>0</v>
      </c>
      <c r="H264" s="55">
        <f t="shared" si="39"/>
        <v>0</v>
      </c>
    </row>
    <row r="265" spans="4:8" ht="18" customHeight="1">
      <c r="D265" s="54" t="s">
        <v>312</v>
      </c>
      <c r="E265" s="28" t="s">
        <v>313</v>
      </c>
      <c r="F265" s="28">
        <f t="shared" si="38"/>
        <v>0</v>
      </c>
      <c r="G265" s="28">
        <f t="shared" si="38"/>
        <v>0</v>
      </c>
      <c r="H265" s="55">
        <f t="shared" si="39"/>
        <v>0</v>
      </c>
    </row>
    <row r="266" spans="4:8" ht="18" customHeight="1">
      <c r="D266" s="48"/>
      <c r="E266" s="659" t="s">
        <v>314</v>
      </c>
      <c r="F266" s="659">
        <v>0</v>
      </c>
      <c r="G266" s="659">
        <v>0</v>
      </c>
      <c r="H266" s="50">
        <f t="shared" ref="H266" si="40">H235-H236</f>
        <v>0</v>
      </c>
    </row>
    <row r="267" spans="4:8" ht="18" customHeight="1">
      <c r="D267" s="51"/>
      <c r="E267" s="660" t="s">
        <v>315</v>
      </c>
      <c r="F267" s="660"/>
      <c r="G267" s="660"/>
      <c r="H267" s="53"/>
    </row>
    <row r="268" spans="4:8" ht="18" customHeight="1">
      <c r="D268" s="54" t="s">
        <v>316</v>
      </c>
      <c r="E268" s="28" t="s">
        <v>317</v>
      </c>
      <c r="F268" s="28">
        <f t="shared" ref="F268:G276" si="41">SUMIF($J:$J,$D268,L:L)</f>
        <v>0</v>
      </c>
      <c r="G268" s="28">
        <f t="shared" si="41"/>
        <v>0</v>
      </c>
      <c r="H268" s="55">
        <f t="shared" ref="H268:H303" si="42">F268-G268</f>
        <v>0</v>
      </c>
    </row>
    <row r="269" spans="4:8" ht="18" customHeight="1">
      <c r="D269" s="54" t="s">
        <v>318</v>
      </c>
      <c r="E269" s="28" t="s">
        <v>319</v>
      </c>
      <c r="F269" s="28">
        <f t="shared" si="41"/>
        <v>18156386</v>
      </c>
      <c r="G269" s="28">
        <f t="shared" si="41"/>
        <v>0</v>
      </c>
      <c r="H269" s="55">
        <f t="shared" si="42"/>
        <v>18156386</v>
      </c>
    </row>
    <row r="270" spans="4:8" ht="18" customHeight="1">
      <c r="D270" s="54" t="s">
        <v>320</v>
      </c>
      <c r="E270" s="28" t="s">
        <v>321</v>
      </c>
      <c r="F270" s="28">
        <f t="shared" si="41"/>
        <v>0</v>
      </c>
      <c r="G270" s="28">
        <f t="shared" si="41"/>
        <v>0</v>
      </c>
      <c r="H270" s="55">
        <f t="shared" si="42"/>
        <v>0</v>
      </c>
    </row>
    <row r="271" spans="4:8" ht="18" customHeight="1">
      <c r="D271" s="54" t="s">
        <v>322</v>
      </c>
      <c r="E271" s="28" t="s">
        <v>323</v>
      </c>
      <c r="F271" s="28">
        <f t="shared" si="41"/>
        <v>0</v>
      </c>
      <c r="G271" s="28">
        <f t="shared" si="41"/>
        <v>0</v>
      </c>
      <c r="H271" s="55">
        <f t="shared" si="42"/>
        <v>0</v>
      </c>
    </row>
    <row r="272" spans="4:8" ht="18" customHeight="1">
      <c r="D272" s="54" t="s">
        <v>324</v>
      </c>
      <c r="E272" s="28" t="s">
        <v>325</v>
      </c>
      <c r="F272" s="28">
        <f t="shared" si="41"/>
        <v>0</v>
      </c>
      <c r="G272" s="28">
        <f t="shared" si="41"/>
        <v>0</v>
      </c>
      <c r="H272" s="55">
        <f t="shared" si="42"/>
        <v>0</v>
      </c>
    </row>
    <row r="273" spans="4:8" ht="18" customHeight="1">
      <c r="D273" s="54" t="s">
        <v>326</v>
      </c>
      <c r="E273" s="28" t="s">
        <v>327</v>
      </c>
      <c r="F273" s="28">
        <f t="shared" si="41"/>
        <v>0</v>
      </c>
      <c r="G273" s="28">
        <f t="shared" si="41"/>
        <v>0</v>
      </c>
      <c r="H273" s="55">
        <f t="shared" si="42"/>
        <v>0</v>
      </c>
    </row>
    <row r="274" spans="4:8" ht="18" customHeight="1">
      <c r="D274" s="54" t="s">
        <v>328</v>
      </c>
      <c r="E274" s="28" t="s">
        <v>329</v>
      </c>
      <c r="F274" s="28">
        <f t="shared" si="41"/>
        <v>0</v>
      </c>
      <c r="G274" s="28">
        <f t="shared" si="41"/>
        <v>0</v>
      </c>
      <c r="H274" s="55">
        <f t="shared" si="42"/>
        <v>0</v>
      </c>
    </row>
    <row r="275" spans="4:8" ht="18" customHeight="1">
      <c r="D275" s="54" t="s">
        <v>330</v>
      </c>
      <c r="E275" s="28" t="s">
        <v>331</v>
      </c>
      <c r="F275" s="28">
        <f t="shared" si="41"/>
        <v>0</v>
      </c>
      <c r="G275" s="28">
        <f t="shared" si="41"/>
        <v>0</v>
      </c>
      <c r="H275" s="55">
        <f t="shared" si="42"/>
        <v>0</v>
      </c>
    </row>
    <row r="276" spans="4:8" ht="18" customHeight="1">
      <c r="D276" s="54" t="s">
        <v>332</v>
      </c>
      <c r="E276" s="28" t="s">
        <v>333</v>
      </c>
      <c r="F276" s="28">
        <f t="shared" si="41"/>
        <v>0</v>
      </c>
      <c r="G276" s="28">
        <f t="shared" si="41"/>
        <v>0</v>
      </c>
      <c r="H276" s="55">
        <f t="shared" si="42"/>
        <v>0</v>
      </c>
    </row>
    <row r="277" spans="4:8" ht="18" customHeight="1">
      <c r="D277" s="51"/>
      <c r="E277" s="660" t="s">
        <v>334</v>
      </c>
      <c r="F277" s="660"/>
      <c r="G277" s="660"/>
      <c r="H277" s="53"/>
    </row>
    <row r="278" spans="4:8" ht="18" customHeight="1">
      <c r="D278" s="54" t="s">
        <v>335</v>
      </c>
      <c r="E278" s="28" t="s">
        <v>336</v>
      </c>
      <c r="F278" s="28">
        <f t="shared" ref="F278:G288" si="43">SUMIF($J:$J,$D278,L:L)</f>
        <v>0</v>
      </c>
      <c r="G278" s="28">
        <f t="shared" si="43"/>
        <v>0</v>
      </c>
      <c r="H278" s="55">
        <f t="shared" si="42"/>
        <v>0</v>
      </c>
    </row>
    <row r="279" spans="4:8" ht="18" customHeight="1">
      <c r="D279" s="54" t="s">
        <v>337</v>
      </c>
      <c r="E279" s="28" t="s">
        <v>338</v>
      </c>
      <c r="F279" s="28">
        <f t="shared" si="43"/>
        <v>0</v>
      </c>
      <c r="G279" s="28">
        <f t="shared" si="43"/>
        <v>18156386</v>
      </c>
      <c r="H279" s="55">
        <f t="shared" si="42"/>
        <v>-18156386</v>
      </c>
    </row>
    <row r="280" spans="4:8" ht="18" customHeight="1">
      <c r="D280" s="54" t="s">
        <v>339</v>
      </c>
      <c r="E280" s="28" t="s">
        <v>340</v>
      </c>
      <c r="F280" s="28">
        <f t="shared" si="43"/>
        <v>0</v>
      </c>
      <c r="G280" s="28">
        <f t="shared" si="43"/>
        <v>0</v>
      </c>
      <c r="H280" s="55">
        <f t="shared" si="42"/>
        <v>0</v>
      </c>
    </row>
    <row r="281" spans="4:8" ht="18" customHeight="1">
      <c r="D281" s="57" t="s">
        <v>389</v>
      </c>
      <c r="E281" s="28" t="s">
        <v>388</v>
      </c>
      <c r="F281" s="28">
        <f t="shared" si="43"/>
        <v>0</v>
      </c>
      <c r="G281" s="28">
        <f t="shared" si="43"/>
        <v>0</v>
      </c>
      <c r="H281" s="55">
        <f t="shared" si="42"/>
        <v>0</v>
      </c>
    </row>
    <row r="282" spans="4:8" ht="18" customHeight="1">
      <c r="D282" s="54" t="s">
        <v>341</v>
      </c>
      <c r="E282" s="28" t="s">
        <v>342</v>
      </c>
      <c r="F282" s="28">
        <f t="shared" si="43"/>
        <v>0</v>
      </c>
      <c r="G282" s="28">
        <f t="shared" si="43"/>
        <v>0</v>
      </c>
      <c r="H282" s="55">
        <f t="shared" si="42"/>
        <v>0</v>
      </c>
    </row>
    <row r="283" spans="4:8" ht="18" customHeight="1">
      <c r="D283" s="54" t="s">
        <v>343</v>
      </c>
      <c r="E283" s="28" t="s">
        <v>344</v>
      </c>
      <c r="F283" s="28">
        <f t="shared" si="43"/>
        <v>0</v>
      </c>
      <c r="G283" s="28">
        <f t="shared" si="43"/>
        <v>0</v>
      </c>
      <c r="H283" s="55">
        <f t="shared" si="42"/>
        <v>0</v>
      </c>
    </row>
    <row r="284" spans="4:8" ht="18" customHeight="1">
      <c r="D284" s="54" t="s">
        <v>345</v>
      </c>
      <c r="E284" s="28" t="s">
        <v>346</v>
      </c>
      <c r="F284" s="28">
        <f t="shared" si="43"/>
        <v>0</v>
      </c>
      <c r="G284" s="28">
        <f t="shared" si="43"/>
        <v>0</v>
      </c>
      <c r="H284" s="55">
        <f t="shared" si="42"/>
        <v>0</v>
      </c>
    </row>
    <row r="285" spans="4:8" ht="18" customHeight="1">
      <c r="D285" s="54" t="s">
        <v>347</v>
      </c>
      <c r="E285" s="28" t="s">
        <v>348</v>
      </c>
      <c r="F285" s="28">
        <f t="shared" si="43"/>
        <v>0</v>
      </c>
      <c r="G285" s="28">
        <f t="shared" si="43"/>
        <v>0</v>
      </c>
      <c r="H285" s="55">
        <f t="shared" si="42"/>
        <v>0</v>
      </c>
    </row>
    <row r="286" spans="4:8" ht="18" customHeight="1">
      <c r="D286" s="54" t="s">
        <v>349</v>
      </c>
      <c r="E286" s="28" t="s">
        <v>350</v>
      </c>
      <c r="F286" s="28">
        <f t="shared" si="43"/>
        <v>0</v>
      </c>
      <c r="G286" s="28">
        <f t="shared" si="43"/>
        <v>0</v>
      </c>
      <c r="H286" s="55">
        <f t="shared" si="42"/>
        <v>0</v>
      </c>
    </row>
    <row r="287" spans="4:8" ht="18" customHeight="1">
      <c r="D287" s="57" t="s">
        <v>351</v>
      </c>
      <c r="E287" s="28" t="s">
        <v>352</v>
      </c>
      <c r="F287" s="28">
        <f t="shared" si="43"/>
        <v>0</v>
      </c>
      <c r="G287" s="28">
        <f t="shared" si="43"/>
        <v>0</v>
      </c>
      <c r="H287" s="55">
        <f t="shared" si="42"/>
        <v>0</v>
      </c>
    </row>
    <row r="288" spans="4:8" ht="18" customHeight="1">
      <c r="D288" s="57" t="s">
        <v>353</v>
      </c>
      <c r="E288" s="28" t="s">
        <v>354</v>
      </c>
      <c r="F288" s="28">
        <f t="shared" si="43"/>
        <v>0</v>
      </c>
      <c r="G288" s="28">
        <f t="shared" si="43"/>
        <v>0</v>
      </c>
      <c r="H288" s="55">
        <f t="shared" si="42"/>
        <v>0</v>
      </c>
    </row>
    <row r="289" spans="4:8" ht="18" customHeight="1">
      <c r="D289" s="51"/>
      <c r="E289" s="660" t="s">
        <v>355</v>
      </c>
      <c r="F289" s="660"/>
      <c r="G289" s="660"/>
      <c r="H289" s="53">
        <f t="shared" ref="H289" si="44">SUM(H290:H292)</f>
        <v>0</v>
      </c>
    </row>
    <row r="290" spans="4:8" ht="18" customHeight="1">
      <c r="D290" s="54" t="s">
        <v>356</v>
      </c>
      <c r="E290" s="28" t="s">
        <v>357</v>
      </c>
      <c r="F290" s="28">
        <f t="shared" ref="F290:G292" si="45">SUMIF($J:$J,$D290,L:L)</f>
        <v>0</v>
      </c>
      <c r="G290" s="28">
        <f t="shared" si="45"/>
        <v>0</v>
      </c>
      <c r="H290" s="55">
        <f t="shared" si="42"/>
        <v>0</v>
      </c>
    </row>
    <row r="291" spans="4:8" ht="18" customHeight="1">
      <c r="D291" s="54" t="s">
        <v>358</v>
      </c>
      <c r="E291" s="28" t="s">
        <v>359</v>
      </c>
      <c r="F291" s="28">
        <f t="shared" si="45"/>
        <v>0</v>
      </c>
      <c r="G291" s="28">
        <f t="shared" si="45"/>
        <v>0</v>
      </c>
      <c r="H291" s="55">
        <f t="shared" si="42"/>
        <v>0</v>
      </c>
    </row>
    <row r="292" spans="4:8" ht="18" customHeight="1">
      <c r="D292" s="54" t="s">
        <v>360</v>
      </c>
      <c r="E292" s="28" t="s">
        <v>361</v>
      </c>
      <c r="F292" s="28">
        <f t="shared" si="45"/>
        <v>0</v>
      </c>
      <c r="G292" s="28">
        <f t="shared" si="45"/>
        <v>0</v>
      </c>
      <c r="H292" s="55">
        <f t="shared" si="42"/>
        <v>0</v>
      </c>
    </row>
    <row r="293" spans="4:8" ht="18" customHeight="1">
      <c r="D293" s="51"/>
      <c r="E293" s="660" t="s">
        <v>362</v>
      </c>
      <c r="F293" s="660"/>
      <c r="G293" s="660"/>
      <c r="H293" s="53"/>
    </row>
    <row r="294" spans="4:8" ht="18" customHeight="1">
      <c r="D294" s="54" t="s">
        <v>363</v>
      </c>
      <c r="E294" s="28" t="s">
        <v>364</v>
      </c>
      <c r="F294" s="28">
        <f t="shared" ref="F294:G297" si="46">SUMIF($J:$J,$D294,L:L)</f>
        <v>0</v>
      </c>
      <c r="G294" s="28">
        <f t="shared" si="46"/>
        <v>0</v>
      </c>
      <c r="H294" s="55">
        <f t="shared" si="42"/>
        <v>0</v>
      </c>
    </row>
    <row r="295" spans="4:8" ht="18" customHeight="1">
      <c r="D295" s="54" t="s">
        <v>365</v>
      </c>
      <c r="E295" s="28" t="s">
        <v>366</v>
      </c>
      <c r="F295" s="28">
        <f t="shared" si="46"/>
        <v>0</v>
      </c>
      <c r="G295" s="28">
        <f t="shared" si="46"/>
        <v>0</v>
      </c>
      <c r="H295" s="55">
        <f t="shared" si="42"/>
        <v>0</v>
      </c>
    </row>
    <row r="296" spans="4:8" ht="18" customHeight="1">
      <c r="D296" s="54" t="s">
        <v>367</v>
      </c>
      <c r="E296" s="28" t="s">
        <v>368</v>
      </c>
      <c r="F296" s="28">
        <f t="shared" si="46"/>
        <v>0</v>
      </c>
      <c r="G296" s="28">
        <f t="shared" si="46"/>
        <v>0</v>
      </c>
      <c r="H296" s="55">
        <f t="shared" si="42"/>
        <v>0</v>
      </c>
    </row>
    <row r="297" spans="4:8" ht="18" customHeight="1">
      <c r="D297" s="54" t="s">
        <v>369</v>
      </c>
      <c r="E297" s="28" t="s">
        <v>370</v>
      </c>
      <c r="F297" s="28">
        <f t="shared" si="46"/>
        <v>0</v>
      </c>
      <c r="G297" s="28">
        <f t="shared" si="46"/>
        <v>0</v>
      </c>
      <c r="H297" s="55">
        <f t="shared" si="42"/>
        <v>0</v>
      </c>
    </row>
    <row r="298" spans="4:8" ht="18" customHeight="1">
      <c r="D298" s="51"/>
      <c r="E298" s="660" t="s">
        <v>371</v>
      </c>
      <c r="F298" s="660"/>
      <c r="G298" s="660"/>
      <c r="H298" s="53"/>
    </row>
    <row r="299" spans="4:8" ht="18" customHeight="1">
      <c r="D299" s="54" t="s">
        <v>372</v>
      </c>
      <c r="E299" s="28" t="s">
        <v>373</v>
      </c>
      <c r="F299" s="28">
        <f t="shared" ref="F299:G301" si="47">SUMIF($J:$J,$D299,L:L)</f>
        <v>0</v>
      </c>
      <c r="G299" s="28">
        <f t="shared" si="47"/>
        <v>0</v>
      </c>
      <c r="H299" s="55">
        <f t="shared" si="42"/>
        <v>0</v>
      </c>
    </row>
    <row r="300" spans="4:8" ht="18" customHeight="1">
      <c r="D300" s="54" t="s">
        <v>374</v>
      </c>
      <c r="E300" s="28" t="s">
        <v>375</v>
      </c>
      <c r="F300" s="28">
        <f t="shared" si="47"/>
        <v>0</v>
      </c>
      <c r="G300" s="28">
        <f t="shared" si="47"/>
        <v>0</v>
      </c>
      <c r="H300" s="55">
        <f t="shared" si="42"/>
        <v>0</v>
      </c>
    </row>
    <row r="301" spans="4:8" ht="18" customHeight="1">
      <c r="D301" s="54" t="s">
        <v>376</v>
      </c>
      <c r="E301" s="28" t="s">
        <v>377</v>
      </c>
      <c r="F301" s="28">
        <f t="shared" si="47"/>
        <v>0</v>
      </c>
      <c r="G301" s="28">
        <f t="shared" si="47"/>
        <v>0</v>
      </c>
      <c r="H301" s="55">
        <f t="shared" si="42"/>
        <v>0</v>
      </c>
    </row>
    <row r="302" spans="4:8" ht="18" customHeight="1">
      <c r="D302" s="51"/>
      <c r="E302" s="660" t="s">
        <v>378</v>
      </c>
      <c r="F302" s="660"/>
      <c r="G302" s="660"/>
      <c r="H302" s="53"/>
    </row>
    <row r="303" spans="4:8" ht="18" customHeight="1">
      <c r="D303" s="54" t="s">
        <v>379</v>
      </c>
      <c r="E303" s="28" t="s">
        <v>378</v>
      </c>
      <c r="F303" s="28">
        <f>SUMIF($J:$J,$D303,L:L)</f>
        <v>0</v>
      </c>
      <c r="G303" s="28">
        <f>SUMIF($J:$J,$D303,M:M)</f>
        <v>0</v>
      </c>
      <c r="H303" s="55">
        <f t="shared" si="42"/>
        <v>0</v>
      </c>
    </row>
    <row r="304" spans="4:8" ht="18" customHeight="1">
      <c r="D304" s="48"/>
      <c r="E304" s="659" t="s">
        <v>380</v>
      </c>
      <c r="F304" s="659"/>
      <c r="G304" s="659"/>
      <c r="H304" s="50"/>
    </row>
    <row r="305" spans="4:8" ht="18" customHeight="1">
      <c r="D305" s="51"/>
      <c r="E305" s="660" t="s">
        <v>381</v>
      </c>
      <c r="F305" s="660"/>
      <c r="G305" s="660"/>
      <c r="H305" s="53"/>
    </row>
    <row r="306" spans="4:8" ht="18" customHeight="1">
      <c r="D306" s="54" t="s">
        <v>382</v>
      </c>
      <c r="E306" s="28" t="s">
        <v>381</v>
      </c>
      <c r="F306" s="28">
        <f t="shared" ref="F306:G306" si="48">SUMIF($J:$J,$D306,L:L)</f>
        <v>0</v>
      </c>
      <c r="G306" s="28">
        <f t="shared" si="48"/>
        <v>0</v>
      </c>
      <c r="H306" s="55">
        <f t="shared" ref="H306" si="49">F306-G306</f>
        <v>0</v>
      </c>
    </row>
    <row r="307" spans="4:8" ht="18" customHeight="1">
      <c r="D307" s="48"/>
      <c r="E307" s="659" t="s">
        <v>383</v>
      </c>
      <c r="F307" s="659"/>
      <c r="G307" s="659"/>
      <c r="H307" s="50"/>
    </row>
    <row r="308" spans="4:8" ht="18" customHeight="1">
      <c r="D308" s="54" t="s">
        <v>384</v>
      </c>
      <c r="E308" s="28" t="s">
        <v>11</v>
      </c>
      <c r="H308" s="55"/>
    </row>
    <row r="309" spans="4:8" ht="18" customHeight="1" thickBot="1">
      <c r="D309" s="64" t="s">
        <v>385</v>
      </c>
      <c r="E309" s="65" t="s">
        <v>211</v>
      </c>
      <c r="F309" s="65"/>
      <c r="G309" s="65"/>
      <c r="H309" s="66"/>
    </row>
  </sheetData>
  <autoFilter ref="D4:H203" xr:uid="{00000000-0009-0000-0000-000014000000}"/>
  <phoneticPr fontId="1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23"/>
  <sheetViews>
    <sheetView zoomScaleNormal="100" workbookViewId="0">
      <selection activeCell="I22" sqref="I22"/>
    </sheetView>
  </sheetViews>
  <sheetFormatPr defaultColWidth="9.125" defaultRowHeight="15.95" customHeight="1"/>
  <cols>
    <col min="1" max="1" width="12.375" style="104" customWidth="1"/>
    <col min="2" max="2" width="25" style="104" customWidth="1"/>
    <col min="3" max="3" width="12.375" style="104" customWidth="1"/>
    <col min="4" max="4" width="25.75" style="104" customWidth="1"/>
    <col min="5" max="5" width="12.375" style="104" customWidth="1"/>
    <col min="6" max="6" width="14.375" style="104" customWidth="1"/>
    <col min="7" max="8" width="12.375" style="104" customWidth="1"/>
    <col min="9" max="9" width="14.375" style="104" customWidth="1"/>
    <col min="10" max="10" width="9.125" style="104"/>
    <col min="11" max="11" width="14.375" style="104" bestFit="1" customWidth="1"/>
    <col min="12" max="12" width="13.75" style="107" bestFit="1" customWidth="1"/>
    <col min="13" max="13" width="4.125" style="104" customWidth="1"/>
    <col min="14" max="246" width="9.125" style="104"/>
    <col min="247" max="247" width="12.375" style="104" customWidth="1"/>
    <col min="248" max="248" width="25" style="104" customWidth="1"/>
    <col min="249" max="249" width="12.375" style="104" customWidth="1"/>
    <col min="250" max="250" width="25.75" style="104" customWidth="1"/>
    <col min="251" max="251" width="12.375" style="104" customWidth="1"/>
    <col min="252" max="252" width="14.375" style="104" customWidth="1"/>
    <col min="253" max="254" width="12.375" style="104" customWidth="1"/>
    <col min="255" max="255" width="14.375" style="104" customWidth="1"/>
    <col min="256" max="256" width="9.125" style="104"/>
    <col min="257" max="257" width="14.375" style="104" bestFit="1" customWidth="1"/>
    <col min="258" max="502" width="9.125" style="104"/>
    <col min="503" max="503" width="12.375" style="104" customWidth="1"/>
    <col min="504" max="504" width="25" style="104" customWidth="1"/>
    <col min="505" max="505" width="12.375" style="104" customWidth="1"/>
    <col min="506" max="506" width="25.75" style="104" customWidth="1"/>
    <col min="507" max="507" width="12.375" style="104" customWidth="1"/>
    <col min="508" max="508" width="14.375" style="104" customWidth="1"/>
    <col min="509" max="510" width="12.375" style="104" customWidth="1"/>
    <col min="511" max="511" width="14.375" style="104" customWidth="1"/>
    <col min="512" max="512" width="9.125" style="104"/>
    <col min="513" max="513" width="14.375" style="104" bestFit="1" customWidth="1"/>
    <col min="514" max="758" width="9.125" style="104"/>
    <col min="759" max="759" width="12.375" style="104" customWidth="1"/>
    <col min="760" max="760" width="25" style="104" customWidth="1"/>
    <col min="761" max="761" width="12.375" style="104" customWidth="1"/>
    <col min="762" max="762" width="25.75" style="104" customWidth="1"/>
    <col min="763" max="763" width="12.375" style="104" customWidth="1"/>
    <col min="764" max="764" width="14.375" style="104" customWidth="1"/>
    <col min="765" max="766" width="12.375" style="104" customWidth="1"/>
    <col min="767" max="767" width="14.375" style="104" customWidth="1"/>
    <col min="768" max="768" width="9.125" style="104"/>
    <col min="769" max="769" width="14.375" style="104" bestFit="1" customWidth="1"/>
    <col min="770" max="1014" width="9.125" style="104"/>
    <col min="1015" max="1015" width="12.375" style="104" customWidth="1"/>
    <col min="1016" max="1016" width="25" style="104" customWidth="1"/>
    <col min="1017" max="1017" width="12.375" style="104" customWidth="1"/>
    <col min="1018" max="1018" width="25.75" style="104" customWidth="1"/>
    <col min="1019" max="1019" width="12.375" style="104" customWidth="1"/>
    <col min="1020" max="1020" width="14.375" style="104" customWidth="1"/>
    <col min="1021" max="1022" width="12.375" style="104" customWidth="1"/>
    <col min="1023" max="1023" width="14.375" style="104" customWidth="1"/>
    <col min="1024" max="1024" width="9.125" style="104"/>
    <col min="1025" max="1025" width="14.375" style="104" bestFit="1" customWidth="1"/>
    <col min="1026" max="1270" width="9.125" style="104"/>
    <col min="1271" max="1271" width="12.375" style="104" customWidth="1"/>
    <col min="1272" max="1272" width="25" style="104" customWidth="1"/>
    <col min="1273" max="1273" width="12.375" style="104" customWidth="1"/>
    <col min="1274" max="1274" width="25.75" style="104" customWidth="1"/>
    <col min="1275" max="1275" width="12.375" style="104" customWidth="1"/>
    <col min="1276" max="1276" width="14.375" style="104" customWidth="1"/>
    <col min="1277" max="1278" width="12.375" style="104" customWidth="1"/>
    <col min="1279" max="1279" width="14.375" style="104" customWidth="1"/>
    <col min="1280" max="1280" width="9.125" style="104"/>
    <col min="1281" max="1281" width="14.375" style="104" bestFit="1" customWidth="1"/>
    <col min="1282" max="1526" width="9.125" style="104"/>
    <col min="1527" max="1527" width="12.375" style="104" customWidth="1"/>
    <col min="1528" max="1528" width="25" style="104" customWidth="1"/>
    <col min="1529" max="1529" width="12.375" style="104" customWidth="1"/>
    <col min="1530" max="1530" width="25.75" style="104" customWidth="1"/>
    <col min="1531" max="1531" width="12.375" style="104" customWidth="1"/>
    <col min="1532" max="1532" width="14.375" style="104" customWidth="1"/>
    <col min="1533" max="1534" width="12.375" style="104" customWidth="1"/>
    <col min="1535" max="1535" width="14.375" style="104" customWidth="1"/>
    <col min="1536" max="1536" width="9.125" style="104"/>
    <col min="1537" max="1537" width="14.375" style="104" bestFit="1" customWidth="1"/>
    <col min="1538" max="1782" width="9.125" style="104"/>
    <col min="1783" max="1783" width="12.375" style="104" customWidth="1"/>
    <col min="1784" max="1784" width="25" style="104" customWidth="1"/>
    <col min="1785" max="1785" width="12.375" style="104" customWidth="1"/>
    <col min="1786" max="1786" width="25.75" style="104" customWidth="1"/>
    <col min="1787" max="1787" width="12.375" style="104" customWidth="1"/>
    <col min="1788" max="1788" width="14.375" style="104" customWidth="1"/>
    <col min="1789" max="1790" width="12.375" style="104" customWidth="1"/>
    <col min="1791" max="1791" width="14.375" style="104" customWidth="1"/>
    <col min="1792" max="1792" width="9.125" style="104"/>
    <col min="1793" max="1793" width="14.375" style="104" bestFit="1" customWidth="1"/>
    <col min="1794" max="2038" width="9.125" style="104"/>
    <col min="2039" max="2039" width="12.375" style="104" customWidth="1"/>
    <col min="2040" max="2040" width="25" style="104" customWidth="1"/>
    <col min="2041" max="2041" width="12.375" style="104" customWidth="1"/>
    <col min="2042" max="2042" width="25.75" style="104" customWidth="1"/>
    <col min="2043" max="2043" width="12.375" style="104" customWidth="1"/>
    <col min="2044" max="2044" width="14.375" style="104" customWidth="1"/>
    <col min="2045" max="2046" width="12.375" style="104" customWidth="1"/>
    <col min="2047" max="2047" width="14.375" style="104" customWidth="1"/>
    <col min="2048" max="2048" width="9.125" style="104"/>
    <col min="2049" max="2049" width="14.375" style="104" bestFit="1" customWidth="1"/>
    <col min="2050" max="2294" width="9.125" style="104"/>
    <col min="2295" max="2295" width="12.375" style="104" customWidth="1"/>
    <col min="2296" max="2296" width="25" style="104" customWidth="1"/>
    <col min="2297" max="2297" width="12.375" style="104" customWidth="1"/>
    <col min="2298" max="2298" width="25.75" style="104" customWidth="1"/>
    <col min="2299" max="2299" width="12.375" style="104" customWidth="1"/>
    <col min="2300" max="2300" width="14.375" style="104" customWidth="1"/>
    <col min="2301" max="2302" width="12.375" style="104" customWidth="1"/>
    <col min="2303" max="2303" width="14.375" style="104" customWidth="1"/>
    <col min="2304" max="2304" width="9.125" style="104"/>
    <col min="2305" max="2305" width="14.375" style="104" bestFit="1" customWidth="1"/>
    <col min="2306" max="2550" width="9.125" style="104"/>
    <col min="2551" max="2551" width="12.375" style="104" customWidth="1"/>
    <col min="2552" max="2552" width="25" style="104" customWidth="1"/>
    <col min="2553" max="2553" width="12.375" style="104" customWidth="1"/>
    <col min="2554" max="2554" width="25.75" style="104" customWidth="1"/>
    <col min="2555" max="2555" width="12.375" style="104" customWidth="1"/>
    <col min="2556" max="2556" width="14.375" style="104" customWidth="1"/>
    <col min="2557" max="2558" width="12.375" style="104" customWidth="1"/>
    <col min="2559" max="2559" width="14.375" style="104" customWidth="1"/>
    <col min="2560" max="2560" width="9.125" style="104"/>
    <col min="2561" max="2561" width="14.375" style="104" bestFit="1" customWidth="1"/>
    <col min="2562" max="2806" width="9.125" style="104"/>
    <col min="2807" max="2807" width="12.375" style="104" customWidth="1"/>
    <col min="2808" max="2808" width="25" style="104" customWidth="1"/>
    <col min="2809" max="2809" width="12.375" style="104" customWidth="1"/>
    <col min="2810" max="2810" width="25.75" style="104" customWidth="1"/>
    <col min="2811" max="2811" width="12.375" style="104" customWidth="1"/>
    <col min="2812" max="2812" width="14.375" style="104" customWidth="1"/>
    <col min="2813" max="2814" width="12.375" style="104" customWidth="1"/>
    <col min="2815" max="2815" width="14.375" style="104" customWidth="1"/>
    <col min="2816" max="2816" width="9.125" style="104"/>
    <col min="2817" max="2817" width="14.375" style="104" bestFit="1" customWidth="1"/>
    <col min="2818" max="3062" width="9.125" style="104"/>
    <col min="3063" max="3063" width="12.375" style="104" customWidth="1"/>
    <col min="3064" max="3064" width="25" style="104" customWidth="1"/>
    <col min="3065" max="3065" width="12.375" style="104" customWidth="1"/>
    <col min="3066" max="3066" width="25.75" style="104" customWidth="1"/>
    <col min="3067" max="3067" width="12.375" style="104" customWidth="1"/>
    <col min="3068" max="3068" width="14.375" style="104" customWidth="1"/>
    <col min="3069" max="3070" width="12.375" style="104" customWidth="1"/>
    <col min="3071" max="3071" width="14.375" style="104" customWidth="1"/>
    <col min="3072" max="3072" width="9.125" style="104"/>
    <col min="3073" max="3073" width="14.375" style="104" bestFit="1" customWidth="1"/>
    <col min="3074" max="3318" width="9.125" style="104"/>
    <col min="3319" max="3319" width="12.375" style="104" customWidth="1"/>
    <col min="3320" max="3320" width="25" style="104" customWidth="1"/>
    <col min="3321" max="3321" width="12.375" style="104" customWidth="1"/>
    <col min="3322" max="3322" width="25.75" style="104" customWidth="1"/>
    <col min="3323" max="3323" width="12.375" style="104" customWidth="1"/>
    <col min="3324" max="3324" width="14.375" style="104" customWidth="1"/>
    <col min="3325" max="3326" width="12.375" style="104" customWidth="1"/>
    <col min="3327" max="3327" width="14.375" style="104" customWidth="1"/>
    <col min="3328" max="3328" width="9.125" style="104"/>
    <col min="3329" max="3329" width="14.375" style="104" bestFit="1" customWidth="1"/>
    <col min="3330" max="3574" width="9.125" style="104"/>
    <col min="3575" max="3575" width="12.375" style="104" customWidth="1"/>
    <col min="3576" max="3576" width="25" style="104" customWidth="1"/>
    <col min="3577" max="3577" width="12.375" style="104" customWidth="1"/>
    <col min="3578" max="3578" width="25.75" style="104" customWidth="1"/>
    <col min="3579" max="3579" width="12.375" style="104" customWidth="1"/>
    <col min="3580" max="3580" width="14.375" style="104" customWidth="1"/>
    <col min="3581" max="3582" width="12.375" style="104" customWidth="1"/>
    <col min="3583" max="3583" width="14.375" style="104" customWidth="1"/>
    <col min="3584" max="3584" width="9.125" style="104"/>
    <col min="3585" max="3585" width="14.375" style="104" bestFit="1" customWidth="1"/>
    <col min="3586" max="3830" width="9.125" style="104"/>
    <col min="3831" max="3831" width="12.375" style="104" customWidth="1"/>
    <col min="3832" max="3832" width="25" style="104" customWidth="1"/>
    <col min="3833" max="3833" width="12.375" style="104" customWidth="1"/>
    <col min="3834" max="3834" width="25.75" style="104" customWidth="1"/>
    <col min="3835" max="3835" width="12.375" style="104" customWidth="1"/>
    <col min="3836" max="3836" width="14.375" style="104" customWidth="1"/>
    <col min="3837" max="3838" width="12.375" style="104" customWidth="1"/>
    <col min="3839" max="3839" width="14.375" style="104" customWidth="1"/>
    <col min="3840" max="3840" width="9.125" style="104"/>
    <col min="3841" max="3841" width="14.375" style="104" bestFit="1" customWidth="1"/>
    <col min="3842" max="4086" width="9.125" style="104"/>
    <col min="4087" max="4087" width="12.375" style="104" customWidth="1"/>
    <col min="4088" max="4088" width="25" style="104" customWidth="1"/>
    <col min="4089" max="4089" width="12.375" style="104" customWidth="1"/>
    <col min="4090" max="4090" width="25.75" style="104" customWidth="1"/>
    <col min="4091" max="4091" width="12.375" style="104" customWidth="1"/>
    <col min="4092" max="4092" width="14.375" style="104" customWidth="1"/>
    <col min="4093" max="4094" width="12.375" style="104" customWidth="1"/>
    <col min="4095" max="4095" width="14.375" style="104" customWidth="1"/>
    <col min="4096" max="4096" width="9.125" style="104"/>
    <col min="4097" max="4097" width="14.375" style="104" bestFit="1" customWidth="1"/>
    <col min="4098" max="4342" width="9.125" style="104"/>
    <col min="4343" max="4343" width="12.375" style="104" customWidth="1"/>
    <col min="4344" max="4344" width="25" style="104" customWidth="1"/>
    <col min="4345" max="4345" width="12.375" style="104" customWidth="1"/>
    <col min="4346" max="4346" width="25.75" style="104" customWidth="1"/>
    <col min="4347" max="4347" width="12.375" style="104" customWidth="1"/>
    <col min="4348" max="4348" width="14.375" style="104" customWidth="1"/>
    <col min="4349" max="4350" width="12.375" style="104" customWidth="1"/>
    <col min="4351" max="4351" width="14.375" style="104" customWidth="1"/>
    <col min="4352" max="4352" width="9.125" style="104"/>
    <col min="4353" max="4353" width="14.375" style="104" bestFit="1" customWidth="1"/>
    <col min="4354" max="4598" width="9.125" style="104"/>
    <col min="4599" max="4599" width="12.375" style="104" customWidth="1"/>
    <col min="4600" max="4600" width="25" style="104" customWidth="1"/>
    <col min="4601" max="4601" width="12.375" style="104" customWidth="1"/>
    <col min="4602" max="4602" width="25.75" style="104" customWidth="1"/>
    <col min="4603" max="4603" width="12.375" style="104" customWidth="1"/>
    <col min="4604" max="4604" width="14.375" style="104" customWidth="1"/>
    <col min="4605" max="4606" width="12.375" style="104" customWidth="1"/>
    <col min="4607" max="4607" width="14.375" style="104" customWidth="1"/>
    <col min="4608" max="4608" width="9.125" style="104"/>
    <col min="4609" max="4609" width="14.375" style="104" bestFit="1" customWidth="1"/>
    <col min="4610" max="4854" width="9.125" style="104"/>
    <col min="4855" max="4855" width="12.375" style="104" customWidth="1"/>
    <col min="4856" max="4856" width="25" style="104" customWidth="1"/>
    <col min="4857" max="4857" width="12.375" style="104" customWidth="1"/>
    <col min="4858" max="4858" width="25.75" style="104" customWidth="1"/>
    <col min="4859" max="4859" width="12.375" style="104" customWidth="1"/>
    <col min="4860" max="4860" width="14.375" style="104" customWidth="1"/>
    <col min="4861" max="4862" width="12.375" style="104" customWidth="1"/>
    <col min="4863" max="4863" width="14.375" style="104" customWidth="1"/>
    <col min="4864" max="4864" width="9.125" style="104"/>
    <col min="4865" max="4865" width="14.375" style="104" bestFit="1" customWidth="1"/>
    <col min="4866" max="5110" width="9.125" style="104"/>
    <col min="5111" max="5111" width="12.375" style="104" customWidth="1"/>
    <col min="5112" max="5112" width="25" style="104" customWidth="1"/>
    <col min="5113" max="5113" width="12.375" style="104" customWidth="1"/>
    <col min="5114" max="5114" width="25.75" style="104" customWidth="1"/>
    <col min="5115" max="5115" width="12.375" style="104" customWidth="1"/>
    <col min="5116" max="5116" width="14.375" style="104" customWidth="1"/>
    <col min="5117" max="5118" width="12.375" style="104" customWidth="1"/>
    <col min="5119" max="5119" width="14.375" style="104" customWidth="1"/>
    <col min="5120" max="5120" width="9.125" style="104"/>
    <col min="5121" max="5121" width="14.375" style="104" bestFit="1" customWidth="1"/>
    <col min="5122" max="5366" width="9.125" style="104"/>
    <col min="5367" max="5367" width="12.375" style="104" customWidth="1"/>
    <col min="5368" max="5368" width="25" style="104" customWidth="1"/>
    <col min="5369" max="5369" width="12.375" style="104" customWidth="1"/>
    <col min="5370" max="5370" width="25.75" style="104" customWidth="1"/>
    <col min="5371" max="5371" width="12.375" style="104" customWidth="1"/>
    <col min="5372" max="5372" width="14.375" style="104" customWidth="1"/>
    <col min="5373" max="5374" width="12.375" style="104" customWidth="1"/>
    <col min="5375" max="5375" width="14.375" style="104" customWidth="1"/>
    <col min="5376" max="5376" width="9.125" style="104"/>
    <col min="5377" max="5377" width="14.375" style="104" bestFit="1" customWidth="1"/>
    <col min="5378" max="5622" width="9.125" style="104"/>
    <col min="5623" max="5623" width="12.375" style="104" customWidth="1"/>
    <col min="5624" max="5624" width="25" style="104" customWidth="1"/>
    <col min="5625" max="5625" width="12.375" style="104" customWidth="1"/>
    <col min="5626" max="5626" width="25.75" style="104" customWidth="1"/>
    <col min="5627" max="5627" width="12.375" style="104" customWidth="1"/>
    <col min="5628" max="5628" width="14.375" style="104" customWidth="1"/>
    <col min="5629" max="5630" width="12.375" style="104" customWidth="1"/>
    <col min="5631" max="5631" width="14.375" style="104" customWidth="1"/>
    <col min="5632" max="5632" width="9.125" style="104"/>
    <col min="5633" max="5633" width="14.375" style="104" bestFit="1" customWidth="1"/>
    <col min="5634" max="5878" width="9.125" style="104"/>
    <col min="5879" max="5879" width="12.375" style="104" customWidth="1"/>
    <col min="5880" max="5880" width="25" style="104" customWidth="1"/>
    <col min="5881" max="5881" width="12.375" style="104" customWidth="1"/>
    <col min="5882" max="5882" width="25.75" style="104" customWidth="1"/>
    <col min="5883" max="5883" width="12.375" style="104" customWidth="1"/>
    <col min="5884" max="5884" width="14.375" style="104" customWidth="1"/>
    <col min="5885" max="5886" width="12.375" style="104" customWidth="1"/>
    <col min="5887" max="5887" width="14.375" style="104" customWidth="1"/>
    <col min="5888" max="5888" width="9.125" style="104"/>
    <col min="5889" max="5889" width="14.375" style="104" bestFit="1" customWidth="1"/>
    <col min="5890" max="6134" width="9.125" style="104"/>
    <col min="6135" max="6135" width="12.375" style="104" customWidth="1"/>
    <col min="6136" max="6136" width="25" style="104" customWidth="1"/>
    <col min="6137" max="6137" width="12.375" style="104" customWidth="1"/>
    <col min="6138" max="6138" width="25.75" style="104" customWidth="1"/>
    <col min="6139" max="6139" width="12.375" style="104" customWidth="1"/>
    <col min="6140" max="6140" width="14.375" style="104" customWidth="1"/>
    <col min="6141" max="6142" width="12.375" style="104" customWidth="1"/>
    <col min="6143" max="6143" width="14.375" style="104" customWidth="1"/>
    <col min="6144" max="6144" width="9.125" style="104"/>
    <col min="6145" max="6145" width="14.375" style="104" bestFit="1" customWidth="1"/>
    <col min="6146" max="6390" width="9.125" style="104"/>
    <col min="6391" max="6391" width="12.375" style="104" customWidth="1"/>
    <col min="6392" max="6392" width="25" style="104" customWidth="1"/>
    <col min="6393" max="6393" width="12.375" style="104" customWidth="1"/>
    <col min="6394" max="6394" width="25.75" style="104" customWidth="1"/>
    <col min="6395" max="6395" width="12.375" style="104" customWidth="1"/>
    <col min="6396" max="6396" width="14.375" style="104" customWidth="1"/>
    <col min="6397" max="6398" width="12.375" style="104" customWidth="1"/>
    <col min="6399" max="6399" width="14.375" style="104" customWidth="1"/>
    <col min="6400" max="6400" width="9.125" style="104"/>
    <col min="6401" max="6401" width="14.375" style="104" bestFit="1" customWidth="1"/>
    <col min="6402" max="6646" width="9.125" style="104"/>
    <col min="6647" max="6647" width="12.375" style="104" customWidth="1"/>
    <col min="6648" max="6648" width="25" style="104" customWidth="1"/>
    <col min="6649" max="6649" width="12.375" style="104" customWidth="1"/>
    <col min="6650" max="6650" width="25.75" style="104" customWidth="1"/>
    <col min="6651" max="6651" width="12.375" style="104" customWidth="1"/>
    <col min="6652" max="6652" width="14.375" style="104" customWidth="1"/>
    <col min="6653" max="6654" width="12.375" style="104" customWidth="1"/>
    <col min="6655" max="6655" width="14.375" style="104" customWidth="1"/>
    <col min="6656" max="6656" width="9.125" style="104"/>
    <col min="6657" max="6657" width="14.375" style="104" bestFit="1" customWidth="1"/>
    <col min="6658" max="6902" width="9.125" style="104"/>
    <col min="6903" max="6903" width="12.375" style="104" customWidth="1"/>
    <col min="6904" max="6904" width="25" style="104" customWidth="1"/>
    <col min="6905" max="6905" width="12.375" style="104" customWidth="1"/>
    <col min="6906" max="6906" width="25.75" style="104" customWidth="1"/>
    <col min="6907" max="6907" width="12.375" style="104" customWidth="1"/>
    <col min="6908" max="6908" width="14.375" style="104" customWidth="1"/>
    <col min="6909" max="6910" width="12.375" style="104" customWidth="1"/>
    <col min="6911" max="6911" width="14.375" style="104" customWidth="1"/>
    <col min="6912" max="6912" width="9.125" style="104"/>
    <col min="6913" max="6913" width="14.375" style="104" bestFit="1" customWidth="1"/>
    <col min="6914" max="7158" width="9.125" style="104"/>
    <col min="7159" max="7159" width="12.375" style="104" customWidth="1"/>
    <col min="7160" max="7160" width="25" style="104" customWidth="1"/>
    <col min="7161" max="7161" width="12.375" style="104" customWidth="1"/>
    <col min="7162" max="7162" width="25.75" style="104" customWidth="1"/>
    <col min="7163" max="7163" width="12.375" style="104" customWidth="1"/>
    <col min="7164" max="7164" width="14.375" style="104" customWidth="1"/>
    <col min="7165" max="7166" width="12.375" style="104" customWidth="1"/>
    <col min="7167" max="7167" width="14.375" style="104" customWidth="1"/>
    <col min="7168" max="7168" width="9.125" style="104"/>
    <col min="7169" max="7169" width="14.375" style="104" bestFit="1" customWidth="1"/>
    <col min="7170" max="7414" width="9.125" style="104"/>
    <col min="7415" max="7415" width="12.375" style="104" customWidth="1"/>
    <col min="7416" max="7416" width="25" style="104" customWidth="1"/>
    <col min="7417" max="7417" width="12.375" style="104" customWidth="1"/>
    <col min="7418" max="7418" width="25.75" style="104" customWidth="1"/>
    <col min="7419" max="7419" width="12.375" style="104" customWidth="1"/>
    <col min="7420" max="7420" width="14.375" style="104" customWidth="1"/>
    <col min="7421" max="7422" width="12.375" style="104" customWidth="1"/>
    <col min="7423" max="7423" width="14.375" style="104" customWidth="1"/>
    <col min="7424" max="7424" width="9.125" style="104"/>
    <col min="7425" max="7425" width="14.375" style="104" bestFit="1" customWidth="1"/>
    <col min="7426" max="7670" width="9.125" style="104"/>
    <col min="7671" max="7671" width="12.375" style="104" customWidth="1"/>
    <col min="7672" max="7672" width="25" style="104" customWidth="1"/>
    <col min="7673" max="7673" width="12.375" style="104" customWidth="1"/>
    <col min="7674" max="7674" width="25.75" style="104" customWidth="1"/>
    <col min="7675" max="7675" width="12.375" style="104" customWidth="1"/>
    <col min="7676" max="7676" width="14.375" style="104" customWidth="1"/>
    <col min="7677" max="7678" width="12.375" style="104" customWidth="1"/>
    <col min="7679" max="7679" width="14.375" style="104" customWidth="1"/>
    <col min="7680" max="7680" width="9.125" style="104"/>
    <col min="7681" max="7681" width="14.375" style="104" bestFit="1" customWidth="1"/>
    <col min="7682" max="7926" width="9.125" style="104"/>
    <col min="7927" max="7927" width="12.375" style="104" customWidth="1"/>
    <col min="7928" max="7928" width="25" style="104" customWidth="1"/>
    <col min="7929" max="7929" width="12.375" style="104" customWidth="1"/>
    <col min="7930" max="7930" width="25.75" style="104" customWidth="1"/>
    <col min="7931" max="7931" width="12.375" style="104" customWidth="1"/>
    <col min="7932" max="7932" width="14.375" style="104" customWidth="1"/>
    <col min="7933" max="7934" width="12.375" style="104" customWidth="1"/>
    <col min="7935" max="7935" width="14.375" style="104" customWidth="1"/>
    <col min="7936" max="7936" width="9.125" style="104"/>
    <col min="7937" max="7937" width="14.375" style="104" bestFit="1" customWidth="1"/>
    <col min="7938" max="8182" width="9.125" style="104"/>
    <col min="8183" max="8183" width="12.375" style="104" customWidth="1"/>
    <col min="8184" max="8184" width="25" style="104" customWidth="1"/>
    <col min="8185" max="8185" width="12.375" style="104" customWidth="1"/>
    <col min="8186" max="8186" width="25.75" style="104" customWidth="1"/>
    <col min="8187" max="8187" width="12.375" style="104" customWidth="1"/>
    <col min="8188" max="8188" width="14.375" style="104" customWidth="1"/>
    <col min="8189" max="8190" width="12.375" style="104" customWidth="1"/>
    <col min="8191" max="8191" width="14.375" style="104" customWidth="1"/>
    <col min="8192" max="8192" width="9.125" style="104"/>
    <col min="8193" max="8193" width="14.375" style="104" bestFit="1" customWidth="1"/>
    <col min="8194" max="8438" width="9.125" style="104"/>
    <col min="8439" max="8439" width="12.375" style="104" customWidth="1"/>
    <col min="8440" max="8440" width="25" style="104" customWidth="1"/>
    <col min="8441" max="8441" width="12.375" style="104" customWidth="1"/>
    <col min="8442" max="8442" width="25.75" style="104" customWidth="1"/>
    <col min="8443" max="8443" width="12.375" style="104" customWidth="1"/>
    <col min="8444" max="8444" width="14.375" style="104" customWidth="1"/>
    <col min="8445" max="8446" width="12.375" style="104" customWidth="1"/>
    <col min="8447" max="8447" width="14.375" style="104" customWidth="1"/>
    <col min="8448" max="8448" width="9.125" style="104"/>
    <col min="8449" max="8449" width="14.375" style="104" bestFit="1" customWidth="1"/>
    <col min="8450" max="8694" width="9.125" style="104"/>
    <col min="8695" max="8695" width="12.375" style="104" customWidth="1"/>
    <col min="8696" max="8696" width="25" style="104" customWidth="1"/>
    <col min="8697" max="8697" width="12.375" style="104" customWidth="1"/>
    <col min="8698" max="8698" width="25.75" style="104" customWidth="1"/>
    <col min="8699" max="8699" width="12.375" style="104" customWidth="1"/>
    <col min="8700" max="8700" width="14.375" style="104" customWidth="1"/>
    <col min="8701" max="8702" width="12.375" style="104" customWidth="1"/>
    <col min="8703" max="8703" width="14.375" style="104" customWidth="1"/>
    <col min="8704" max="8704" width="9.125" style="104"/>
    <col min="8705" max="8705" width="14.375" style="104" bestFit="1" customWidth="1"/>
    <col min="8706" max="8950" width="9.125" style="104"/>
    <col min="8951" max="8951" width="12.375" style="104" customWidth="1"/>
    <col min="8952" max="8952" width="25" style="104" customWidth="1"/>
    <col min="8953" max="8953" width="12.375" style="104" customWidth="1"/>
    <col min="8954" max="8954" width="25.75" style="104" customWidth="1"/>
    <col min="8955" max="8955" width="12.375" style="104" customWidth="1"/>
    <col min="8956" max="8956" width="14.375" style="104" customWidth="1"/>
    <col min="8957" max="8958" width="12.375" style="104" customWidth="1"/>
    <col min="8959" max="8959" width="14.375" style="104" customWidth="1"/>
    <col min="8960" max="8960" width="9.125" style="104"/>
    <col min="8961" max="8961" width="14.375" style="104" bestFit="1" customWidth="1"/>
    <col min="8962" max="9206" width="9.125" style="104"/>
    <col min="9207" max="9207" width="12.375" style="104" customWidth="1"/>
    <col min="9208" max="9208" width="25" style="104" customWidth="1"/>
    <col min="9209" max="9209" width="12.375" style="104" customWidth="1"/>
    <col min="9210" max="9210" width="25.75" style="104" customWidth="1"/>
    <col min="9211" max="9211" width="12.375" style="104" customWidth="1"/>
    <col min="9212" max="9212" width="14.375" style="104" customWidth="1"/>
    <col min="9213" max="9214" width="12.375" style="104" customWidth="1"/>
    <col min="9215" max="9215" width="14.375" style="104" customWidth="1"/>
    <col min="9216" max="9216" width="9.125" style="104"/>
    <col min="9217" max="9217" width="14.375" style="104" bestFit="1" customWidth="1"/>
    <col min="9218" max="9462" width="9.125" style="104"/>
    <col min="9463" max="9463" width="12.375" style="104" customWidth="1"/>
    <col min="9464" max="9464" width="25" style="104" customWidth="1"/>
    <col min="9465" max="9465" width="12.375" style="104" customWidth="1"/>
    <col min="9466" max="9466" width="25.75" style="104" customWidth="1"/>
    <col min="9467" max="9467" width="12.375" style="104" customWidth="1"/>
    <col min="9468" max="9468" width="14.375" style="104" customWidth="1"/>
    <col min="9469" max="9470" width="12.375" style="104" customWidth="1"/>
    <col min="9471" max="9471" width="14.375" style="104" customWidth="1"/>
    <col min="9472" max="9472" width="9.125" style="104"/>
    <col min="9473" max="9473" width="14.375" style="104" bestFit="1" customWidth="1"/>
    <col min="9474" max="9718" width="9.125" style="104"/>
    <col min="9719" max="9719" width="12.375" style="104" customWidth="1"/>
    <col min="9720" max="9720" width="25" style="104" customWidth="1"/>
    <col min="9721" max="9721" width="12.375" style="104" customWidth="1"/>
    <col min="9722" max="9722" width="25.75" style="104" customWidth="1"/>
    <col min="9723" max="9723" width="12.375" style="104" customWidth="1"/>
    <col min="9724" max="9724" width="14.375" style="104" customWidth="1"/>
    <col min="9725" max="9726" width="12.375" style="104" customWidth="1"/>
    <col min="9727" max="9727" width="14.375" style="104" customWidth="1"/>
    <col min="9728" max="9728" width="9.125" style="104"/>
    <col min="9729" max="9729" width="14.375" style="104" bestFit="1" customWidth="1"/>
    <col min="9730" max="9974" width="9.125" style="104"/>
    <col min="9975" max="9975" width="12.375" style="104" customWidth="1"/>
    <col min="9976" max="9976" width="25" style="104" customWidth="1"/>
    <col min="9977" max="9977" width="12.375" style="104" customWidth="1"/>
    <col min="9978" max="9978" width="25.75" style="104" customWidth="1"/>
    <col min="9979" max="9979" width="12.375" style="104" customWidth="1"/>
    <col min="9980" max="9980" width="14.375" style="104" customWidth="1"/>
    <col min="9981" max="9982" width="12.375" style="104" customWidth="1"/>
    <col min="9983" max="9983" width="14.375" style="104" customWidth="1"/>
    <col min="9984" max="9984" width="9.125" style="104"/>
    <col min="9985" max="9985" width="14.375" style="104" bestFit="1" customWidth="1"/>
    <col min="9986" max="10230" width="9.125" style="104"/>
    <col min="10231" max="10231" width="12.375" style="104" customWidth="1"/>
    <col min="10232" max="10232" width="25" style="104" customWidth="1"/>
    <col min="10233" max="10233" width="12.375" style="104" customWidth="1"/>
    <col min="10234" max="10234" width="25.75" style="104" customWidth="1"/>
    <col min="10235" max="10235" width="12.375" style="104" customWidth="1"/>
    <col min="10236" max="10236" width="14.375" style="104" customWidth="1"/>
    <col min="10237" max="10238" width="12.375" style="104" customWidth="1"/>
    <col min="10239" max="10239" width="14.375" style="104" customWidth="1"/>
    <col min="10240" max="10240" width="9.125" style="104"/>
    <col min="10241" max="10241" width="14.375" style="104" bestFit="1" customWidth="1"/>
    <col min="10242" max="10486" width="9.125" style="104"/>
    <col min="10487" max="10487" width="12.375" style="104" customWidth="1"/>
    <col min="10488" max="10488" width="25" style="104" customWidth="1"/>
    <col min="10489" max="10489" width="12.375" style="104" customWidth="1"/>
    <col min="10490" max="10490" width="25.75" style="104" customWidth="1"/>
    <col min="10491" max="10491" width="12.375" style="104" customWidth="1"/>
    <col min="10492" max="10492" width="14.375" style="104" customWidth="1"/>
    <col min="10493" max="10494" width="12.375" style="104" customWidth="1"/>
    <col min="10495" max="10495" width="14.375" style="104" customWidth="1"/>
    <col min="10496" max="10496" width="9.125" style="104"/>
    <col min="10497" max="10497" width="14.375" style="104" bestFit="1" customWidth="1"/>
    <col min="10498" max="10742" width="9.125" style="104"/>
    <col min="10743" max="10743" width="12.375" style="104" customWidth="1"/>
    <col min="10744" max="10744" width="25" style="104" customWidth="1"/>
    <col min="10745" max="10745" width="12.375" style="104" customWidth="1"/>
    <col min="10746" max="10746" width="25.75" style="104" customWidth="1"/>
    <col min="10747" max="10747" width="12.375" style="104" customWidth="1"/>
    <col min="10748" max="10748" width="14.375" style="104" customWidth="1"/>
    <col min="10749" max="10750" width="12.375" style="104" customWidth="1"/>
    <col min="10751" max="10751" width="14.375" style="104" customWidth="1"/>
    <col min="10752" max="10752" width="9.125" style="104"/>
    <col min="10753" max="10753" width="14.375" style="104" bestFit="1" customWidth="1"/>
    <col min="10754" max="10998" width="9.125" style="104"/>
    <col min="10999" max="10999" width="12.375" style="104" customWidth="1"/>
    <col min="11000" max="11000" width="25" style="104" customWidth="1"/>
    <col min="11001" max="11001" width="12.375" style="104" customWidth="1"/>
    <col min="11002" max="11002" width="25.75" style="104" customWidth="1"/>
    <col min="11003" max="11003" width="12.375" style="104" customWidth="1"/>
    <col min="11004" max="11004" width="14.375" style="104" customWidth="1"/>
    <col min="11005" max="11006" width="12.375" style="104" customWidth="1"/>
    <col min="11007" max="11007" width="14.375" style="104" customWidth="1"/>
    <col min="11008" max="11008" width="9.125" style="104"/>
    <col min="11009" max="11009" width="14.375" style="104" bestFit="1" customWidth="1"/>
    <col min="11010" max="11254" width="9.125" style="104"/>
    <col min="11255" max="11255" width="12.375" style="104" customWidth="1"/>
    <col min="11256" max="11256" width="25" style="104" customWidth="1"/>
    <col min="11257" max="11257" width="12.375" style="104" customWidth="1"/>
    <col min="11258" max="11258" width="25.75" style="104" customWidth="1"/>
    <col min="11259" max="11259" width="12.375" style="104" customWidth="1"/>
    <col min="11260" max="11260" width="14.375" style="104" customWidth="1"/>
    <col min="11261" max="11262" width="12.375" style="104" customWidth="1"/>
    <col min="11263" max="11263" width="14.375" style="104" customWidth="1"/>
    <col min="11264" max="11264" width="9.125" style="104"/>
    <col min="11265" max="11265" width="14.375" style="104" bestFit="1" customWidth="1"/>
    <col min="11266" max="11510" width="9.125" style="104"/>
    <col min="11511" max="11511" width="12.375" style="104" customWidth="1"/>
    <col min="11512" max="11512" width="25" style="104" customWidth="1"/>
    <col min="11513" max="11513" width="12.375" style="104" customWidth="1"/>
    <col min="11514" max="11514" width="25.75" style="104" customWidth="1"/>
    <col min="11515" max="11515" width="12.375" style="104" customWidth="1"/>
    <col min="11516" max="11516" width="14.375" style="104" customWidth="1"/>
    <col min="11517" max="11518" width="12.375" style="104" customWidth="1"/>
    <col min="11519" max="11519" width="14.375" style="104" customWidth="1"/>
    <col min="11520" max="11520" width="9.125" style="104"/>
    <col min="11521" max="11521" width="14.375" style="104" bestFit="1" customWidth="1"/>
    <col min="11522" max="11766" width="9.125" style="104"/>
    <col min="11767" max="11767" width="12.375" style="104" customWidth="1"/>
    <col min="11768" max="11768" width="25" style="104" customWidth="1"/>
    <col min="11769" max="11769" width="12.375" style="104" customWidth="1"/>
    <col min="11770" max="11770" width="25.75" style="104" customWidth="1"/>
    <col min="11771" max="11771" width="12.375" style="104" customWidth="1"/>
    <col min="11772" max="11772" width="14.375" style="104" customWidth="1"/>
    <col min="11773" max="11774" width="12.375" style="104" customWidth="1"/>
    <col min="11775" max="11775" width="14.375" style="104" customWidth="1"/>
    <col min="11776" max="11776" width="9.125" style="104"/>
    <col min="11777" max="11777" width="14.375" style="104" bestFit="1" customWidth="1"/>
    <col min="11778" max="12022" width="9.125" style="104"/>
    <col min="12023" max="12023" width="12.375" style="104" customWidth="1"/>
    <col min="12024" max="12024" width="25" style="104" customWidth="1"/>
    <col min="12025" max="12025" width="12.375" style="104" customWidth="1"/>
    <col min="12026" max="12026" width="25.75" style="104" customWidth="1"/>
    <col min="12027" max="12027" width="12.375" style="104" customWidth="1"/>
    <col min="12028" max="12028" width="14.375" style="104" customWidth="1"/>
    <col min="12029" max="12030" width="12.375" style="104" customWidth="1"/>
    <col min="12031" max="12031" width="14.375" style="104" customWidth="1"/>
    <col min="12032" max="12032" width="9.125" style="104"/>
    <col min="12033" max="12033" width="14.375" style="104" bestFit="1" customWidth="1"/>
    <col min="12034" max="12278" width="9.125" style="104"/>
    <col min="12279" max="12279" width="12.375" style="104" customWidth="1"/>
    <col min="12280" max="12280" width="25" style="104" customWidth="1"/>
    <col min="12281" max="12281" width="12.375" style="104" customWidth="1"/>
    <col min="12282" max="12282" width="25.75" style="104" customWidth="1"/>
    <col min="12283" max="12283" width="12.375" style="104" customWidth="1"/>
    <col min="12284" max="12284" width="14.375" style="104" customWidth="1"/>
    <col min="12285" max="12286" width="12.375" style="104" customWidth="1"/>
    <col min="12287" max="12287" width="14.375" style="104" customWidth="1"/>
    <col min="12288" max="12288" width="9.125" style="104"/>
    <col min="12289" max="12289" width="14.375" style="104" bestFit="1" customWidth="1"/>
    <col min="12290" max="12534" width="9.125" style="104"/>
    <col min="12535" max="12535" width="12.375" style="104" customWidth="1"/>
    <col min="12536" max="12536" width="25" style="104" customWidth="1"/>
    <col min="12537" max="12537" width="12.375" style="104" customWidth="1"/>
    <col min="12538" max="12538" width="25.75" style="104" customWidth="1"/>
    <col min="12539" max="12539" width="12.375" style="104" customWidth="1"/>
    <col min="12540" max="12540" width="14.375" style="104" customWidth="1"/>
    <col min="12541" max="12542" width="12.375" style="104" customWidth="1"/>
    <col min="12543" max="12543" width="14.375" style="104" customWidth="1"/>
    <col min="12544" max="12544" width="9.125" style="104"/>
    <col min="12545" max="12545" width="14.375" style="104" bestFit="1" customWidth="1"/>
    <col min="12546" max="12790" width="9.125" style="104"/>
    <col min="12791" max="12791" width="12.375" style="104" customWidth="1"/>
    <col min="12792" max="12792" width="25" style="104" customWidth="1"/>
    <col min="12793" max="12793" width="12.375" style="104" customWidth="1"/>
    <col min="12794" max="12794" width="25.75" style="104" customWidth="1"/>
    <col min="12795" max="12795" width="12.375" style="104" customWidth="1"/>
    <col min="12796" max="12796" width="14.375" style="104" customWidth="1"/>
    <col min="12797" max="12798" width="12.375" style="104" customWidth="1"/>
    <col min="12799" max="12799" width="14.375" style="104" customWidth="1"/>
    <col min="12800" max="12800" width="9.125" style="104"/>
    <col min="12801" max="12801" width="14.375" style="104" bestFit="1" customWidth="1"/>
    <col min="12802" max="13046" width="9.125" style="104"/>
    <col min="13047" max="13047" width="12.375" style="104" customWidth="1"/>
    <col min="13048" max="13048" width="25" style="104" customWidth="1"/>
    <col min="13049" max="13049" width="12.375" style="104" customWidth="1"/>
    <col min="13050" max="13050" width="25.75" style="104" customWidth="1"/>
    <col min="13051" max="13051" width="12.375" style="104" customWidth="1"/>
    <col min="13052" max="13052" width="14.375" style="104" customWidth="1"/>
    <col min="13053" max="13054" width="12.375" style="104" customWidth="1"/>
    <col min="13055" max="13055" width="14.375" style="104" customWidth="1"/>
    <col min="13056" max="13056" width="9.125" style="104"/>
    <col min="13057" max="13057" width="14.375" style="104" bestFit="1" customWidth="1"/>
    <col min="13058" max="13302" width="9.125" style="104"/>
    <col min="13303" max="13303" width="12.375" style="104" customWidth="1"/>
    <col min="13304" max="13304" width="25" style="104" customWidth="1"/>
    <col min="13305" max="13305" width="12.375" style="104" customWidth="1"/>
    <col min="13306" max="13306" width="25.75" style="104" customWidth="1"/>
    <col min="13307" max="13307" width="12.375" style="104" customWidth="1"/>
    <col min="13308" max="13308" width="14.375" style="104" customWidth="1"/>
    <col min="13309" max="13310" width="12.375" style="104" customWidth="1"/>
    <col min="13311" max="13311" width="14.375" style="104" customWidth="1"/>
    <col min="13312" max="13312" width="9.125" style="104"/>
    <col min="13313" max="13313" width="14.375" style="104" bestFit="1" customWidth="1"/>
    <col min="13314" max="13558" width="9.125" style="104"/>
    <col min="13559" max="13559" width="12.375" style="104" customWidth="1"/>
    <col min="13560" max="13560" width="25" style="104" customWidth="1"/>
    <col min="13561" max="13561" width="12.375" style="104" customWidth="1"/>
    <col min="13562" max="13562" width="25.75" style="104" customWidth="1"/>
    <col min="13563" max="13563" width="12.375" style="104" customWidth="1"/>
    <col min="13564" max="13564" width="14.375" style="104" customWidth="1"/>
    <col min="13565" max="13566" width="12.375" style="104" customWidth="1"/>
    <col min="13567" max="13567" width="14.375" style="104" customWidth="1"/>
    <col min="13568" max="13568" width="9.125" style="104"/>
    <col min="13569" max="13569" width="14.375" style="104" bestFit="1" customWidth="1"/>
    <col min="13570" max="13814" width="9.125" style="104"/>
    <col min="13815" max="13815" width="12.375" style="104" customWidth="1"/>
    <col min="13816" max="13816" width="25" style="104" customWidth="1"/>
    <col min="13817" max="13817" width="12.375" style="104" customWidth="1"/>
    <col min="13818" max="13818" width="25.75" style="104" customWidth="1"/>
    <col min="13819" max="13819" width="12.375" style="104" customWidth="1"/>
    <col min="13820" max="13820" width="14.375" style="104" customWidth="1"/>
    <col min="13821" max="13822" width="12.375" style="104" customWidth="1"/>
    <col min="13823" max="13823" width="14.375" style="104" customWidth="1"/>
    <col min="13824" max="13824" width="9.125" style="104"/>
    <col min="13825" max="13825" width="14.375" style="104" bestFit="1" customWidth="1"/>
    <col min="13826" max="14070" width="9.125" style="104"/>
    <col min="14071" max="14071" width="12.375" style="104" customWidth="1"/>
    <col min="14072" max="14072" width="25" style="104" customWidth="1"/>
    <col min="14073" max="14073" width="12.375" style="104" customWidth="1"/>
    <col min="14074" max="14074" width="25.75" style="104" customWidth="1"/>
    <col min="14075" max="14075" width="12.375" style="104" customWidth="1"/>
    <col min="14076" max="14076" width="14.375" style="104" customWidth="1"/>
    <col min="14077" max="14078" width="12.375" style="104" customWidth="1"/>
    <col min="14079" max="14079" width="14.375" style="104" customWidth="1"/>
    <col min="14080" max="14080" width="9.125" style="104"/>
    <col min="14081" max="14081" width="14.375" style="104" bestFit="1" customWidth="1"/>
    <col min="14082" max="14326" width="9.125" style="104"/>
    <col min="14327" max="14327" width="12.375" style="104" customWidth="1"/>
    <col min="14328" max="14328" width="25" style="104" customWidth="1"/>
    <col min="14329" max="14329" width="12.375" style="104" customWidth="1"/>
    <col min="14330" max="14330" width="25.75" style="104" customWidth="1"/>
    <col min="14331" max="14331" width="12.375" style="104" customWidth="1"/>
    <col min="14332" max="14332" width="14.375" style="104" customWidth="1"/>
    <col min="14333" max="14334" width="12.375" style="104" customWidth="1"/>
    <col min="14335" max="14335" width="14.375" style="104" customWidth="1"/>
    <col min="14336" max="14336" width="9.125" style="104"/>
    <col min="14337" max="14337" width="14.375" style="104" bestFit="1" customWidth="1"/>
    <col min="14338" max="14582" width="9.125" style="104"/>
    <col min="14583" max="14583" width="12.375" style="104" customWidth="1"/>
    <col min="14584" max="14584" width="25" style="104" customWidth="1"/>
    <col min="14585" max="14585" width="12.375" style="104" customWidth="1"/>
    <col min="14586" max="14586" width="25.75" style="104" customWidth="1"/>
    <col min="14587" max="14587" width="12.375" style="104" customWidth="1"/>
    <col min="14588" max="14588" width="14.375" style="104" customWidth="1"/>
    <col min="14589" max="14590" width="12.375" style="104" customWidth="1"/>
    <col min="14591" max="14591" width="14.375" style="104" customWidth="1"/>
    <col min="14592" max="14592" width="9.125" style="104"/>
    <col min="14593" max="14593" width="14.375" style="104" bestFit="1" customWidth="1"/>
    <col min="14594" max="14838" width="9.125" style="104"/>
    <col min="14839" max="14839" width="12.375" style="104" customWidth="1"/>
    <col min="14840" max="14840" width="25" style="104" customWidth="1"/>
    <col min="14841" max="14841" width="12.375" style="104" customWidth="1"/>
    <col min="14842" max="14842" width="25.75" style="104" customWidth="1"/>
    <col min="14843" max="14843" width="12.375" style="104" customWidth="1"/>
    <col min="14844" max="14844" width="14.375" style="104" customWidth="1"/>
    <col min="14845" max="14846" width="12.375" style="104" customWidth="1"/>
    <col min="14847" max="14847" width="14.375" style="104" customWidth="1"/>
    <col min="14848" max="14848" width="9.125" style="104"/>
    <col min="14849" max="14849" width="14.375" style="104" bestFit="1" customWidth="1"/>
    <col min="14850" max="15094" width="9.125" style="104"/>
    <col min="15095" max="15095" width="12.375" style="104" customWidth="1"/>
    <col min="15096" max="15096" width="25" style="104" customWidth="1"/>
    <col min="15097" max="15097" width="12.375" style="104" customWidth="1"/>
    <col min="15098" max="15098" width="25.75" style="104" customWidth="1"/>
    <col min="15099" max="15099" width="12.375" style="104" customWidth="1"/>
    <col min="15100" max="15100" width="14.375" style="104" customWidth="1"/>
    <col min="15101" max="15102" width="12.375" style="104" customWidth="1"/>
    <col min="15103" max="15103" width="14.375" style="104" customWidth="1"/>
    <col min="15104" max="15104" width="9.125" style="104"/>
    <col min="15105" max="15105" width="14.375" style="104" bestFit="1" customWidth="1"/>
    <col min="15106" max="15350" width="9.125" style="104"/>
    <col min="15351" max="15351" width="12.375" style="104" customWidth="1"/>
    <col min="15352" max="15352" width="25" style="104" customWidth="1"/>
    <col min="15353" max="15353" width="12.375" style="104" customWidth="1"/>
    <col min="15354" max="15354" width="25.75" style="104" customWidth="1"/>
    <col min="15355" max="15355" width="12.375" style="104" customWidth="1"/>
    <col min="15356" max="15356" width="14.375" style="104" customWidth="1"/>
    <col min="15357" max="15358" width="12.375" style="104" customWidth="1"/>
    <col min="15359" max="15359" width="14.375" style="104" customWidth="1"/>
    <col min="15360" max="15360" width="9.125" style="104"/>
    <col min="15361" max="15361" width="14.375" style="104" bestFit="1" customWidth="1"/>
    <col min="15362" max="15606" width="9.125" style="104"/>
    <col min="15607" max="15607" width="12.375" style="104" customWidth="1"/>
    <col min="15608" max="15608" width="25" style="104" customWidth="1"/>
    <col min="15609" max="15609" width="12.375" style="104" customWidth="1"/>
    <col min="15610" max="15610" width="25.75" style="104" customWidth="1"/>
    <col min="15611" max="15611" width="12.375" style="104" customWidth="1"/>
    <col min="15612" max="15612" width="14.375" style="104" customWidth="1"/>
    <col min="15613" max="15614" width="12.375" style="104" customWidth="1"/>
    <col min="15615" max="15615" width="14.375" style="104" customWidth="1"/>
    <col min="15616" max="15616" width="9.125" style="104"/>
    <col min="15617" max="15617" width="14.375" style="104" bestFit="1" customWidth="1"/>
    <col min="15618" max="15862" width="9.125" style="104"/>
    <col min="15863" max="15863" width="12.375" style="104" customWidth="1"/>
    <col min="15864" max="15864" width="25" style="104" customWidth="1"/>
    <col min="15865" max="15865" width="12.375" style="104" customWidth="1"/>
    <col min="15866" max="15866" width="25.75" style="104" customWidth="1"/>
    <col min="15867" max="15867" width="12.375" style="104" customWidth="1"/>
    <col min="15868" max="15868" width="14.375" style="104" customWidth="1"/>
    <col min="15869" max="15870" width="12.375" style="104" customWidth="1"/>
    <col min="15871" max="15871" width="14.375" style="104" customWidth="1"/>
    <col min="15872" max="15872" width="9.125" style="104"/>
    <col min="15873" max="15873" width="14.375" style="104" bestFit="1" customWidth="1"/>
    <col min="15874" max="16118" width="9.125" style="104"/>
    <col min="16119" max="16119" width="12.375" style="104" customWidth="1"/>
    <col min="16120" max="16120" width="25" style="104" customWidth="1"/>
    <col min="16121" max="16121" width="12.375" style="104" customWidth="1"/>
    <col min="16122" max="16122" width="25.75" style="104" customWidth="1"/>
    <col min="16123" max="16123" width="12.375" style="104" customWidth="1"/>
    <col min="16124" max="16124" width="14.375" style="104" customWidth="1"/>
    <col min="16125" max="16126" width="12.375" style="104" customWidth="1"/>
    <col min="16127" max="16127" width="14.375" style="104" customWidth="1"/>
    <col min="16128" max="16128" width="9.125" style="104"/>
    <col min="16129" max="16129" width="14.375" style="104" bestFit="1" customWidth="1"/>
    <col min="16130" max="16384" width="9.125" style="104"/>
  </cols>
  <sheetData>
    <row r="2" spans="1:14" ht="15.95" customHeight="1">
      <c r="A2" s="104" t="s">
        <v>1678</v>
      </c>
      <c r="B2" s="104" t="s">
        <v>1679</v>
      </c>
      <c r="L2" s="107" t="s">
        <v>1680</v>
      </c>
      <c r="N2" s="104" t="s">
        <v>1681</v>
      </c>
    </row>
    <row r="3" spans="1:14" ht="15.95" customHeight="1">
      <c r="A3" s="103" t="s">
        <v>1647</v>
      </c>
      <c r="B3" s="103" t="s">
        <v>1648</v>
      </c>
      <c r="C3" s="103" t="s">
        <v>1649</v>
      </c>
      <c r="D3" s="103" t="s">
        <v>546</v>
      </c>
      <c r="E3" s="103" t="s">
        <v>1650</v>
      </c>
      <c r="F3" s="103" t="s">
        <v>1651</v>
      </c>
      <c r="G3" s="103" t="s">
        <v>1652</v>
      </c>
      <c r="H3" s="103" t="s">
        <v>1653</v>
      </c>
      <c r="I3" s="103" t="s">
        <v>1654</v>
      </c>
      <c r="K3" s="104" t="s">
        <v>546</v>
      </c>
    </row>
    <row r="4" spans="1:14" ht="15.95" customHeight="1">
      <c r="A4" s="105" t="s">
        <v>1655</v>
      </c>
      <c r="B4" s="105" t="s">
        <v>522</v>
      </c>
      <c r="C4" s="105" t="s">
        <v>1656</v>
      </c>
      <c r="D4" s="105" t="s">
        <v>67</v>
      </c>
      <c r="E4" s="105" t="s">
        <v>1657</v>
      </c>
      <c r="F4" s="106">
        <v>207476875</v>
      </c>
      <c r="G4" s="106">
        <v>0</v>
      </c>
      <c r="H4" s="106">
        <v>0</v>
      </c>
      <c r="I4" s="106">
        <v>207476875</v>
      </c>
      <c r="K4" s="104" t="s">
        <v>67</v>
      </c>
      <c r="L4" s="107">
        <f>SUMIF($D:$D,K4,$I:$I)</f>
        <v>207476875</v>
      </c>
    </row>
    <row r="5" spans="1:14" ht="15.95" customHeight="1">
      <c r="A5" s="105" t="s">
        <v>1655</v>
      </c>
      <c r="B5" s="105" t="s">
        <v>522</v>
      </c>
      <c r="C5" s="105" t="s">
        <v>128</v>
      </c>
      <c r="D5" s="105" t="s">
        <v>129</v>
      </c>
      <c r="E5" s="105" t="s">
        <v>1657</v>
      </c>
      <c r="F5" s="106">
        <v>0</v>
      </c>
      <c r="G5" s="106">
        <v>6828862305</v>
      </c>
      <c r="H5" s="106">
        <v>2731869088</v>
      </c>
      <c r="I5" s="106">
        <v>4096993217</v>
      </c>
      <c r="K5" s="104" t="s">
        <v>129</v>
      </c>
      <c r="L5" s="107">
        <f t="shared" ref="L5:L17" si="0">SUMIF($D:$D,K5,$I:$I)</f>
        <v>4096993217</v>
      </c>
    </row>
    <row r="6" spans="1:14" ht="15.95" customHeight="1">
      <c r="A6" s="105" t="s">
        <v>1655</v>
      </c>
      <c r="B6" s="105" t="s">
        <v>522</v>
      </c>
      <c r="C6" s="105" t="s">
        <v>318</v>
      </c>
      <c r="D6" s="105" t="s">
        <v>319</v>
      </c>
      <c r="E6" s="105" t="s">
        <v>1657</v>
      </c>
      <c r="F6" s="106">
        <v>0</v>
      </c>
      <c r="G6" s="106">
        <v>0</v>
      </c>
      <c r="H6" s="106">
        <v>12831289</v>
      </c>
      <c r="I6" s="106">
        <v>12831289</v>
      </c>
      <c r="K6" s="110" t="s">
        <v>319</v>
      </c>
      <c r="L6" s="111">
        <f t="shared" si="0"/>
        <v>12831289</v>
      </c>
    </row>
    <row r="7" spans="1:14" ht="15.95" customHeight="1">
      <c r="A7" s="105" t="s">
        <v>1658</v>
      </c>
      <c r="B7" s="105" t="s">
        <v>1659</v>
      </c>
      <c r="C7" s="105" t="s">
        <v>1660</v>
      </c>
      <c r="D7" s="105" t="s">
        <v>26</v>
      </c>
      <c r="E7" s="105" t="s">
        <v>1661</v>
      </c>
      <c r="F7" s="106">
        <v>24598200</v>
      </c>
      <c r="G7" s="106">
        <v>3315600</v>
      </c>
      <c r="H7" s="106">
        <v>5934600</v>
      </c>
      <c r="I7" s="106">
        <v>21979200</v>
      </c>
      <c r="K7" s="108" t="s">
        <v>26</v>
      </c>
      <c r="L7" s="109">
        <f t="shared" si="0"/>
        <v>4407094005</v>
      </c>
      <c r="N7" s="104" t="s">
        <v>139</v>
      </c>
    </row>
    <row r="8" spans="1:14" ht="15.95" customHeight="1">
      <c r="A8" s="105" t="s">
        <v>1658</v>
      </c>
      <c r="B8" s="105" t="s">
        <v>1659</v>
      </c>
      <c r="C8" s="105" t="s">
        <v>1360</v>
      </c>
      <c r="D8" s="105" t="s">
        <v>530</v>
      </c>
      <c r="E8" s="105" t="s">
        <v>1661</v>
      </c>
      <c r="F8" s="106">
        <v>9773508262</v>
      </c>
      <c r="G8" s="106">
        <v>0</v>
      </c>
      <c r="H8" s="106">
        <v>0</v>
      </c>
      <c r="I8" s="106">
        <v>9773508262</v>
      </c>
      <c r="K8" s="104" t="s">
        <v>530</v>
      </c>
      <c r="L8" s="107">
        <f t="shared" si="0"/>
        <v>9875157897</v>
      </c>
    </row>
    <row r="9" spans="1:14" ht="15.95" customHeight="1">
      <c r="A9" s="105" t="s">
        <v>1662</v>
      </c>
      <c r="B9" s="105" t="s">
        <v>1663</v>
      </c>
      <c r="C9" s="105" t="s">
        <v>1664</v>
      </c>
      <c r="D9" s="105" t="s">
        <v>139</v>
      </c>
      <c r="E9" s="105" t="s">
        <v>1665</v>
      </c>
      <c r="F9" s="106">
        <v>917350078</v>
      </c>
      <c r="G9" s="106">
        <v>107069301</v>
      </c>
      <c r="H9" s="106">
        <v>138820887</v>
      </c>
      <c r="I9" s="106">
        <v>949101664</v>
      </c>
      <c r="K9" s="108" t="s">
        <v>139</v>
      </c>
      <c r="L9" s="109">
        <f t="shared" si="0"/>
        <v>949101664</v>
      </c>
      <c r="N9" s="104" t="s">
        <v>26</v>
      </c>
    </row>
    <row r="10" spans="1:14" ht="15.95" customHeight="1">
      <c r="A10" s="105" t="s">
        <v>1666</v>
      </c>
      <c r="B10" s="105" t="s">
        <v>515</v>
      </c>
      <c r="C10" s="105" t="s">
        <v>1660</v>
      </c>
      <c r="D10" s="105" t="s">
        <v>26</v>
      </c>
      <c r="E10" s="105" t="s">
        <v>1661</v>
      </c>
      <c r="F10" s="106">
        <v>4726130293</v>
      </c>
      <c r="G10" s="106">
        <v>991418379</v>
      </c>
      <c r="H10" s="106">
        <v>1415260656</v>
      </c>
      <c r="I10" s="106">
        <v>4302288016</v>
      </c>
      <c r="K10" s="108" t="s">
        <v>145</v>
      </c>
      <c r="L10" s="109">
        <f t="shared" si="0"/>
        <v>8601548</v>
      </c>
      <c r="N10" s="104" t="s">
        <v>1682</v>
      </c>
    </row>
    <row r="11" spans="1:14" ht="15.95" customHeight="1">
      <c r="A11" s="105" t="s">
        <v>1666</v>
      </c>
      <c r="B11" s="105" t="s">
        <v>515</v>
      </c>
      <c r="C11" s="105" t="s">
        <v>1667</v>
      </c>
      <c r="D11" s="105" t="s">
        <v>145</v>
      </c>
      <c r="E11" s="105" t="s">
        <v>1661</v>
      </c>
      <c r="F11" s="106">
        <v>102927590</v>
      </c>
      <c r="G11" s="106">
        <v>86301717</v>
      </c>
      <c r="H11" s="106">
        <v>-8024325</v>
      </c>
      <c r="I11" s="106">
        <v>8601548</v>
      </c>
      <c r="K11" s="110" t="s">
        <v>619</v>
      </c>
      <c r="L11" s="111">
        <f t="shared" si="0"/>
        <v>154987587</v>
      </c>
    </row>
    <row r="12" spans="1:14" ht="15.95" customHeight="1">
      <c r="A12" s="105" t="s">
        <v>1666</v>
      </c>
      <c r="B12" s="105" t="s">
        <v>515</v>
      </c>
      <c r="C12" s="105" t="s">
        <v>1360</v>
      </c>
      <c r="D12" s="105" t="s">
        <v>530</v>
      </c>
      <c r="E12" s="105" t="s">
        <v>1661</v>
      </c>
      <c r="F12" s="106">
        <v>101649635</v>
      </c>
      <c r="G12" s="106">
        <v>0</v>
      </c>
      <c r="H12" s="106">
        <v>0</v>
      </c>
      <c r="I12" s="106">
        <v>101649635</v>
      </c>
      <c r="K12" s="110" t="s">
        <v>620</v>
      </c>
      <c r="L12" s="111">
        <f t="shared" si="0"/>
        <v>-24022782</v>
      </c>
    </row>
    <row r="13" spans="1:14" ht="15.95" customHeight="1">
      <c r="A13" s="105" t="s">
        <v>1666</v>
      </c>
      <c r="B13" s="105" t="s">
        <v>515</v>
      </c>
      <c r="C13" s="105" t="s">
        <v>1668</v>
      </c>
      <c r="D13" s="105" t="s">
        <v>619</v>
      </c>
      <c r="E13" s="105" t="s">
        <v>1661</v>
      </c>
      <c r="F13" s="106">
        <v>0</v>
      </c>
      <c r="G13" s="106">
        <v>0</v>
      </c>
      <c r="H13" s="106">
        <v>154987587</v>
      </c>
      <c r="I13" s="106">
        <v>154987587</v>
      </c>
      <c r="K13" s="110" t="s">
        <v>624</v>
      </c>
      <c r="L13" s="111">
        <f t="shared" si="0"/>
        <v>816683602</v>
      </c>
    </row>
    <row r="14" spans="1:14" ht="15.95" customHeight="1">
      <c r="A14" s="105" t="s">
        <v>1666</v>
      </c>
      <c r="B14" s="105" t="s">
        <v>515</v>
      </c>
      <c r="C14" s="105" t="s">
        <v>1669</v>
      </c>
      <c r="D14" s="105" t="s">
        <v>620</v>
      </c>
      <c r="E14" s="105" t="s">
        <v>1661</v>
      </c>
      <c r="F14" s="106">
        <v>0</v>
      </c>
      <c r="G14" s="106">
        <v>0</v>
      </c>
      <c r="H14" s="106">
        <v>-32607</v>
      </c>
      <c r="I14" s="106">
        <v>-32607</v>
      </c>
      <c r="K14" s="110" t="s">
        <v>625</v>
      </c>
      <c r="L14" s="111">
        <f t="shared" si="0"/>
        <v>-394852595</v>
      </c>
    </row>
    <row r="15" spans="1:14" ht="15.95" customHeight="1">
      <c r="A15" s="105" t="s">
        <v>1666</v>
      </c>
      <c r="B15" s="105" t="s">
        <v>515</v>
      </c>
      <c r="C15" s="105" t="s">
        <v>1670</v>
      </c>
      <c r="D15" s="105" t="s">
        <v>624</v>
      </c>
      <c r="E15" s="105" t="s">
        <v>1661</v>
      </c>
      <c r="F15" s="106">
        <v>0</v>
      </c>
      <c r="G15" s="106">
        <v>0</v>
      </c>
      <c r="H15" s="106">
        <v>656244159</v>
      </c>
      <c r="I15" s="106">
        <v>656244159</v>
      </c>
      <c r="K15" s="108" t="s">
        <v>24</v>
      </c>
      <c r="L15" s="109">
        <f t="shared" si="0"/>
        <v>57500000</v>
      </c>
      <c r="N15" s="104" t="s">
        <v>138</v>
      </c>
    </row>
    <row r="16" spans="1:14" ht="15.95" customHeight="1">
      <c r="A16" s="105" t="s">
        <v>1666</v>
      </c>
      <c r="B16" s="105" t="s">
        <v>515</v>
      </c>
      <c r="C16" s="105" t="s">
        <v>1671</v>
      </c>
      <c r="D16" s="105" t="s">
        <v>625</v>
      </c>
      <c r="E16" s="105" t="s">
        <v>1661</v>
      </c>
      <c r="F16" s="106">
        <v>0</v>
      </c>
      <c r="G16" s="106">
        <v>0</v>
      </c>
      <c r="H16" s="106">
        <v>-394852595</v>
      </c>
      <c r="I16" s="106">
        <v>-394852595</v>
      </c>
      <c r="K16" s="108" t="s">
        <v>33</v>
      </c>
      <c r="L16" s="109">
        <f t="shared" si="0"/>
        <v>14535638</v>
      </c>
      <c r="N16" s="104" t="s">
        <v>145</v>
      </c>
    </row>
    <row r="17" spans="1:12" ht="15.95" customHeight="1">
      <c r="A17" s="105" t="s">
        <v>1672</v>
      </c>
      <c r="B17" s="105" t="s">
        <v>1673</v>
      </c>
      <c r="C17" s="105" t="s">
        <v>1674</v>
      </c>
      <c r="D17" s="105" t="s">
        <v>24</v>
      </c>
      <c r="E17" s="105" t="s">
        <v>1661</v>
      </c>
      <c r="F17" s="106">
        <v>0</v>
      </c>
      <c r="G17" s="106">
        <v>57500000</v>
      </c>
      <c r="H17" s="106">
        <v>0</v>
      </c>
      <c r="I17" s="106">
        <v>57500000</v>
      </c>
      <c r="K17" s="104" t="s">
        <v>429</v>
      </c>
      <c r="L17" s="107">
        <f t="shared" si="0"/>
        <v>20182087945</v>
      </c>
    </row>
    <row r="18" spans="1:12" ht="18" customHeight="1">
      <c r="A18" s="105" t="s">
        <v>1672</v>
      </c>
      <c r="B18" s="105" t="s">
        <v>1673</v>
      </c>
      <c r="C18" s="105" t="s">
        <v>1660</v>
      </c>
      <c r="D18" s="105" t="s">
        <v>26</v>
      </c>
      <c r="E18" s="105" t="s">
        <v>1661</v>
      </c>
      <c r="F18" s="106">
        <v>95463378</v>
      </c>
      <c r="G18" s="106">
        <v>-716736</v>
      </c>
      <c r="H18" s="106">
        <v>11919853</v>
      </c>
      <c r="I18" s="106">
        <v>82826789</v>
      </c>
      <c r="K18"/>
    </row>
    <row r="19" spans="1:12" ht="18" customHeight="1">
      <c r="A19" s="105" t="s">
        <v>1672</v>
      </c>
      <c r="B19" s="105" t="s">
        <v>1673</v>
      </c>
      <c r="C19" s="105" t="s">
        <v>1675</v>
      </c>
      <c r="D19" s="105" t="s">
        <v>33</v>
      </c>
      <c r="E19" s="105" t="s">
        <v>1661</v>
      </c>
      <c r="F19" s="106">
        <v>0</v>
      </c>
      <c r="G19" s="106">
        <v>15494615</v>
      </c>
      <c r="H19" s="106">
        <v>958977</v>
      </c>
      <c r="I19" s="106">
        <v>14535638</v>
      </c>
      <c r="K19"/>
    </row>
    <row r="20" spans="1:12" ht="18" customHeight="1">
      <c r="A20" s="105" t="s">
        <v>1672</v>
      </c>
      <c r="B20" s="105" t="s">
        <v>1673</v>
      </c>
      <c r="C20" s="105" t="s">
        <v>1669</v>
      </c>
      <c r="D20" s="105" t="s">
        <v>620</v>
      </c>
      <c r="E20" s="105" t="s">
        <v>1661</v>
      </c>
      <c r="F20" s="106">
        <v>0</v>
      </c>
      <c r="G20" s="106">
        <v>0</v>
      </c>
      <c r="H20" s="106">
        <v>-23990175</v>
      </c>
      <c r="I20" s="106">
        <v>-23990175</v>
      </c>
      <c r="K20"/>
    </row>
    <row r="21" spans="1:12" ht="18" customHeight="1">
      <c r="A21" s="105" t="s">
        <v>1676</v>
      </c>
      <c r="B21" s="105" t="s">
        <v>519</v>
      </c>
      <c r="C21" s="105" t="s">
        <v>1670</v>
      </c>
      <c r="D21" s="105" t="s">
        <v>624</v>
      </c>
      <c r="E21" s="105" t="s">
        <v>1661</v>
      </c>
      <c r="F21" s="106">
        <v>0</v>
      </c>
      <c r="G21" s="106">
        <v>0</v>
      </c>
      <c r="H21" s="106">
        <v>160439443</v>
      </c>
      <c r="I21" s="106">
        <v>160439443</v>
      </c>
      <c r="K21"/>
    </row>
    <row r="22" spans="1:12" ht="18" customHeight="1">
      <c r="A22" s="105"/>
      <c r="B22" s="105"/>
      <c r="C22" s="105"/>
      <c r="D22" s="105" t="s">
        <v>429</v>
      </c>
      <c r="E22" s="105"/>
      <c r="F22" s="106">
        <v>15949104311</v>
      </c>
      <c r="G22" s="106">
        <v>8089245181</v>
      </c>
      <c r="H22" s="106">
        <v>4862366837</v>
      </c>
      <c r="I22" s="106">
        <v>20182087945</v>
      </c>
      <c r="K22"/>
    </row>
    <row r="23" spans="1:12" ht="15.95" customHeight="1">
      <c r="E23" s="104" t="s">
        <v>1677</v>
      </c>
    </row>
  </sheetData>
  <phoneticPr fontId="1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223055"/>
  </sheetPr>
  <dimension ref="D3:L68"/>
  <sheetViews>
    <sheetView showGridLines="0" zoomScaleNormal="100" workbookViewId="0">
      <pane xSplit="5" ySplit="4" topLeftCell="F41" activePane="bottomRight" state="frozen"/>
      <selection sqref="A1:XFD1048576"/>
      <selection pane="topRight" sqref="A1:XFD1048576"/>
      <selection pane="bottomLeft" sqref="A1:XFD1048576"/>
      <selection pane="bottomRight" activeCell="L57" sqref="L56:L57"/>
    </sheetView>
  </sheetViews>
  <sheetFormatPr defaultColWidth="8.75" defaultRowHeight="18" customHeight="1"/>
  <cols>
    <col min="1" max="3" width="2.375" style="36" customWidth="1"/>
    <col min="4" max="23" width="20.375" style="36" customWidth="1"/>
    <col min="24" max="16384" width="8.75" style="36"/>
  </cols>
  <sheetData>
    <row r="3" spans="4:10" ht="18" customHeight="1" thickBot="1"/>
    <row r="4" spans="4:10" s="324" customFormat="1" ht="18" customHeight="1">
      <c r="D4" s="320"/>
      <c r="E4" s="321" t="s">
        <v>416</v>
      </c>
      <c r="F4" s="322" t="s">
        <v>395</v>
      </c>
      <c r="G4" s="322" t="s">
        <v>396</v>
      </c>
      <c r="H4" s="322" t="s">
        <v>397</v>
      </c>
      <c r="I4" s="322" t="s">
        <v>398</v>
      </c>
      <c r="J4" s="323" t="s">
        <v>399</v>
      </c>
    </row>
    <row r="5" spans="4:10" s="328" customFormat="1" ht="18" customHeight="1">
      <c r="D5" s="325" t="s">
        <v>415</v>
      </c>
      <c r="E5" s="49"/>
      <c r="F5" s="326"/>
      <c r="G5" s="326"/>
      <c r="H5" s="326"/>
      <c r="I5" s="326"/>
      <c r="J5" s="327"/>
    </row>
    <row r="6" spans="4:10" s="266" customFormat="1" ht="18" customHeight="1">
      <c r="D6" s="329"/>
      <c r="E6" s="330" t="s">
        <v>417</v>
      </c>
      <c r="F6" s="331"/>
      <c r="G6" s="331"/>
      <c r="H6" s="331"/>
      <c r="I6" s="331"/>
      <c r="J6" s="332"/>
    </row>
    <row r="7" spans="4:10" ht="18" customHeight="1">
      <c r="D7" s="202"/>
      <c r="E7" s="36" t="s">
        <v>413</v>
      </c>
      <c r="F7" s="37">
        <v>0.47856800541709282</v>
      </c>
      <c r="G7" s="37">
        <v>0.40839243808672687</v>
      </c>
      <c r="H7" s="37">
        <f>H11/H9</f>
        <v>0.40336011563338686</v>
      </c>
      <c r="I7" s="37">
        <v>0.39829237655209598</v>
      </c>
      <c r="J7" s="333">
        <f>I7</f>
        <v>0.39829237655209598</v>
      </c>
    </row>
    <row r="8" spans="4:10" s="58" customFormat="1" ht="18" customHeight="1">
      <c r="D8" s="334"/>
      <c r="E8" s="335" t="s">
        <v>414</v>
      </c>
      <c r="F8" s="335"/>
      <c r="G8" s="335"/>
      <c r="H8" s="335"/>
      <c r="I8" s="335"/>
      <c r="J8" s="336"/>
    </row>
    <row r="9" spans="4:10" ht="18" customHeight="1">
      <c r="D9" s="202"/>
      <c r="E9" s="36" t="s">
        <v>413</v>
      </c>
      <c r="F9" s="36">
        <v>1155016576</v>
      </c>
      <c r="G9" s="36">
        <v>856422094</v>
      </c>
      <c r="H9" s="36">
        <v>622300548</v>
      </c>
      <c r="I9" s="36">
        <v>813003348</v>
      </c>
      <c r="J9" s="201">
        <f>I9</f>
        <v>813003348</v>
      </c>
    </row>
    <row r="10" spans="4:10" s="58" customFormat="1" ht="18" customHeight="1">
      <c r="D10" s="334"/>
      <c r="E10" s="335" t="s">
        <v>418</v>
      </c>
      <c r="F10" s="335"/>
      <c r="G10" s="335"/>
      <c r="H10" s="335"/>
      <c r="I10" s="335"/>
      <c r="J10" s="336"/>
    </row>
    <row r="11" spans="4:10" ht="18" customHeight="1">
      <c r="D11" s="202"/>
      <c r="E11" s="36" t="s">
        <v>413</v>
      </c>
      <c r="F11" s="36">
        <f>ROUND(F7*F9,0)</f>
        <v>552753979</v>
      </c>
      <c r="G11" s="36">
        <f>ROUND(G7*G9,0)</f>
        <v>349756307</v>
      </c>
      <c r="H11" s="36">
        <v>251011221</v>
      </c>
      <c r="J11" s="201"/>
    </row>
    <row r="12" spans="4:10" s="58" customFormat="1" ht="18" customHeight="1">
      <c r="D12" s="334"/>
      <c r="E12" s="335"/>
      <c r="F12" s="335" t="b">
        <f>SUM(F13:F18)=0</f>
        <v>1</v>
      </c>
      <c r="G12" s="335"/>
      <c r="H12" s="335"/>
      <c r="I12" s="335"/>
      <c r="J12" s="336"/>
    </row>
    <row r="13" spans="4:10" ht="18" customHeight="1">
      <c r="D13" s="258">
        <v>115200</v>
      </c>
      <c r="E13" s="36" t="s">
        <v>45</v>
      </c>
      <c r="F13" s="36">
        <f>-F11</f>
        <v>-552753979</v>
      </c>
      <c r="G13" s="36">
        <f>-G11</f>
        <v>-349756307</v>
      </c>
      <c r="H13" s="36">
        <f>-H11</f>
        <v>-251011221</v>
      </c>
      <c r="I13" s="36">
        <f>-I11</f>
        <v>0</v>
      </c>
      <c r="J13" s="201">
        <f>-J11</f>
        <v>0</v>
      </c>
    </row>
    <row r="14" spans="4:10" ht="18" customHeight="1">
      <c r="D14" s="258" t="s">
        <v>242</v>
      </c>
      <c r="E14" s="36" t="s">
        <v>243</v>
      </c>
      <c r="F14" s="36">
        <f>-F13</f>
        <v>552753979</v>
      </c>
      <c r="G14" s="36">
        <f>-G13</f>
        <v>349756307</v>
      </c>
      <c r="H14" s="36">
        <f>-H13</f>
        <v>251011221</v>
      </c>
      <c r="I14" s="36">
        <f>-I13</f>
        <v>0</v>
      </c>
      <c r="J14" s="201">
        <f>-J13</f>
        <v>0</v>
      </c>
    </row>
    <row r="15" spans="4:10" ht="18" customHeight="1">
      <c r="D15" s="258" t="s">
        <v>1364</v>
      </c>
      <c r="E15" s="36" t="s">
        <v>403</v>
      </c>
      <c r="F15" s="36">
        <v>251606202</v>
      </c>
      <c r="G15" s="36">
        <f>-G16</f>
        <v>552753979</v>
      </c>
      <c r="H15" s="36">
        <f>-H16</f>
        <v>552753979</v>
      </c>
      <c r="I15" s="36">
        <f>-I16</f>
        <v>552753979</v>
      </c>
      <c r="J15" s="201">
        <f>-J16</f>
        <v>552753979</v>
      </c>
    </row>
    <row r="16" spans="4:10" ht="18" customHeight="1">
      <c r="D16" s="258" t="s">
        <v>242</v>
      </c>
      <c r="E16" s="36" t="s">
        <v>243</v>
      </c>
      <c r="F16" s="36">
        <f>-F15</f>
        <v>-251606202</v>
      </c>
      <c r="G16" s="36">
        <f>-F14</f>
        <v>-552753979</v>
      </c>
      <c r="H16" s="36">
        <f>-F14</f>
        <v>-552753979</v>
      </c>
      <c r="I16" s="36">
        <f>-F14</f>
        <v>-552753979</v>
      </c>
      <c r="J16" s="201">
        <f>-F14</f>
        <v>-552753979</v>
      </c>
    </row>
    <row r="17" spans="4:10" ht="18" customHeight="1">
      <c r="D17" s="258" t="s">
        <v>1365</v>
      </c>
      <c r="E17" s="36" t="s">
        <v>210</v>
      </c>
      <c r="F17" s="36">
        <f>SUM(F16,F14)</f>
        <v>301147777</v>
      </c>
      <c r="G17" s="36">
        <f>SUM(G16,G14)</f>
        <v>-202997672</v>
      </c>
      <c r="H17" s="36">
        <f>SUM(H16,H14)</f>
        <v>-301742758</v>
      </c>
      <c r="I17" s="36">
        <f>SUM(I16,I14)</f>
        <v>-552753979</v>
      </c>
      <c r="J17" s="201">
        <f>SUM(J16,J14)</f>
        <v>-552753979</v>
      </c>
    </row>
    <row r="18" spans="4:10" ht="18" customHeight="1">
      <c r="D18" s="258"/>
      <c r="E18" s="36" t="s">
        <v>423</v>
      </c>
      <c r="F18" s="36">
        <f>-F17</f>
        <v>-301147777</v>
      </c>
      <c r="G18" s="36">
        <f>-G17</f>
        <v>202997672</v>
      </c>
      <c r="H18" s="36">
        <f>-H17</f>
        <v>301742758</v>
      </c>
      <c r="I18" s="36">
        <f>-I17</f>
        <v>552753979</v>
      </c>
      <c r="J18" s="201">
        <f>-J17</f>
        <v>552753979</v>
      </c>
    </row>
    <row r="19" spans="4:10" s="328" customFormat="1" ht="18" customHeight="1">
      <c r="D19" s="325" t="s">
        <v>419</v>
      </c>
      <c r="E19" s="49"/>
      <c r="F19" s="326"/>
      <c r="G19" s="326"/>
      <c r="H19" s="326"/>
      <c r="I19" s="326"/>
      <c r="J19" s="327"/>
    </row>
    <row r="20" spans="4:10" s="266" customFormat="1" ht="18" customHeight="1">
      <c r="D20" s="329"/>
      <c r="E20" s="330" t="s">
        <v>417</v>
      </c>
      <c r="F20" s="331"/>
      <c r="G20" s="331"/>
      <c r="H20" s="331"/>
      <c r="I20" s="331"/>
      <c r="J20" s="332"/>
    </row>
    <row r="21" spans="4:10" ht="18" customHeight="1">
      <c r="D21" s="202"/>
      <c r="E21" s="36" t="s">
        <v>421</v>
      </c>
      <c r="F21" s="37">
        <v>0.42930000000000001</v>
      </c>
      <c r="G21" s="37"/>
      <c r="H21" s="37"/>
      <c r="J21" s="201"/>
    </row>
    <row r="22" spans="4:10" ht="18" customHeight="1">
      <c r="D22" s="202"/>
      <c r="E22" s="36" t="s">
        <v>420</v>
      </c>
      <c r="F22" s="37">
        <v>0.19480178114206378</v>
      </c>
      <c r="G22" s="37">
        <v>0.1948017679530924</v>
      </c>
      <c r="H22" s="37">
        <v>0.1948017679530924</v>
      </c>
      <c r="I22" s="37">
        <v>0.1948017679530924</v>
      </c>
      <c r="J22" s="201"/>
    </row>
    <row r="23" spans="4:10" ht="18" customHeight="1">
      <c r="D23" s="202"/>
      <c r="E23" s="36" t="s">
        <v>422</v>
      </c>
      <c r="F23" s="37">
        <v>0.1925390640009832</v>
      </c>
      <c r="G23" s="37">
        <v>0</v>
      </c>
      <c r="H23" s="37">
        <v>0</v>
      </c>
      <c r="I23" s="37">
        <v>0</v>
      </c>
      <c r="J23" s="201"/>
    </row>
    <row r="24" spans="4:10" s="58" customFormat="1" ht="18" customHeight="1">
      <c r="D24" s="334"/>
      <c r="E24" s="335" t="s">
        <v>414</v>
      </c>
      <c r="F24" s="335"/>
      <c r="G24" s="335"/>
      <c r="H24" s="335"/>
      <c r="I24" s="335"/>
      <c r="J24" s="336"/>
    </row>
    <row r="25" spans="4:10" ht="18" customHeight="1">
      <c r="D25" s="202"/>
      <c r="E25" s="36" t="s">
        <v>421</v>
      </c>
      <c r="J25" s="201"/>
    </row>
    <row r="26" spans="4:10" ht="18" customHeight="1">
      <c r="D26" s="202"/>
      <c r="E26" s="36" t="s">
        <v>420</v>
      </c>
      <c r="F26" s="36">
        <v>37853398</v>
      </c>
      <c r="G26" s="36">
        <v>34919026</v>
      </c>
      <c r="H26" s="36">
        <v>0</v>
      </c>
      <c r="J26" s="201"/>
    </row>
    <row r="27" spans="4:10" ht="18" customHeight="1">
      <c r="D27" s="202"/>
      <c r="E27" s="36" t="s">
        <v>422</v>
      </c>
      <c r="J27" s="201"/>
    </row>
    <row r="28" spans="4:10" s="58" customFormat="1" ht="18" customHeight="1">
      <c r="D28" s="334"/>
      <c r="E28" s="335" t="s">
        <v>418</v>
      </c>
      <c r="F28" s="335"/>
      <c r="G28" s="335"/>
      <c r="H28" s="335"/>
      <c r="I28" s="335"/>
      <c r="J28" s="336"/>
    </row>
    <row r="29" spans="4:10" ht="18" customHeight="1">
      <c r="D29" s="202"/>
      <c r="E29" s="36" t="s">
        <v>421</v>
      </c>
      <c r="F29" s="36">
        <f t="shared" ref="F29:G31" si="0">ROUND(F21*F25,0)</f>
        <v>0</v>
      </c>
      <c r="G29" s="36">
        <f t="shared" si="0"/>
        <v>0</v>
      </c>
      <c r="H29" s="36">
        <f t="shared" ref="H29" si="1">ROUND(H21*H25,0)</f>
        <v>0</v>
      </c>
      <c r="J29" s="201"/>
    </row>
    <row r="30" spans="4:10" ht="18" customHeight="1">
      <c r="D30" s="202"/>
      <c r="E30" s="36" t="s">
        <v>420</v>
      </c>
      <c r="F30" s="36">
        <f t="shared" si="0"/>
        <v>7373909</v>
      </c>
      <c r="G30" s="36">
        <f t="shared" si="0"/>
        <v>6802288</v>
      </c>
      <c r="H30" s="36">
        <f t="shared" ref="H30" si="2">ROUND(H22*H26,0)</f>
        <v>0</v>
      </c>
      <c r="J30" s="201"/>
    </row>
    <row r="31" spans="4:10" ht="18" customHeight="1">
      <c r="D31" s="202"/>
      <c r="E31" s="36" t="s">
        <v>422</v>
      </c>
      <c r="F31" s="36">
        <f t="shared" si="0"/>
        <v>0</v>
      </c>
      <c r="G31" s="36">
        <f t="shared" si="0"/>
        <v>0</v>
      </c>
      <c r="H31" s="36">
        <f t="shared" ref="H31" si="3">ROUND(H23*H27,0)</f>
        <v>0</v>
      </c>
      <c r="J31" s="201"/>
    </row>
    <row r="32" spans="4:10" s="58" customFormat="1" ht="18" customHeight="1">
      <c r="D32" s="334"/>
      <c r="E32" s="335"/>
      <c r="F32" s="335" t="b">
        <f>SUM(F33:F38)=0</f>
        <v>1</v>
      </c>
      <c r="G32" s="335"/>
      <c r="H32" s="335"/>
      <c r="I32" s="335"/>
      <c r="J32" s="336"/>
    </row>
    <row r="33" spans="4:12" ht="18" customHeight="1">
      <c r="D33" s="258">
        <v>115200</v>
      </c>
      <c r="E33" s="36" t="s">
        <v>45</v>
      </c>
      <c r="F33" s="36">
        <f>-F30</f>
        <v>-7373909</v>
      </c>
      <c r="G33" s="36">
        <f>-G30</f>
        <v>-6802288</v>
      </c>
      <c r="H33" s="36">
        <f>-H30</f>
        <v>0</v>
      </c>
      <c r="J33" s="201"/>
    </row>
    <row r="34" spans="4:12" ht="18" customHeight="1">
      <c r="D34" s="258" t="s">
        <v>242</v>
      </c>
      <c r="E34" s="36" t="s">
        <v>243</v>
      </c>
      <c r="F34" s="36">
        <f>-F33</f>
        <v>7373909</v>
      </c>
      <c r="G34" s="36">
        <f>-G33</f>
        <v>6802288</v>
      </c>
      <c r="H34" s="36">
        <f>-H33</f>
        <v>0</v>
      </c>
      <c r="J34" s="201"/>
    </row>
    <row r="35" spans="4:12" ht="18" customHeight="1">
      <c r="D35" s="258" t="s">
        <v>1364</v>
      </c>
      <c r="E35" s="36" t="s">
        <v>403</v>
      </c>
      <c r="F35" s="36">
        <v>25808411</v>
      </c>
      <c r="G35" s="36">
        <f>-G36</f>
        <v>7373909</v>
      </c>
      <c r="H35" s="36">
        <f>-H36</f>
        <v>7373909</v>
      </c>
      <c r="I35" s="36">
        <f>-I36</f>
        <v>7373909</v>
      </c>
      <c r="J35" s="201">
        <f>-J36</f>
        <v>7373909</v>
      </c>
    </row>
    <row r="36" spans="4:12" ht="18" customHeight="1">
      <c r="D36" s="258" t="s">
        <v>242</v>
      </c>
      <c r="E36" s="36" t="s">
        <v>243</v>
      </c>
      <c r="F36" s="36">
        <f>-F35</f>
        <v>-25808411</v>
      </c>
      <c r="G36" s="36">
        <f>-F34</f>
        <v>-7373909</v>
      </c>
      <c r="H36" s="36">
        <f>-F34</f>
        <v>-7373909</v>
      </c>
      <c r="I36" s="36">
        <f>-F34</f>
        <v>-7373909</v>
      </c>
      <c r="J36" s="201">
        <f>-F34</f>
        <v>-7373909</v>
      </c>
    </row>
    <row r="37" spans="4:12" ht="18" customHeight="1">
      <c r="D37" s="258" t="s">
        <v>1365</v>
      </c>
      <c r="E37" s="36" t="s">
        <v>210</v>
      </c>
      <c r="F37" s="36">
        <f>SUM(F36,F34)</f>
        <v>-18434502</v>
      </c>
      <c r="G37" s="36">
        <f>SUM(G36,G34)</f>
        <v>-571621</v>
      </c>
      <c r="H37" s="36">
        <f>SUM(H36,H34)</f>
        <v>-7373909</v>
      </c>
      <c r="I37" s="36">
        <f>SUM(I36,I34)</f>
        <v>-7373909</v>
      </c>
      <c r="J37" s="201">
        <f>SUM(J36,J34)</f>
        <v>-7373909</v>
      </c>
    </row>
    <row r="38" spans="4:12" ht="18" customHeight="1">
      <c r="D38" s="258"/>
      <c r="E38" s="36" t="s">
        <v>423</v>
      </c>
      <c r="F38" s="36">
        <f>-F37</f>
        <v>18434502</v>
      </c>
      <c r="G38" s="36">
        <f>-G37</f>
        <v>571621</v>
      </c>
      <c r="H38" s="36">
        <f>-H37</f>
        <v>7373909</v>
      </c>
      <c r="I38" s="36">
        <f>-I37</f>
        <v>7373909</v>
      </c>
      <c r="J38" s="201">
        <f>-J37</f>
        <v>7373909</v>
      </c>
    </row>
    <row r="39" spans="4:12" ht="18" customHeight="1">
      <c r="D39" s="325" t="s">
        <v>1626</v>
      </c>
      <c r="E39" s="337"/>
      <c r="F39" s="337"/>
      <c r="G39" s="337"/>
      <c r="H39" s="337"/>
      <c r="I39" s="337"/>
      <c r="J39" s="338"/>
    </row>
    <row r="40" spans="4:12" s="266" customFormat="1" ht="18" customHeight="1">
      <c r="D40" s="329"/>
      <c r="E40" s="330" t="s">
        <v>417</v>
      </c>
      <c r="F40" s="331"/>
      <c r="G40" s="331"/>
      <c r="H40" s="331"/>
      <c r="I40" s="331"/>
      <c r="J40" s="332"/>
    </row>
    <row r="41" spans="4:12" ht="18" customHeight="1">
      <c r="D41" s="202"/>
      <c r="E41" s="36" t="s">
        <v>422</v>
      </c>
      <c r="F41" s="37">
        <v>0</v>
      </c>
      <c r="G41" s="37">
        <v>0.12005333333333333</v>
      </c>
      <c r="H41" s="37">
        <v>0.12005333333333333</v>
      </c>
      <c r="I41" s="37">
        <v>0.12005333333333333</v>
      </c>
      <c r="J41" s="201">
        <v>0.12005333333333333</v>
      </c>
    </row>
    <row r="42" spans="4:12" s="58" customFormat="1" ht="18" customHeight="1">
      <c r="D42" s="334"/>
      <c r="E42" s="335" t="s">
        <v>414</v>
      </c>
      <c r="F42" s="335"/>
      <c r="G42" s="335"/>
      <c r="H42" s="335"/>
      <c r="I42" s="335"/>
      <c r="J42" s="336"/>
    </row>
    <row r="43" spans="4:12" ht="18" customHeight="1">
      <c r="D43" s="202"/>
      <c r="E43" s="36" t="s">
        <v>422</v>
      </c>
      <c r="F43" s="36">
        <v>0</v>
      </c>
      <c r="G43" s="36">
        <v>34213288</v>
      </c>
      <c r="H43" s="36">
        <v>30892054</v>
      </c>
      <c r="I43" s="36">
        <f>ROUND(K43*L43,)</f>
        <v>30475870</v>
      </c>
      <c r="J43" s="201">
        <f>ROUND(K43*L43,)</f>
        <v>30475870</v>
      </c>
      <c r="K43" s="339">
        <v>2865701</v>
      </c>
      <c r="L43" s="339">
        <v>10.6347</v>
      </c>
    </row>
    <row r="44" spans="4:12" s="58" customFormat="1" ht="18" customHeight="1">
      <c r="D44" s="334"/>
      <c r="E44" s="335" t="s">
        <v>418</v>
      </c>
      <c r="F44" s="335"/>
      <c r="G44" s="335"/>
      <c r="H44" s="335"/>
      <c r="I44" s="335"/>
      <c r="J44" s="336"/>
    </row>
    <row r="45" spans="4:12" ht="18" customHeight="1">
      <c r="D45" s="202"/>
      <c r="E45" s="36" t="s">
        <v>422</v>
      </c>
      <c r="F45" s="36">
        <f>ROUND(F43*F41,0)</f>
        <v>0</v>
      </c>
      <c r="G45" s="36">
        <f>ROUND(G43*G41,0)</f>
        <v>4107419</v>
      </c>
      <c r="H45" s="36">
        <f>ROUND(H43*H41,0)</f>
        <v>3708694</v>
      </c>
      <c r="I45" s="36">
        <f>ROUND(I43*I41,0)</f>
        <v>3658730</v>
      </c>
      <c r="J45" s="201">
        <f>ROUND(J43*J41,0)</f>
        <v>3658730</v>
      </c>
    </row>
    <row r="46" spans="4:12" s="58" customFormat="1" ht="18" customHeight="1">
      <c r="D46" s="334"/>
      <c r="E46" s="335"/>
      <c r="F46" s="335" t="b">
        <f>SUM(F47:F52)=0</f>
        <v>1</v>
      </c>
      <c r="G46" s="335"/>
      <c r="H46" s="335"/>
      <c r="I46" s="335"/>
      <c r="J46" s="336"/>
    </row>
    <row r="47" spans="4:12" ht="18" customHeight="1">
      <c r="D47" s="258">
        <v>115200</v>
      </c>
      <c r="E47" s="36" t="s">
        <v>45</v>
      </c>
      <c r="F47" s="36">
        <f>-F45</f>
        <v>0</v>
      </c>
      <c r="G47" s="36">
        <f>-G45</f>
        <v>-4107419</v>
      </c>
      <c r="H47" s="36">
        <f>-H45</f>
        <v>-3708694</v>
      </c>
      <c r="I47" s="36">
        <f>-I45</f>
        <v>-3658730</v>
      </c>
      <c r="J47" s="201">
        <f>-J45</f>
        <v>-3658730</v>
      </c>
    </row>
    <row r="48" spans="4:12" ht="18" customHeight="1">
      <c r="D48" s="258" t="s">
        <v>242</v>
      </c>
      <c r="E48" s="36" t="s">
        <v>243</v>
      </c>
      <c r="F48" s="36">
        <f>-F47</f>
        <v>0</v>
      </c>
      <c r="G48" s="36">
        <f>-G47</f>
        <v>4107419</v>
      </c>
      <c r="H48" s="36">
        <f>-H47</f>
        <v>3708694</v>
      </c>
      <c r="I48" s="36">
        <f>-I47</f>
        <v>3658730</v>
      </c>
      <c r="J48" s="201">
        <f>-J47</f>
        <v>3658730</v>
      </c>
    </row>
    <row r="49" spans="4:10" ht="18" customHeight="1">
      <c r="D49" s="258" t="s">
        <v>1364</v>
      </c>
      <c r="E49" s="36" t="s">
        <v>403</v>
      </c>
      <c r="F49" s="36">
        <v>0</v>
      </c>
      <c r="G49" s="36">
        <f>-G50</f>
        <v>0</v>
      </c>
      <c r="H49" s="36">
        <f>-H50</f>
        <v>0</v>
      </c>
      <c r="J49" s="201"/>
    </row>
    <row r="50" spans="4:10" ht="18" customHeight="1">
      <c r="D50" s="258" t="s">
        <v>242</v>
      </c>
      <c r="E50" s="36" t="s">
        <v>243</v>
      </c>
      <c r="F50" s="36">
        <v>0</v>
      </c>
      <c r="G50" s="36">
        <f>-F48</f>
        <v>0</v>
      </c>
      <c r="H50" s="36">
        <f>-F48</f>
        <v>0</v>
      </c>
      <c r="J50" s="201"/>
    </row>
    <row r="51" spans="4:10" ht="18" customHeight="1">
      <c r="D51" s="258" t="s">
        <v>1365</v>
      </c>
      <c r="E51" s="36" t="s">
        <v>210</v>
      </c>
      <c r="F51" s="36">
        <v>0</v>
      </c>
      <c r="G51" s="36">
        <f>SUM(G50,G48)</f>
        <v>4107419</v>
      </c>
      <c r="H51" s="36">
        <f>SUM(H50,H48)</f>
        <v>3708694</v>
      </c>
      <c r="I51" s="36">
        <f>SUM(I50,I48)</f>
        <v>3658730</v>
      </c>
      <c r="J51" s="201">
        <f>SUM(J50,J48)</f>
        <v>3658730</v>
      </c>
    </row>
    <row r="52" spans="4:10" ht="18" customHeight="1">
      <c r="D52" s="258"/>
      <c r="E52" s="36" t="s">
        <v>423</v>
      </c>
      <c r="F52" s="36">
        <v>0</v>
      </c>
      <c r="G52" s="36">
        <f>-G51</f>
        <v>-4107419</v>
      </c>
      <c r="H52" s="36">
        <f>-H51</f>
        <v>-3708694</v>
      </c>
      <c r="I52" s="36">
        <f>-I51</f>
        <v>-3658730</v>
      </c>
      <c r="J52" s="201">
        <f>-J51</f>
        <v>-3658730</v>
      </c>
    </row>
    <row r="53" spans="4:10" s="58" customFormat="1" ht="18" customHeight="1">
      <c r="D53" s="325" t="s">
        <v>424</v>
      </c>
      <c r="E53" s="49"/>
      <c r="F53" s="49"/>
      <c r="G53" s="49"/>
      <c r="H53" s="49"/>
      <c r="I53" s="49"/>
      <c r="J53" s="340"/>
    </row>
    <row r="54" spans="4:10" ht="18" customHeight="1">
      <c r="D54" s="202" t="s">
        <v>425</v>
      </c>
      <c r="E54" s="36" t="s">
        <v>428</v>
      </c>
      <c r="I54" s="36">
        <v>0</v>
      </c>
      <c r="J54" s="201">
        <v>0</v>
      </c>
    </row>
    <row r="55" spans="4:10" ht="18" customHeight="1">
      <c r="D55" s="202" t="s">
        <v>426</v>
      </c>
      <c r="E55" s="36" t="s">
        <v>428</v>
      </c>
      <c r="F55" s="36">
        <v>2590571062</v>
      </c>
      <c r="G55" s="36">
        <v>3980039925</v>
      </c>
      <c r="H55" s="36">
        <v>4302288016</v>
      </c>
      <c r="I55" s="36">
        <v>0</v>
      </c>
      <c r="J55" s="201">
        <v>0</v>
      </c>
    </row>
    <row r="56" spans="4:10" ht="18" customHeight="1">
      <c r="D56" s="202" t="s">
        <v>427</v>
      </c>
      <c r="E56" s="36" t="s">
        <v>428</v>
      </c>
      <c r="I56" s="36">
        <v>0</v>
      </c>
      <c r="J56" s="201">
        <v>0</v>
      </c>
    </row>
    <row r="57" spans="4:10" s="58" customFormat="1" ht="18" customHeight="1">
      <c r="D57" s="341"/>
      <c r="E57" s="58" t="s">
        <v>429</v>
      </c>
      <c r="F57" s="58">
        <f>SUM(F54:F56)</f>
        <v>2590571062</v>
      </c>
      <c r="G57" s="58">
        <f t="shared" ref="G57:H57" si="4">SUM(G54:G56)</f>
        <v>3980039925</v>
      </c>
      <c r="H57" s="58">
        <f t="shared" si="4"/>
        <v>4302288016</v>
      </c>
      <c r="I57" s="58">
        <v>0</v>
      </c>
      <c r="J57" s="342">
        <v>0</v>
      </c>
    </row>
    <row r="58" spans="4:10" s="58" customFormat="1" ht="18" customHeight="1">
      <c r="D58" s="334"/>
      <c r="E58" s="335"/>
      <c r="F58" s="335" t="b">
        <f>SUM(F59:F63)=0</f>
        <v>1</v>
      </c>
      <c r="G58" s="335"/>
      <c r="H58" s="335"/>
      <c r="I58" s="335"/>
      <c r="J58" s="336"/>
    </row>
    <row r="59" spans="4:10" ht="18" customHeight="1">
      <c r="D59" s="343" t="s">
        <v>302</v>
      </c>
      <c r="E59" s="36" t="s">
        <v>303</v>
      </c>
      <c r="F59" s="36">
        <f>-SUM(F60:F61)</f>
        <v>-187821115</v>
      </c>
      <c r="G59" s="36">
        <f>-SUM(G60:G61)</f>
        <v>-1389468863</v>
      </c>
      <c r="H59" s="36">
        <f>-SUM(H60:H61)</f>
        <v>-1711716954</v>
      </c>
      <c r="I59" s="36">
        <v>0</v>
      </c>
      <c r="J59" s="201">
        <v>0</v>
      </c>
    </row>
    <row r="60" spans="4:10" ht="18" customHeight="1">
      <c r="D60" s="343" t="s">
        <v>1364</v>
      </c>
      <c r="E60" s="36" t="s">
        <v>403</v>
      </c>
      <c r="F60" s="36">
        <v>-2402749947</v>
      </c>
      <c r="G60" s="36">
        <f>-F61</f>
        <v>-2590571062</v>
      </c>
      <c r="H60" s="36">
        <f>-F61</f>
        <v>-2590571062</v>
      </c>
      <c r="I60" s="36">
        <v>0</v>
      </c>
      <c r="J60" s="201">
        <v>0</v>
      </c>
    </row>
    <row r="61" spans="4:10" ht="18" customHeight="1">
      <c r="D61" s="343">
        <v>111732</v>
      </c>
      <c r="E61" s="36" t="s">
        <v>27</v>
      </c>
      <c r="F61" s="36">
        <f>F57</f>
        <v>2590571062</v>
      </c>
      <c r="G61" s="36">
        <f>G57</f>
        <v>3980039925</v>
      </c>
      <c r="H61" s="36">
        <f>H57</f>
        <v>4302288016</v>
      </c>
      <c r="I61" s="36">
        <v>0</v>
      </c>
      <c r="J61" s="201">
        <v>0</v>
      </c>
    </row>
    <row r="62" spans="4:10" ht="18" customHeight="1">
      <c r="D62" s="202" t="s">
        <v>1365</v>
      </c>
      <c r="E62" s="36" t="s">
        <v>210</v>
      </c>
      <c r="F62" s="36">
        <f>F59</f>
        <v>-187821115</v>
      </c>
      <c r="G62" s="36">
        <f>G59</f>
        <v>-1389468863</v>
      </c>
      <c r="H62" s="36">
        <f>H59</f>
        <v>-1711716954</v>
      </c>
      <c r="I62" s="36">
        <v>0</v>
      </c>
      <c r="J62" s="201">
        <v>0</v>
      </c>
    </row>
    <row r="63" spans="4:10" ht="18" customHeight="1">
      <c r="D63" s="202"/>
      <c r="E63" s="36" t="s">
        <v>423</v>
      </c>
      <c r="F63" s="36">
        <f>-F62</f>
        <v>187821115</v>
      </c>
      <c r="G63" s="36">
        <f>-G62</f>
        <v>1389468863</v>
      </c>
      <c r="H63" s="36">
        <f>-H62</f>
        <v>1711716954</v>
      </c>
      <c r="I63" s="36">
        <v>0</v>
      </c>
      <c r="J63" s="201">
        <v>0</v>
      </c>
    </row>
    <row r="64" spans="4:10" s="58" customFormat="1" ht="18" customHeight="1">
      <c r="D64" s="325" t="s">
        <v>1697</v>
      </c>
      <c r="E64" s="49"/>
      <c r="F64" s="49"/>
      <c r="G64" s="49"/>
      <c r="H64" s="49"/>
      <c r="I64" s="49"/>
      <c r="J64" s="340"/>
    </row>
    <row r="65" spans="4:10" ht="18" customHeight="1">
      <c r="D65" s="202" t="s">
        <v>296</v>
      </c>
      <c r="E65" s="36" t="s">
        <v>297</v>
      </c>
      <c r="H65" s="36">
        <v>-1181400000</v>
      </c>
      <c r="I65" s="36">
        <f>H65</f>
        <v>-1181400000</v>
      </c>
      <c r="J65" s="201">
        <f>I65</f>
        <v>-1181400000</v>
      </c>
    </row>
    <row r="66" spans="4:10" ht="18" customHeight="1">
      <c r="D66" s="202" t="s">
        <v>1364</v>
      </c>
      <c r="E66" s="36" t="s">
        <v>403</v>
      </c>
      <c r="H66" s="36">
        <f>-H65</f>
        <v>1181400000</v>
      </c>
      <c r="I66" s="36">
        <f t="shared" ref="I66:I68" si="5">H66</f>
        <v>1181400000</v>
      </c>
      <c r="J66" s="201">
        <f t="shared" ref="J66:J68" si="6">I66</f>
        <v>1181400000</v>
      </c>
    </row>
    <row r="67" spans="4:10" ht="18" customHeight="1">
      <c r="D67" s="202" t="s">
        <v>1365</v>
      </c>
      <c r="E67" s="36" t="s">
        <v>210</v>
      </c>
      <c r="H67" s="36">
        <f>H65</f>
        <v>-1181400000</v>
      </c>
      <c r="I67" s="36">
        <f t="shared" si="5"/>
        <v>-1181400000</v>
      </c>
      <c r="J67" s="201">
        <f t="shared" si="6"/>
        <v>-1181400000</v>
      </c>
    </row>
    <row r="68" spans="4:10" ht="18" customHeight="1" thickBot="1">
      <c r="D68" s="344"/>
      <c r="E68" s="345" t="s">
        <v>423</v>
      </c>
      <c r="F68" s="345"/>
      <c r="G68" s="345"/>
      <c r="H68" s="345">
        <f>-H67</f>
        <v>1181400000</v>
      </c>
      <c r="I68" s="345">
        <f t="shared" si="5"/>
        <v>1181400000</v>
      </c>
      <c r="J68" s="208">
        <f t="shared" si="6"/>
        <v>1181400000</v>
      </c>
    </row>
  </sheetData>
  <phoneticPr fontId="1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223055"/>
  </sheetPr>
  <dimension ref="D4:P30"/>
  <sheetViews>
    <sheetView showGridLines="0" zoomScaleNormal="100" workbookViewId="0">
      <selection activeCell="L31" sqref="L31"/>
    </sheetView>
  </sheetViews>
  <sheetFormatPr defaultColWidth="8.75" defaultRowHeight="18" customHeight="1"/>
  <cols>
    <col min="1" max="3" width="2.375" style="36" customWidth="1"/>
    <col min="4" max="4" width="20.375" style="36" customWidth="1"/>
    <col min="5" max="5" width="32.125" style="36" customWidth="1"/>
    <col min="6" max="10" width="20.375" style="36" customWidth="1"/>
    <col min="11" max="11" width="4.125" style="36" customWidth="1"/>
    <col min="12" max="16" width="20.375" style="36" customWidth="1"/>
    <col min="17" max="16384" width="8.75" style="36"/>
  </cols>
  <sheetData>
    <row r="4" spans="4:16" s="263" customFormat="1" ht="18" customHeight="1" thickBot="1">
      <c r="F4" s="263" t="b">
        <f>SUM(F6:F41)=0</f>
        <v>1</v>
      </c>
      <c r="G4" s="263" t="b">
        <f t="shared" ref="G4:J4" si="0">SUM(G6:G41)=0</f>
        <v>1</v>
      </c>
      <c r="H4" s="263" t="b">
        <f t="shared" si="0"/>
        <v>1</v>
      </c>
      <c r="I4" s="263" t="b">
        <f t="shared" si="0"/>
        <v>1</v>
      </c>
      <c r="J4" s="263" t="b">
        <f t="shared" si="0"/>
        <v>1</v>
      </c>
    </row>
    <row r="5" spans="4:16" ht="18" customHeight="1">
      <c r="D5" s="238" t="s">
        <v>16</v>
      </c>
      <c r="E5" s="239" t="s">
        <v>19</v>
      </c>
      <c r="F5" s="239" t="s">
        <v>395</v>
      </c>
      <c r="G5" s="239" t="s">
        <v>396</v>
      </c>
      <c r="H5" s="239" t="s">
        <v>397</v>
      </c>
      <c r="I5" s="239" t="s">
        <v>398</v>
      </c>
      <c r="J5" s="240" t="s">
        <v>399</v>
      </c>
      <c r="L5" s="213"/>
    </row>
    <row r="6" spans="4:16" s="259" customFormat="1" ht="18" customHeight="1">
      <c r="D6" s="251" t="s">
        <v>459</v>
      </c>
      <c r="E6" s="252"/>
      <c r="F6" s="252"/>
      <c r="G6" s="252"/>
      <c r="H6" s="252"/>
      <c r="I6" s="252"/>
      <c r="J6" s="253"/>
      <c r="L6" s="307"/>
      <c r="O6" s="259">
        <f>SUM(O7:O9)</f>
        <v>5898836168</v>
      </c>
      <c r="P6" s="259">
        <f>M6-O6</f>
        <v>-5898836168</v>
      </c>
    </row>
    <row r="7" spans="4:16" s="259" customFormat="1" ht="18" customHeight="1">
      <c r="D7" s="254" t="s">
        <v>490</v>
      </c>
      <c r="E7" s="255" t="s">
        <v>451</v>
      </c>
      <c r="F7" s="308">
        <f>'5.1'!L16</f>
        <v>5731508601</v>
      </c>
      <c r="G7" s="308">
        <f>'5.1'!M16</f>
        <v>5648912780</v>
      </c>
      <c r="H7" s="255">
        <f>'5.1'!N16</f>
        <v>5721586093</v>
      </c>
      <c r="I7" s="255">
        <f>'5.1'!O16</f>
        <v>5753390119</v>
      </c>
      <c r="J7" s="256">
        <f>'5.1'!P16</f>
        <v>5321843161</v>
      </c>
      <c r="L7" s="307"/>
      <c r="O7" s="259">
        <f>-H9</f>
        <v>117221748</v>
      </c>
    </row>
    <row r="8" spans="4:16" s="259" customFormat="1" ht="18" customHeight="1">
      <c r="D8" s="254" t="s">
        <v>391</v>
      </c>
      <c r="E8" s="255" t="s">
        <v>452</v>
      </c>
      <c r="F8" s="308">
        <f>SUM('5.1'!I17:L17)</f>
        <v>647780609</v>
      </c>
      <c r="G8" s="308">
        <f>'5.1'!M17</f>
        <v>166769606</v>
      </c>
      <c r="H8" s="255">
        <f>SUM('5.1'!M17:N17)</f>
        <v>336747355</v>
      </c>
      <c r="I8" s="255">
        <f>SUM('5.1'!M17:O17)</f>
        <v>510659404</v>
      </c>
      <c r="J8" s="256">
        <f>SUM('5.1'!M17:P17)</f>
        <v>685224178</v>
      </c>
      <c r="L8" s="307"/>
      <c r="O8" s="259">
        <f>-H10</f>
        <v>1991684142</v>
      </c>
    </row>
    <row r="9" spans="4:16" s="259" customFormat="1" ht="18" customHeight="1">
      <c r="D9" s="257" t="s">
        <v>382</v>
      </c>
      <c r="E9" s="255" t="s">
        <v>453</v>
      </c>
      <c r="F9" s="308">
        <f>-SUM('5.1'!I18:L18)</f>
        <v>-225492417</v>
      </c>
      <c r="G9" s="308">
        <f>-'5.1'!M18</f>
        <v>-58052497</v>
      </c>
      <c r="H9" s="255">
        <f>-SUM('5.1'!M18:N18)</f>
        <v>-117221748</v>
      </c>
      <c r="I9" s="255">
        <f>-SUM('5.1'!M18:O18)</f>
        <v>-177760529</v>
      </c>
      <c r="J9" s="256">
        <f>-SUM('5.1'!M18:P18)</f>
        <v>-238526523</v>
      </c>
      <c r="L9" s="307"/>
      <c r="O9" s="259">
        <f>-H13</f>
        <v>3789930278</v>
      </c>
    </row>
    <row r="10" spans="4:16" s="259" customFormat="1" ht="18" customHeight="1">
      <c r="D10" s="254" t="s">
        <v>1356</v>
      </c>
      <c r="E10" s="255" t="s">
        <v>454</v>
      </c>
      <c r="F10" s="308">
        <f>-'5.1'!L19</f>
        <v>-1995138159</v>
      </c>
      <c r="G10" s="308">
        <f>-'5.1'!M19</f>
        <v>-1966386557</v>
      </c>
      <c r="H10" s="255">
        <f>-'5.1'!N19</f>
        <v>-1991684142</v>
      </c>
      <c r="I10" s="255">
        <f>-'5.1'!O19</f>
        <v>-2002755127</v>
      </c>
      <c r="J10" s="256">
        <f>-'5.1'!P19</f>
        <v>-1852533634</v>
      </c>
      <c r="L10" s="307"/>
      <c r="O10" s="259">
        <v>159497280</v>
      </c>
    </row>
    <row r="11" spans="4:16" s="259" customFormat="1" ht="18" customHeight="1">
      <c r="D11" s="254" t="s">
        <v>1362</v>
      </c>
      <c r="E11" s="255" t="s">
        <v>205</v>
      </c>
      <c r="F11" s="308">
        <f>-SUM('5.1'!H20:L20)</f>
        <v>53559836</v>
      </c>
      <c r="G11" s="308">
        <f>-'5.1'!M20</f>
        <v>-54872890</v>
      </c>
      <c r="H11" s="255">
        <f>-SUM('5.1'!H20:N20)</f>
        <v>-159497280</v>
      </c>
      <c r="I11" s="255">
        <f>-SUM('5.1'!H20:O20)</f>
        <v>-293603589</v>
      </c>
      <c r="J11" s="256">
        <f>-SUM('5.1'!H20:P20)</f>
        <v>-126076904</v>
      </c>
      <c r="L11" s="307">
        <f>J11-SUM(F11:F12)</f>
        <v>-175053979</v>
      </c>
    </row>
    <row r="12" spans="4:16" s="259" customFormat="1" ht="18" customHeight="1">
      <c r="D12" s="254" t="s">
        <v>1362</v>
      </c>
      <c r="E12" s="255" t="s">
        <v>205</v>
      </c>
      <c r="F12" s="308">
        <v>-4582761</v>
      </c>
      <c r="G12" s="308"/>
      <c r="H12" s="255"/>
      <c r="I12" s="255"/>
      <c r="J12" s="256"/>
      <c r="L12" s="307"/>
    </row>
    <row r="13" spans="4:16" s="259" customFormat="1" ht="18" customHeight="1">
      <c r="D13" s="254" t="s">
        <v>1364</v>
      </c>
      <c r="E13" s="255" t="s">
        <v>208</v>
      </c>
      <c r="F13" s="308">
        <f>-SUM(F7:F12,F14:F15)</f>
        <v>-4207635709</v>
      </c>
      <c r="G13" s="308">
        <f>-SUM(F7,F10)</f>
        <v>-3736370442</v>
      </c>
      <c r="H13" s="255">
        <f>-SUM(H7:H11,H14:H15)</f>
        <v>-3789930278</v>
      </c>
      <c r="I13" s="255">
        <f>-SUM(I7:I11,I14:I15)</f>
        <v>-3789930278</v>
      </c>
      <c r="J13" s="256">
        <f>-SUM(J7:J11,J14:J15)</f>
        <v>-3789930278</v>
      </c>
      <c r="L13" s="307"/>
    </row>
    <row r="14" spans="4:16" s="259" customFormat="1" ht="18" customHeight="1">
      <c r="D14" s="254" t="s">
        <v>1365</v>
      </c>
      <c r="E14" s="255" t="s">
        <v>210</v>
      </c>
      <c r="F14" s="308">
        <f>SUM(F8:F9)</f>
        <v>422288192</v>
      </c>
      <c r="G14" s="308">
        <f>SUM(G8:G9)</f>
        <v>108717109</v>
      </c>
      <c r="H14" s="255">
        <f>SUM(H8:H9)</f>
        <v>219525607</v>
      </c>
      <c r="I14" s="255">
        <f>SUM(I8:I9)</f>
        <v>332898875</v>
      </c>
      <c r="J14" s="256">
        <f>SUM(J8:J9)</f>
        <v>446697655</v>
      </c>
      <c r="L14" s="307"/>
    </row>
    <row r="15" spans="4:16" s="259" customFormat="1" ht="18" customHeight="1">
      <c r="D15" s="254" t="s">
        <v>480</v>
      </c>
      <c r="E15" s="255" t="s">
        <v>423</v>
      </c>
      <c r="F15" s="308">
        <f>-F14</f>
        <v>-422288192</v>
      </c>
      <c r="G15" s="308">
        <f>-G14</f>
        <v>-108717109</v>
      </c>
      <c r="H15" s="255">
        <f>-H14</f>
        <v>-219525607</v>
      </c>
      <c r="I15" s="255">
        <f>-I14</f>
        <v>-332898875</v>
      </c>
      <c r="J15" s="256">
        <f>-J14</f>
        <v>-446697655</v>
      </c>
      <c r="L15" s="307"/>
    </row>
    <row r="16" spans="4:16" s="259" customFormat="1" ht="18" customHeight="1">
      <c r="D16" s="309"/>
      <c r="E16" s="255"/>
      <c r="F16" s="308"/>
      <c r="G16" s="308"/>
      <c r="H16" s="255"/>
      <c r="I16" s="255"/>
      <c r="J16" s="256"/>
      <c r="L16" s="307"/>
    </row>
    <row r="17" spans="4:12" s="272" customFormat="1" ht="18" customHeight="1">
      <c r="D17" s="310" t="s">
        <v>129</v>
      </c>
      <c r="E17" s="311"/>
      <c r="F17" s="311"/>
      <c r="G17" s="311"/>
      <c r="H17" s="311"/>
      <c r="I17" s="311"/>
      <c r="J17" s="312"/>
      <c r="L17" s="313"/>
    </row>
    <row r="18" spans="4:12" s="259" customFormat="1" ht="18" customHeight="1">
      <c r="D18" s="254" t="s">
        <v>128</v>
      </c>
      <c r="E18" s="255" t="s">
        <v>129</v>
      </c>
      <c r="F18" s="308">
        <f>'5.2'!M23</f>
        <v>25657490389</v>
      </c>
      <c r="G18" s="308">
        <f>'5.2'!X23</f>
        <v>21880679425</v>
      </c>
      <c r="H18" s="255">
        <v>22839737952</v>
      </c>
      <c r="I18" s="255">
        <f>'5.2'!AI23</f>
        <v>23691218644</v>
      </c>
      <c r="J18" s="256">
        <f>'5.2'!AT23</f>
        <v>2035997533</v>
      </c>
      <c r="L18" s="307"/>
    </row>
    <row r="19" spans="4:12" s="259" customFormat="1" ht="18" customHeight="1">
      <c r="D19" s="254" t="s">
        <v>1364</v>
      </c>
      <c r="E19" s="255" t="s">
        <v>208</v>
      </c>
      <c r="F19" s="308">
        <f>-F18-F23</f>
        <v>-25864992300</v>
      </c>
      <c r="G19" s="308">
        <f>-G18</f>
        <v>-21880679425</v>
      </c>
      <c r="H19" s="255">
        <v>-21767999083</v>
      </c>
      <c r="I19" s="243">
        <f>-SUM(I18,I23)</f>
        <v>-21767999083</v>
      </c>
      <c r="J19" s="244">
        <f>-SUM(J18,J23)</f>
        <v>-1174311828</v>
      </c>
      <c r="L19" s="307"/>
    </row>
    <row r="20" spans="4:12" s="259" customFormat="1" ht="18" customHeight="1">
      <c r="D20" s="254" t="s">
        <v>363</v>
      </c>
      <c r="E20" s="255" t="s">
        <v>489</v>
      </c>
      <c r="F20" s="308"/>
      <c r="G20" s="308"/>
      <c r="H20" s="255"/>
      <c r="I20" s="243"/>
      <c r="J20" s="244"/>
      <c r="L20" s="307"/>
    </row>
    <row r="21" spans="4:12" s="259" customFormat="1" ht="18" customHeight="1">
      <c r="D21" s="254" t="s">
        <v>128</v>
      </c>
      <c r="E21" s="255" t="s">
        <v>129</v>
      </c>
      <c r="F21" s="308">
        <f>-'1.0'!F7</f>
        <v>-19842800</v>
      </c>
      <c r="G21" s="308">
        <f>-'1.0'!G7</f>
        <v>-19842800</v>
      </c>
      <c r="H21" s="255">
        <v>-19842800</v>
      </c>
      <c r="I21" s="255">
        <v>-19842800</v>
      </c>
      <c r="J21" s="256">
        <v>-19842800</v>
      </c>
      <c r="L21" s="307"/>
    </row>
    <row r="22" spans="4:12" s="259" customFormat="1" ht="18" customHeight="1">
      <c r="D22" s="254" t="s">
        <v>1364</v>
      </c>
      <c r="E22" s="255" t="s">
        <v>208</v>
      </c>
      <c r="F22" s="308">
        <f>-F21</f>
        <v>19842800</v>
      </c>
      <c r="G22" s="308">
        <f>-G21</f>
        <v>19842800</v>
      </c>
      <c r="H22" s="255">
        <v>19842800</v>
      </c>
      <c r="I22" s="255">
        <v>19842800</v>
      </c>
      <c r="J22" s="256">
        <v>19842800</v>
      </c>
      <c r="L22" s="307"/>
    </row>
    <row r="23" spans="4:12" s="259" customFormat="1" ht="18" customHeight="1">
      <c r="D23" s="254" t="s">
        <v>1362</v>
      </c>
      <c r="E23" s="255" t="s">
        <v>205</v>
      </c>
      <c r="F23" s="308">
        <f>-'5.2'!L18</f>
        <v>207501911</v>
      </c>
      <c r="G23" s="308"/>
      <c r="H23" s="255">
        <v>-1071738869</v>
      </c>
      <c r="I23" s="255">
        <f>-SUM('5.2'!L18,'5.2'!AH18)</f>
        <v>-1923219561</v>
      </c>
      <c r="J23" s="256">
        <f>-SUM('5.2'!L18,'5.2'!AS18)</f>
        <v>-861685705</v>
      </c>
      <c r="L23" s="307">
        <f>J23-F23-F24</f>
        <v>-1069187616</v>
      </c>
    </row>
    <row r="24" spans="4:12" s="259" customFormat="1" ht="18" customHeight="1">
      <c r="D24" s="254" t="s">
        <v>1362</v>
      </c>
      <c r="E24" s="255" t="s">
        <v>205</v>
      </c>
      <c r="F24" s="308"/>
      <c r="G24" s="308"/>
      <c r="H24" s="255"/>
      <c r="I24" s="255"/>
      <c r="J24" s="256"/>
      <c r="L24" s="307"/>
    </row>
    <row r="25" spans="4:12" s="259" customFormat="1" ht="18" customHeight="1">
      <c r="D25" s="254" t="s">
        <v>363</v>
      </c>
      <c r="E25" s="255" t="s">
        <v>489</v>
      </c>
      <c r="F25" s="308">
        <f>-'5.2'!J22</f>
        <v>294995310</v>
      </c>
      <c r="G25" s="308"/>
      <c r="H25" s="255"/>
      <c r="I25" s="255"/>
      <c r="J25" s="256">
        <f>-'5.2'!AQ18</f>
        <v>20593687255</v>
      </c>
      <c r="L25" s="307"/>
    </row>
    <row r="26" spans="4:12" s="259" customFormat="1" ht="18" customHeight="1">
      <c r="D26" s="254" t="s">
        <v>1364</v>
      </c>
      <c r="E26" s="255" t="s">
        <v>208</v>
      </c>
      <c r="F26" s="308">
        <f>-F25</f>
        <v>-294995310</v>
      </c>
      <c r="G26" s="308"/>
      <c r="H26" s="255"/>
      <c r="I26" s="255"/>
      <c r="J26" s="314">
        <f>-J25</f>
        <v>-20593687255</v>
      </c>
      <c r="L26" s="307"/>
    </row>
    <row r="27" spans="4:12" s="259" customFormat="1" ht="18" customHeight="1">
      <c r="D27" s="254" t="s">
        <v>1365</v>
      </c>
      <c r="E27" s="255" t="s">
        <v>210</v>
      </c>
      <c r="F27" s="308">
        <f>F25</f>
        <v>294995310</v>
      </c>
      <c r="G27" s="308"/>
      <c r="H27" s="255"/>
      <c r="I27" s="255"/>
      <c r="J27" s="314">
        <f>J25</f>
        <v>20593687255</v>
      </c>
      <c r="L27" s="307"/>
    </row>
    <row r="28" spans="4:12" s="259" customFormat="1" ht="18" customHeight="1" thickBot="1">
      <c r="D28" s="315" t="s">
        <v>480</v>
      </c>
      <c r="E28" s="316" t="s">
        <v>423</v>
      </c>
      <c r="F28" s="317">
        <f>-F27</f>
        <v>-294995310</v>
      </c>
      <c r="G28" s="317"/>
      <c r="H28" s="316"/>
      <c r="I28" s="316"/>
      <c r="J28" s="318">
        <f>-J27</f>
        <v>-20593687255</v>
      </c>
      <c r="L28" s="319"/>
    </row>
    <row r="29" spans="4:12" ht="18" customHeight="1">
      <c r="D29" s="267"/>
    </row>
    <row r="30" spans="4:12" ht="18" customHeight="1">
      <c r="D30" s="267"/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223055"/>
  </sheetPr>
  <dimension ref="D4:X27"/>
  <sheetViews>
    <sheetView showGridLines="0" zoomScaleNormal="100" workbookViewId="0">
      <pane xSplit="4" ySplit="6" topLeftCell="E7" activePane="bottomRight" state="frozen"/>
      <selection sqref="A1:XFD1048576"/>
      <selection pane="topRight" sqref="A1:XFD1048576"/>
      <selection pane="bottomLeft" sqref="A1:XFD1048576"/>
      <selection pane="bottomRight" activeCell="N27" sqref="N27"/>
    </sheetView>
  </sheetViews>
  <sheetFormatPr defaultColWidth="8.75" defaultRowHeight="18" customHeight="1"/>
  <cols>
    <col min="1" max="3" width="2.375" style="30" customWidth="1"/>
    <col min="4" max="4" width="20.375" style="30" customWidth="1"/>
    <col min="5" max="5" width="26.375" style="30" bestFit="1" customWidth="1"/>
    <col min="6" max="6" width="20.375" style="28" customWidth="1"/>
    <col min="7" max="14" width="13.125" style="28" customWidth="1"/>
    <col min="15" max="24" width="13.125" style="30" customWidth="1"/>
    <col min="25" max="16384" width="8.75" style="30"/>
  </cols>
  <sheetData>
    <row r="4" spans="4:24" s="29" customFormat="1" ht="18" customHeight="1">
      <c r="D4" s="29" t="s">
        <v>430</v>
      </c>
      <c r="E4" s="29" t="s">
        <v>431</v>
      </c>
      <c r="F4" s="206"/>
      <c r="G4" s="206"/>
      <c r="H4" s="206"/>
      <c r="I4" s="206"/>
      <c r="J4" s="28"/>
      <c r="K4" s="206"/>
      <c r="L4" s="206"/>
      <c r="M4" s="206"/>
      <c r="N4" s="206"/>
    </row>
    <row r="5" spans="4:24" s="29" customFormat="1" ht="18" customHeight="1" thickBot="1">
      <c r="D5" s="29" t="s">
        <v>455</v>
      </c>
      <c r="F5" s="206"/>
      <c r="G5" s="206"/>
      <c r="H5" s="206"/>
      <c r="I5" s="206"/>
      <c r="J5" s="28"/>
      <c r="K5" s="206"/>
      <c r="L5" s="206"/>
      <c r="M5" s="206"/>
      <c r="N5" s="206"/>
    </row>
    <row r="6" spans="4:24" s="159" customFormat="1" ht="18" customHeight="1">
      <c r="D6" s="280" t="s">
        <v>394</v>
      </c>
      <c r="E6" s="281" t="s">
        <v>19</v>
      </c>
      <c r="F6" s="281" t="s">
        <v>432</v>
      </c>
      <c r="G6" s="281" t="s">
        <v>433</v>
      </c>
      <c r="H6" s="281" t="s">
        <v>434</v>
      </c>
      <c r="I6" s="281" t="s">
        <v>435</v>
      </c>
      <c r="J6" s="281" t="s">
        <v>436</v>
      </c>
      <c r="K6" s="281" t="s">
        <v>437</v>
      </c>
      <c r="L6" s="281" t="s">
        <v>438</v>
      </c>
      <c r="M6" s="281" t="s">
        <v>439</v>
      </c>
      <c r="N6" s="281" t="s">
        <v>440</v>
      </c>
      <c r="O6" s="281" t="s">
        <v>441</v>
      </c>
      <c r="P6" s="281" t="s">
        <v>442</v>
      </c>
      <c r="Q6" s="281" t="s">
        <v>443</v>
      </c>
      <c r="R6" s="281" t="s">
        <v>444</v>
      </c>
      <c r="S6" s="281" t="s">
        <v>445</v>
      </c>
      <c r="T6" s="281" t="s">
        <v>446</v>
      </c>
      <c r="U6" s="281" t="s">
        <v>447</v>
      </c>
      <c r="V6" s="281" t="s">
        <v>448</v>
      </c>
      <c r="W6" s="281" t="s">
        <v>449</v>
      </c>
      <c r="X6" s="282" t="s">
        <v>450</v>
      </c>
    </row>
    <row r="7" spans="4:24" ht="18" customHeight="1">
      <c r="D7" s="283"/>
      <c r="E7" s="284" t="s">
        <v>451</v>
      </c>
      <c r="F7" s="285">
        <v>652725000</v>
      </c>
      <c r="G7" s="285"/>
      <c r="H7" s="285">
        <f>$F$7-H8</f>
        <v>630967500</v>
      </c>
      <c r="I7" s="285">
        <f>$H$7-I8</f>
        <v>614649375</v>
      </c>
      <c r="J7" s="285">
        <f>$H$7-J8-I8</f>
        <v>598331250</v>
      </c>
      <c r="K7" s="285">
        <f>$H$7-K8-I8-J8</f>
        <v>582013125</v>
      </c>
      <c r="L7" s="285">
        <f>$H$7-L8-SUM(I8:K8)</f>
        <v>565695000</v>
      </c>
      <c r="M7" s="285">
        <f>$L$7-M8</f>
        <v>549376875</v>
      </c>
      <c r="N7" s="285">
        <f>$L$7-N8-M8</f>
        <v>533058750</v>
      </c>
      <c r="O7" s="285">
        <f>$L$7-O8-N8-M8</f>
        <v>516740625</v>
      </c>
      <c r="P7" s="285">
        <f>$L$7-P8-M8-N8-O8</f>
        <v>500422500</v>
      </c>
      <c r="Q7" s="284"/>
      <c r="R7" s="284"/>
      <c r="S7" s="284"/>
      <c r="T7" s="284"/>
      <c r="U7" s="284"/>
      <c r="V7" s="284"/>
      <c r="W7" s="284"/>
      <c r="X7" s="286"/>
    </row>
    <row r="8" spans="4:24" ht="18" customHeight="1">
      <c r="D8" s="283"/>
      <c r="E8" s="284" t="s">
        <v>452</v>
      </c>
      <c r="F8" s="287"/>
      <c r="G8" s="285">
        <v>120</v>
      </c>
      <c r="H8" s="285">
        <v>21757500</v>
      </c>
      <c r="I8" s="285">
        <f>ROUND($F$7/$G$8*3,0)</f>
        <v>16318125</v>
      </c>
      <c r="J8" s="285">
        <f t="shared" ref="J8:L9" si="0">I8</f>
        <v>16318125</v>
      </c>
      <c r="K8" s="285">
        <f t="shared" si="0"/>
        <v>16318125</v>
      </c>
      <c r="L8" s="285">
        <f t="shared" si="0"/>
        <v>16318125</v>
      </c>
      <c r="M8" s="285">
        <f>I8</f>
        <v>16318125</v>
      </c>
      <c r="N8" s="285">
        <f t="shared" ref="N8:P9" si="1">J8</f>
        <v>16318125</v>
      </c>
      <c r="O8" s="285">
        <f t="shared" si="1"/>
        <v>16318125</v>
      </c>
      <c r="P8" s="285">
        <f t="shared" si="1"/>
        <v>16318125</v>
      </c>
      <c r="Q8" s="285"/>
      <c r="R8" s="285"/>
      <c r="S8" s="285"/>
      <c r="T8" s="285"/>
      <c r="U8" s="285"/>
      <c r="V8" s="285"/>
      <c r="W8" s="285"/>
      <c r="X8" s="288"/>
    </row>
    <row r="9" spans="4:24" ht="18" customHeight="1">
      <c r="D9" s="283"/>
      <c r="E9" s="284" t="s">
        <v>453</v>
      </c>
      <c r="F9" s="287">
        <v>0.34810000000000002</v>
      </c>
      <c r="G9" s="285"/>
      <c r="H9" s="285">
        <v>7573786</v>
      </c>
      <c r="I9" s="285">
        <f>ROUND($F$10/$G$8*3,0)</f>
        <v>5680339</v>
      </c>
      <c r="J9" s="285">
        <f t="shared" si="0"/>
        <v>5680339</v>
      </c>
      <c r="K9" s="285">
        <f t="shared" si="0"/>
        <v>5680339</v>
      </c>
      <c r="L9" s="285">
        <f t="shared" si="0"/>
        <v>5680339</v>
      </c>
      <c r="M9" s="285">
        <f>I9</f>
        <v>5680339</v>
      </c>
      <c r="N9" s="285">
        <f t="shared" si="1"/>
        <v>5680339</v>
      </c>
      <c r="O9" s="285">
        <f t="shared" si="1"/>
        <v>5680339</v>
      </c>
      <c r="P9" s="285">
        <f t="shared" si="1"/>
        <v>5680339</v>
      </c>
      <c r="Q9" s="285"/>
      <c r="R9" s="285"/>
      <c r="S9" s="285"/>
      <c r="T9" s="285"/>
      <c r="U9" s="285"/>
      <c r="V9" s="285"/>
      <c r="W9" s="285"/>
      <c r="X9" s="288"/>
    </row>
    <row r="10" spans="4:24" ht="18" customHeight="1" thickBot="1">
      <c r="D10" s="289"/>
      <c r="E10" s="290" t="s">
        <v>454</v>
      </c>
      <c r="F10" s="291">
        <f>ROUND(F7*F9,0)</f>
        <v>227213573</v>
      </c>
      <c r="G10" s="291"/>
      <c r="H10" s="291">
        <f>$F$10-H9</f>
        <v>219639787</v>
      </c>
      <c r="I10" s="291">
        <f>H10-I9</f>
        <v>213959448</v>
      </c>
      <c r="J10" s="291">
        <f>H10-J9-I9</f>
        <v>208279109</v>
      </c>
      <c r="K10" s="291">
        <f>$H$10-K9-J9-I9</f>
        <v>202598770</v>
      </c>
      <c r="L10" s="291">
        <f>$H$10-L9-K9-J9-I9</f>
        <v>196918431</v>
      </c>
      <c r="M10" s="291">
        <f>L10-M9</f>
        <v>191238092</v>
      </c>
      <c r="N10" s="291">
        <f>L10-N9-M9</f>
        <v>185557753</v>
      </c>
      <c r="O10" s="291">
        <f>L10-O9-M9-N9</f>
        <v>179877414</v>
      </c>
      <c r="P10" s="291">
        <f>L10-SUM(M9:P9)</f>
        <v>174197075</v>
      </c>
      <c r="Q10" s="291"/>
      <c r="R10" s="291"/>
      <c r="S10" s="291"/>
      <c r="T10" s="291"/>
      <c r="U10" s="291"/>
      <c r="V10" s="291"/>
      <c r="W10" s="291"/>
      <c r="X10" s="292"/>
    </row>
    <row r="12" spans="4:24" s="29" customFormat="1" ht="18" customHeight="1" thickBot="1">
      <c r="D12" s="29" t="s">
        <v>456</v>
      </c>
      <c r="F12" s="206"/>
      <c r="G12" s="206"/>
      <c r="H12" s="206"/>
      <c r="I12" s="206"/>
      <c r="J12" s="28"/>
      <c r="K12" s="206"/>
      <c r="L12" s="206"/>
      <c r="M12" s="206"/>
      <c r="N12" s="206"/>
    </row>
    <row r="13" spans="4:24" s="159" customFormat="1" ht="18" customHeight="1">
      <c r="D13" s="293" t="s">
        <v>394</v>
      </c>
      <c r="E13" s="818" t="s">
        <v>19</v>
      </c>
      <c r="F13" s="818" t="s">
        <v>432</v>
      </c>
      <c r="G13" s="818" t="s">
        <v>433</v>
      </c>
      <c r="H13" s="294" t="s">
        <v>434</v>
      </c>
      <c r="I13" s="294" t="s">
        <v>435</v>
      </c>
      <c r="J13" s="294" t="s">
        <v>436</v>
      </c>
      <c r="K13" s="294" t="s">
        <v>437</v>
      </c>
      <c r="L13" s="294" t="s">
        <v>438</v>
      </c>
      <c r="M13" s="294" t="s">
        <v>439</v>
      </c>
      <c r="N13" s="294" t="s">
        <v>440</v>
      </c>
      <c r="O13" s="294" t="s">
        <v>441</v>
      </c>
      <c r="P13" s="294" t="s">
        <v>442</v>
      </c>
      <c r="Q13" s="294" t="s">
        <v>443</v>
      </c>
      <c r="R13" s="294" t="s">
        <v>444</v>
      </c>
      <c r="S13" s="294" t="s">
        <v>445</v>
      </c>
      <c r="T13" s="294" t="s">
        <v>446</v>
      </c>
      <c r="U13" s="294" t="s">
        <v>447</v>
      </c>
      <c r="V13" s="294" t="s">
        <v>448</v>
      </c>
      <c r="W13" s="294" t="s">
        <v>449</v>
      </c>
      <c r="X13" s="295" t="s">
        <v>450</v>
      </c>
    </row>
    <row r="14" spans="4:24" s="159" customFormat="1" ht="18" customHeight="1">
      <c r="D14" s="296" t="s">
        <v>457</v>
      </c>
      <c r="E14" s="819"/>
      <c r="F14" s="819"/>
      <c r="G14" s="819"/>
      <c r="H14" s="297">
        <v>9.4910999999999994</v>
      </c>
      <c r="I14" s="297">
        <v>10.0146</v>
      </c>
      <c r="J14" s="297">
        <v>10.1479</v>
      </c>
      <c r="K14" s="297">
        <v>9.8117000000000001</v>
      </c>
      <c r="L14" s="297">
        <v>10.1318</v>
      </c>
      <c r="M14" s="297">
        <v>10.282400000000001</v>
      </c>
      <c r="N14" s="297">
        <v>10.733499999999999</v>
      </c>
      <c r="O14" s="297">
        <v>11.134</v>
      </c>
      <c r="P14" s="297">
        <v>10.6347</v>
      </c>
      <c r="Q14" s="298"/>
      <c r="R14" s="298"/>
      <c r="S14" s="298"/>
      <c r="T14" s="298"/>
      <c r="U14" s="298"/>
      <c r="V14" s="298"/>
      <c r="W14" s="298"/>
      <c r="X14" s="299"/>
    </row>
    <row r="15" spans="4:24" s="159" customFormat="1" ht="18" customHeight="1">
      <c r="D15" s="296" t="s">
        <v>458</v>
      </c>
      <c r="E15" s="820"/>
      <c r="F15" s="820"/>
      <c r="G15" s="820"/>
      <c r="H15" s="297">
        <v>9.9062999999999999</v>
      </c>
      <c r="I15" s="297">
        <v>9.8903999999999996</v>
      </c>
      <c r="J15" s="297">
        <v>9.8918999999999997</v>
      </c>
      <c r="K15" s="297">
        <v>9.952</v>
      </c>
      <c r="L15" s="297">
        <v>9.9626999999999999</v>
      </c>
      <c r="M15" s="297">
        <v>10.219900000000001</v>
      </c>
      <c r="N15" s="297">
        <v>10.416499999999999</v>
      </c>
      <c r="O15" s="297">
        <v>10.6576</v>
      </c>
      <c r="P15" s="297">
        <v>10.6976</v>
      </c>
      <c r="Q15" s="298"/>
      <c r="R15" s="298"/>
      <c r="S15" s="298"/>
      <c r="T15" s="298"/>
      <c r="U15" s="298"/>
      <c r="V15" s="298"/>
      <c r="W15" s="298"/>
      <c r="X15" s="299"/>
    </row>
    <row r="16" spans="4:24" ht="18" customHeight="1">
      <c r="D16" s="300">
        <v>10020617</v>
      </c>
      <c r="E16" s="301" t="s">
        <v>451</v>
      </c>
      <c r="F16" s="243">
        <v>6676985115</v>
      </c>
      <c r="G16" s="243"/>
      <c r="H16" s="243">
        <f>ROUND(H7*H14,0)</f>
        <v>5988575639</v>
      </c>
      <c r="I16" s="243">
        <f t="shared" ref="I16:K16" si="2">ROUND(I7*I14,0)</f>
        <v>6155467631</v>
      </c>
      <c r="J16" s="243">
        <f t="shared" si="2"/>
        <v>6071805692</v>
      </c>
      <c r="K16" s="243">
        <f t="shared" si="2"/>
        <v>5710538179</v>
      </c>
      <c r="L16" s="243">
        <f>ROUND(L7*L14,0)</f>
        <v>5731508601</v>
      </c>
      <c r="M16" s="243">
        <f>ROUND(M7*M14,0)</f>
        <v>5648912780</v>
      </c>
      <c r="N16" s="243">
        <f>ROUND(N7*N14,0)</f>
        <v>5721586093</v>
      </c>
      <c r="O16" s="243">
        <f>ROUND(O7*O14,0)</f>
        <v>5753390119</v>
      </c>
      <c r="P16" s="243">
        <f>ROUND(P7*P14,0)</f>
        <v>5321843161</v>
      </c>
      <c r="Q16" s="301"/>
      <c r="R16" s="301"/>
      <c r="S16" s="301"/>
      <c r="T16" s="301"/>
      <c r="U16" s="301"/>
      <c r="V16" s="301"/>
      <c r="W16" s="301"/>
      <c r="X16" s="302"/>
    </row>
    <row r="17" spans="4:24" ht="18" customHeight="1">
      <c r="D17" s="300">
        <v>40040114</v>
      </c>
      <c r="E17" s="301" t="s">
        <v>452</v>
      </c>
      <c r="F17" s="303"/>
      <c r="G17" s="243">
        <v>120</v>
      </c>
      <c r="H17" s="243">
        <f>ROUND(H8*H15,0)</f>
        <v>215536322</v>
      </c>
      <c r="I17" s="243">
        <f t="shared" ref="I17:M17" si="3">ROUND(I8*I15,0)</f>
        <v>161392784</v>
      </c>
      <c r="J17" s="243">
        <f t="shared" si="3"/>
        <v>161417261</v>
      </c>
      <c r="K17" s="243">
        <f t="shared" si="3"/>
        <v>162397980</v>
      </c>
      <c r="L17" s="243">
        <f t="shared" si="3"/>
        <v>162572584</v>
      </c>
      <c r="M17" s="243">
        <f t="shared" si="3"/>
        <v>166769606</v>
      </c>
      <c r="N17" s="243">
        <f t="shared" ref="N17:O17" si="4">ROUND(N8*N15,0)</f>
        <v>169977749</v>
      </c>
      <c r="O17" s="243">
        <f t="shared" si="4"/>
        <v>173912049</v>
      </c>
      <c r="P17" s="243">
        <f t="shared" ref="P17" si="5">ROUND(P8*P15,0)</f>
        <v>174564774</v>
      </c>
      <c r="Q17" s="243"/>
      <c r="R17" s="243"/>
      <c r="S17" s="243"/>
      <c r="T17" s="243"/>
      <c r="U17" s="243"/>
      <c r="V17" s="243"/>
      <c r="W17" s="243"/>
      <c r="X17" s="244"/>
    </row>
    <row r="18" spans="4:24" ht="18" customHeight="1">
      <c r="D18" s="300">
        <v>40080101</v>
      </c>
      <c r="E18" s="301" t="s">
        <v>453</v>
      </c>
      <c r="F18" s="303">
        <v>0.34810000000000002</v>
      </c>
      <c r="G18" s="243"/>
      <c r="H18" s="243">
        <f>ROUND(H9*H15,0)</f>
        <v>75028196</v>
      </c>
      <c r="I18" s="243">
        <f t="shared" ref="I18:M18" si="6">ROUND(I9*I15,0)</f>
        <v>56180825</v>
      </c>
      <c r="J18" s="243">
        <f t="shared" si="6"/>
        <v>56189345</v>
      </c>
      <c r="K18" s="243">
        <f t="shared" si="6"/>
        <v>56530734</v>
      </c>
      <c r="L18" s="243">
        <f t="shared" si="6"/>
        <v>56591513</v>
      </c>
      <c r="M18" s="243">
        <f t="shared" si="6"/>
        <v>58052497</v>
      </c>
      <c r="N18" s="243">
        <f t="shared" ref="N18:O18" si="7">ROUND(N9*N15,0)</f>
        <v>59169251</v>
      </c>
      <c r="O18" s="243">
        <f t="shared" si="7"/>
        <v>60538781</v>
      </c>
      <c r="P18" s="243">
        <f t="shared" ref="P18" si="8">ROUND(P9*P15,0)</f>
        <v>60765994</v>
      </c>
      <c r="Q18" s="243"/>
      <c r="R18" s="243"/>
      <c r="S18" s="243"/>
      <c r="T18" s="243"/>
      <c r="U18" s="243"/>
      <c r="V18" s="243"/>
      <c r="W18" s="243"/>
      <c r="X18" s="244"/>
    </row>
    <row r="19" spans="4:24" ht="18" customHeight="1">
      <c r="D19" s="300">
        <v>20020501</v>
      </c>
      <c r="E19" s="301" t="s">
        <v>454</v>
      </c>
      <c r="F19" s="243">
        <v>2324258519</v>
      </c>
      <c r="G19" s="243"/>
      <c r="H19" s="243">
        <f>ROUND(H10*H14,0)</f>
        <v>2084623182</v>
      </c>
      <c r="I19" s="243">
        <f t="shared" ref="I19:M19" si="9">ROUND(I10*I14,0)</f>
        <v>2142718288</v>
      </c>
      <c r="J19" s="243">
        <f t="shared" si="9"/>
        <v>2113595570</v>
      </c>
      <c r="K19" s="243">
        <f t="shared" si="9"/>
        <v>1987838352</v>
      </c>
      <c r="L19" s="243">
        <f t="shared" si="9"/>
        <v>1995138159</v>
      </c>
      <c r="M19" s="243">
        <f t="shared" si="9"/>
        <v>1966386557</v>
      </c>
      <c r="N19" s="243">
        <f t="shared" ref="N19:O19" si="10">ROUND(N10*N14,0)</f>
        <v>1991684142</v>
      </c>
      <c r="O19" s="243">
        <f t="shared" si="10"/>
        <v>2002755127</v>
      </c>
      <c r="P19" s="243">
        <f t="shared" ref="P19" si="11">ROUND(P10*P14,0)</f>
        <v>1852533634</v>
      </c>
      <c r="Q19" s="243"/>
      <c r="R19" s="243"/>
      <c r="S19" s="243"/>
      <c r="T19" s="243"/>
      <c r="U19" s="243"/>
      <c r="V19" s="243"/>
      <c r="W19" s="243"/>
      <c r="X19" s="244"/>
    </row>
    <row r="20" spans="4:24" ht="18" customHeight="1" thickBot="1">
      <c r="D20" s="304" t="s">
        <v>204</v>
      </c>
      <c r="E20" s="305" t="s">
        <v>205</v>
      </c>
      <c r="F20" s="246"/>
      <c r="G20" s="246"/>
      <c r="H20" s="246">
        <f>SUM(H16:H17)-F16+F19-H19-H18</f>
        <v>-308266013</v>
      </c>
      <c r="I20" s="246">
        <f t="shared" ref="I20" si="12">SUM(I16:I17)-H16+H19-I19-I18</f>
        <v>214008845</v>
      </c>
      <c r="J20" s="246">
        <f>SUM(J16:J17)-I16+I19-J19-J18</f>
        <v>50688695</v>
      </c>
      <c r="K20" s="246">
        <f>SUM(K16:K17)-J16+J19-K19-K18</f>
        <v>-129643049</v>
      </c>
      <c r="L20" s="246">
        <f t="shared" ref="L20" si="13">SUM(L16:L17)-K16+K19-L19-L18</f>
        <v>119651686</v>
      </c>
      <c r="M20" s="246">
        <f t="shared" ref="M20" si="14">SUM(M16:M17)-L16+L19-M19-M18</f>
        <v>54872890</v>
      </c>
      <c r="N20" s="246">
        <f t="shared" ref="N20:P20" si="15">SUM(N16:N17)-M16+M19-N19-N18</f>
        <v>158184226</v>
      </c>
      <c r="O20" s="246">
        <f t="shared" si="15"/>
        <v>134106309</v>
      </c>
      <c r="P20" s="246">
        <f t="shared" si="15"/>
        <v>-167526685</v>
      </c>
      <c r="Q20" s="305"/>
      <c r="R20" s="305"/>
      <c r="S20" s="305"/>
      <c r="T20" s="305"/>
      <c r="U20" s="305"/>
      <c r="V20" s="305"/>
      <c r="W20" s="305"/>
      <c r="X20" s="306"/>
    </row>
    <row r="21" spans="4:24" ht="18" customHeight="1">
      <c r="D21" s="158"/>
    </row>
    <row r="22" spans="4:24" ht="18" customHeight="1">
      <c r="D22" s="158"/>
    </row>
    <row r="23" spans="4:24" ht="18" customHeight="1">
      <c r="D23" s="158"/>
    </row>
    <row r="24" spans="4:24" ht="18" customHeight="1">
      <c r="D24" s="158"/>
    </row>
    <row r="25" spans="4:24" ht="18" customHeight="1">
      <c r="D25" s="158"/>
    </row>
    <row r="26" spans="4:24" ht="18" customHeight="1">
      <c r="D26" s="158"/>
    </row>
    <row r="27" spans="4:24" ht="18" customHeight="1">
      <c r="D27" s="158"/>
    </row>
  </sheetData>
  <mergeCells count="3">
    <mergeCell ref="E13:E15"/>
    <mergeCell ref="F13:F15"/>
    <mergeCell ref="G13:G15"/>
  </mergeCells>
  <phoneticPr fontId="18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4:X29"/>
  <sheetViews>
    <sheetView workbookViewId="0">
      <pane xSplit="5" ySplit="8" topLeftCell="F9" activePane="bottomRight" state="frozen"/>
      <selection pane="topRight" activeCell="F1" sqref="F1"/>
      <selection pane="bottomLeft" activeCell="A7" sqref="A7"/>
      <selection pane="bottomRight" activeCell="J26" sqref="J26"/>
    </sheetView>
  </sheetViews>
  <sheetFormatPr defaultColWidth="8.75" defaultRowHeight="18" customHeight="1"/>
  <cols>
    <col min="1" max="3" width="2.375" style="3" customWidth="1"/>
    <col min="4" max="4" width="20.375" style="3" customWidth="1"/>
    <col min="5" max="5" width="26.375" style="3" bestFit="1" customWidth="1"/>
    <col min="6" max="6" width="20.375" style="5" customWidth="1"/>
    <col min="7" max="14" width="13.125" style="5" customWidth="1"/>
    <col min="15" max="24" width="13.125" style="3" customWidth="1"/>
    <col min="25" max="16384" width="8.75" style="3"/>
  </cols>
  <sheetData>
    <row r="4" spans="4:24" s="2" customFormat="1" ht="18" customHeight="1">
      <c r="D4" s="2" t="s">
        <v>430</v>
      </c>
      <c r="E4" s="2" t="s">
        <v>431</v>
      </c>
      <c r="F4" s="4"/>
      <c r="G4" s="4"/>
      <c r="H4" s="4"/>
      <c r="I4" s="4"/>
      <c r="J4" s="5"/>
      <c r="K4" s="4"/>
      <c r="L4" s="4"/>
      <c r="M4" s="4"/>
      <c r="N4" s="4"/>
    </row>
    <row r="5" spans="4:24" s="2" customFormat="1" ht="18" customHeight="1">
      <c r="D5" s="2" t="s">
        <v>1699</v>
      </c>
      <c r="F5" s="4"/>
      <c r="G5" s="4"/>
      <c r="H5" s="4"/>
      <c r="I5" s="4"/>
      <c r="J5" s="5"/>
      <c r="K5" s="4"/>
      <c r="L5" s="4"/>
      <c r="M5" s="4"/>
      <c r="N5" s="4"/>
    </row>
    <row r="6" spans="4:24" s="2" customFormat="1" ht="18" customHeight="1">
      <c r="F6" s="4"/>
      <c r="G6" s="4"/>
      <c r="H6" s="4"/>
      <c r="I6" s="4"/>
      <c r="J6" s="5"/>
      <c r="K6" s="4"/>
      <c r="L6" s="4"/>
      <c r="M6" s="4"/>
      <c r="N6" s="4"/>
    </row>
    <row r="7" spans="4:24" s="2" customFormat="1" ht="18" customHeight="1" thickBot="1">
      <c r="D7" s="2" t="s">
        <v>455</v>
      </c>
      <c r="F7" s="4"/>
      <c r="G7" s="4"/>
      <c r="H7" s="4"/>
      <c r="I7" s="4"/>
      <c r="J7" s="5"/>
      <c r="K7" s="4"/>
      <c r="L7" s="4"/>
      <c r="M7" s="4"/>
      <c r="N7" s="4"/>
    </row>
    <row r="8" spans="4:24" s="1" customFormat="1" ht="18" customHeight="1">
      <c r="D8" s="112" t="s">
        <v>394</v>
      </c>
      <c r="E8" s="113" t="s">
        <v>19</v>
      </c>
      <c r="F8" s="113" t="s">
        <v>432</v>
      </c>
      <c r="G8" s="113" t="s">
        <v>433</v>
      </c>
      <c r="H8" s="113" t="s">
        <v>434</v>
      </c>
      <c r="I8" s="113" t="s">
        <v>435</v>
      </c>
      <c r="J8" s="113" t="s">
        <v>436</v>
      </c>
      <c r="K8" s="113" t="s">
        <v>437</v>
      </c>
      <c r="L8" s="113" t="s">
        <v>438</v>
      </c>
      <c r="M8" s="113" t="s">
        <v>439</v>
      </c>
      <c r="N8" s="113" t="s">
        <v>440</v>
      </c>
      <c r="O8" s="113" t="s">
        <v>441</v>
      </c>
      <c r="P8" s="113" t="s">
        <v>442</v>
      </c>
      <c r="Q8" s="113" t="s">
        <v>443</v>
      </c>
      <c r="R8" s="113" t="s">
        <v>444</v>
      </c>
      <c r="S8" s="113" t="s">
        <v>445</v>
      </c>
      <c r="T8" s="113" t="s">
        <v>446</v>
      </c>
      <c r="U8" s="113" t="s">
        <v>447</v>
      </c>
      <c r="V8" s="113" t="s">
        <v>448</v>
      </c>
      <c r="W8" s="113" t="s">
        <v>449</v>
      </c>
      <c r="X8" s="114" t="s">
        <v>450</v>
      </c>
    </row>
    <row r="9" spans="4:24" ht="18" customHeight="1">
      <c r="D9" s="115"/>
      <c r="E9" s="116" t="s">
        <v>451</v>
      </c>
      <c r="F9" s="101">
        <v>652725000</v>
      </c>
      <c r="G9" s="101"/>
      <c r="H9" s="101">
        <f>$F$9-H10</f>
        <v>630967500</v>
      </c>
      <c r="I9" s="101">
        <f>$H$9-I10</f>
        <v>614649375</v>
      </c>
      <c r="J9" s="101">
        <f>$H$9-J10-I10</f>
        <v>598331250</v>
      </c>
      <c r="K9" s="101">
        <f>$H$9-K10-I10-J10</f>
        <v>582013125</v>
      </c>
      <c r="L9" s="101">
        <f>$H$9-L10-SUM(I10:K10)</f>
        <v>565695000</v>
      </c>
      <c r="M9" s="101">
        <f>$L$9-M10</f>
        <v>549376875</v>
      </c>
      <c r="N9" s="101">
        <f>$L$9-N10-M10</f>
        <v>533058750</v>
      </c>
      <c r="O9" s="101">
        <f>$L$9-O10-N10-M10</f>
        <v>516740625</v>
      </c>
      <c r="P9" s="101">
        <f>$L$9-P10-M10-N10-O10</f>
        <v>500422500</v>
      </c>
      <c r="Q9" s="116"/>
      <c r="R9" s="116"/>
      <c r="S9" s="116"/>
      <c r="T9" s="116"/>
      <c r="U9" s="116"/>
      <c r="V9" s="116"/>
      <c r="W9" s="116"/>
      <c r="X9" s="117"/>
    </row>
    <row r="10" spans="4:24" ht="18" customHeight="1">
      <c r="D10" s="115"/>
      <c r="E10" s="116" t="s">
        <v>452</v>
      </c>
      <c r="F10" s="102"/>
      <c r="G10" s="101">
        <v>120</v>
      </c>
      <c r="H10" s="101">
        <v>21757500</v>
      </c>
      <c r="I10" s="101">
        <f>ROUND($F$9/$G$10*3,0)</f>
        <v>16318125</v>
      </c>
      <c r="J10" s="101">
        <f t="shared" ref="J10:L11" si="0">I10</f>
        <v>16318125</v>
      </c>
      <c r="K10" s="101">
        <f t="shared" si="0"/>
        <v>16318125</v>
      </c>
      <c r="L10" s="101">
        <f t="shared" si="0"/>
        <v>16318125</v>
      </c>
      <c r="M10" s="101">
        <f>I10</f>
        <v>16318125</v>
      </c>
      <c r="N10" s="101">
        <f t="shared" ref="N10:P11" si="1">J10</f>
        <v>16318125</v>
      </c>
      <c r="O10" s="101">
        <f t="shared" si="1"/>
        <v>16318125</v>
      </c>
      <c r="P10" s="101">
        <f t="shared" si="1"/>
        <v>16318125</v>
      </c>
      <c r="Q10" s="101"/>
      <c r="R10" s="101"/>
      <c r="S10" s="101"/>
      <c r="T10" s="101"/>
      <c r="U10" s="101"/>
      <c r="V10" s="101"/>
      <c r="W10" s="101"/>
      <c r="X10" s="118"/>
    </row>
    <row r="11" spans="4:24" ht="18" customHeight="1">
      <c r="D11" s="115"/>
      <c r="E11" s="116" t="s">
        <v>453</v>
      </c>
      <c r="F11" s="102">
        <v>0.34810000000000002</v>
      </c>
      <c r="G11" s="101"/>
      <c r="H11" s="101">
        <v>7573786</v>
      </c>
      <c r="I11" s="101">
        <f>ROUND($F$12/$G$10*3,0)</f>
        <v>5680339</v>
      </c>
      <c r="J11" s="101">
        <f t="shared" si="0"/>
        <v>5680339</v>
      </c>
      <c r="K11" s="101">
        <f t="shared" si="0"/>
        <v>5680339</v>
      </c>
      <c r="L11" s="101">
        <f t="shared" si="0"/>
        <v>5680339</v>
      </c>
      <c r="M11" s="101">
        <f>I11</f>
        <v>5680339</v>
      </c>
      <c r="N11" s="101">
        <f t="shared" si="1"/>
        <v>5680339</v>
      </c>
      <c r="O11" s="101">
        <f t="shared" si="1"/>
        <v>5680339</v>
      </c>
      <c r="P11" s="101">
        <f t="shared" si="1"/>
        <v>5680339</v>
      </c>
      <c r="Q11" s="101"/>
      <c r="R11" s="101"/>
      <c r="S11" s="101"/>
      <c r="T11" s="101"/>
      <c r="U11" s="101"/>
      <c r="V11" s="101"/>
      <c r="W11" s="101"/>
      <c r="X11" s="118"/>
    </row>
    <row r="12" spans="4:24" ht="18" customHeight="1" thickBot="1">
      <c r="D12" s="119"/>
      <c r="E12" s="120" t="s">
        <v>454</v>
      </c>
      <c r="F12" s="121">
        <f>ROUND(F9*F11,0)</f>
        <v>227213573</v>
      </c>
      <c r="G12" s="121"/>
      <c r="H12" s="121">
        <f>$F$12-H11</f>
        <v>219639787</v>
      </c>
      <c r="I12" s="121">
        <f>H12-I11</f>
        <v>213959448</v>
      </c>
      <c r="J12" s="121">
        <f>H12-J11-I11</f>
        <v>208279109</v>
      </c>
      <c r="K12" s="121">
        <f>$H$12-K11-J11-I11</f>
        <v>202598770</v>
      </c>
      <c r="L12" s="121">
        <f>$H$12-L11-K11-J11-I11</f>
        <v>196918431</v>
      </c>
      <c r="M12" s="121">
        <f>L12-M11</f>
        <v>191238092</v>
      </c>
      <c r="N12" s="121">
        <f>L12-N11-M11</f>
        <v>185557753</v>
      </c>
      <c r="O12" s="121">
        <f>L12-O11-M11-N11</f>
        <v>179877414</v>
      </c>
      <c r="P12" s="121">
        <f>L12-P11-SUM(M11:O11)</f>
        <v>174197075</v>
      </c>
      <c r="Q12" s="121"/>
      <c r="R12" s="121"/>
      <c r="S12" s="121"/>
      <c r="T12" s="121"/>
      <c r="U12" s="121"/>
      <c r="V12" s="121"/>
      <c r="W12" s="121"/>
      <c r="X12" s="122"/>
    </row>
    <row r="13" spans="4:24" ht="18" customHeight="1">
      <c r="H13" s="157"/>
    </row>
    <row r="14" spans="4:24" s="2" customFormat="1" ht="18" customHeight="1" thickBot="1">
      <c r="D14" s="2" t="s">
        <v>456</v>
      </c>
      <c r="F14" s="4"/>
      <c r="G14" s="4"/>
      <c r="H14" s="4"/>
      <c r="I14" s="4"/>
      <c r="J14" s="5"/>
      <c r="K14" s="4"/>
      <c r="L14" s="4"/>
      <c r="M14" s="4" t="s">
        <v>1698</v>
      </c>
      <c r="N14" s="4"/>
    </row>
    <row r="15" spans="4:24" s="1" customFormat="1" ht="18" customHeight="1">
      <c r="D15" s="123" t="s">
        <v>394</v>
      </c>
      <c r="E15" s="821" t="s">
        <v>19</v>
      </c>
      <c r="F15" s="821" t="s">
        <v>432</v>
      </c>
      <c r="G15" s="821" t="s">
        <v>433</v>
      </c>
      <c r="H15" s="124" t="s">
        <v>434</v>
      </c>
      <c r="I15" s="124" t="s">
        <v>435</v>
      </c>
      <c r="J15" s="124" t="s">
        <v>436</v>
      </c>
      <c r="K15" s="124" t="s">
        <v>437</v>
      </c>
      <c r="L15" s="124" t="s">
        <v>438</v>
      </c>
      <c r="M15" s="124" t="s">
        <v>439</v>
      </c>
      <c r="N15" s="124" t="s">
        <v>440</v>
      </c>
      <c r="O15" s="124" t="s">
        <v>441</v>
      </c>
      <c r="P15" s="124" t="s">
        <v>442</v>
      </c>
      <c r="Q15" s="124" t="s">
        <v>443</v>
      </c>
      <c r="R15" s="124" t="s">
        <v>444</v>
      </c>
      <c r="S15" s="124" t="s">
        <v>445</v>
      </c>
      <c r="T15" s="124" t="s">
        <v>446</v>
      </c>
      <c r="U15" s="124" t="s">
        <v>447</v>
      </c>
      <c r="V15" s="124" t="s">
        <v>448</v>
      </c>
      <c r="W15" s="124" t="s">
        <v>449</v>
      </c>
      <c r="X15" s="125" t="s">
        <v>450</v>
      </c>
    </row>
    <row r="16" spans="4:24" s="1" customFormat="1" ht="18" customHeight="1">
      <c r="D16" s="126" t="s">
        <v>457</v>
      </c>
      <c r="E16" s="822"/>
      <c r="F16" s="822"/>
      <c r="G16" s="822"/>
      <c r="H16" s="127">
        <v>9.4910999999999994</v>
      </c>
      <c r="I16" s="127">
        <v>10.0146</v>
      </c>
      <c r="J16" s="127">
        <v>10.1479</v>
      </c>
      <c r="K16" s="127">
        <v>9.8117000000000001</v>
      </c>
      <c r="L16" s="127">
        <v>10.1318</v>
      </c>
      <c r="M16" s="127">
        <v>10.282400000000001</v>
      </c>
      <c r="N16" s="127">
        <v>10.733499999999999</v>
      </c>
      <c r="O16" s="128"/>
      <c r="P16" s="128"/>
      <c r="Q16" s="128"/>
      <c r="R16" s="128"/>
      <c r="S16" s="128"/>
      <c r="T16" s="128"/>
      <c r="U16" s="128"/>
      <c r="V16" s="128"/>
      <c r="W16" s="128"/>
      <c r="X16" s="129"/>
    </row>
    <row r="17" spans="4:24" s="1" customFormat="1" ht="18" customHeight="1">
      <c r="D17" s="126" t="s">
        <v>458</v>
      </c>
      <c r="E17" s="823"/>
      <c r="F17" s="823"/>
      <c r="G17" s="823"/>
      <c r="H17" s="127">
        <v>9.9062999999999999</v>
      </c>
      <c r="I17" s="127">
        <v>9.8903999999999996</v>
      </c>
      <c r="J17" s="127">
        <v>9.8918999999999997</v>
      </c>
      <c r="K17" s="127">
        <v>9.952</v>
      </c>
      <c r="L17" s="127">
        <v>9.9626999999999999</v>
      </c>
      <c r="M17" s="127">
        <v>10.219900000000001</v>
      </c>
      <c r="N17" s="127">
        <v>10.416499999999999</v>
      </c>
      <c r="O17" s="128"/>
      <c r="P17" s="128"/>
      <c r="Q17" s="128"/>
      <c r="R17" s="128"/>
      <c r="S17" s="128"/>
      <c r="T17" s="128"/>
      <c r="U17" s="128"/>
      <c r="V17" s="128"/>
      <c r="W17" s="128"/>
      <c r="X17" s="129"/>
    </row>
    <row r="18" spans="4:24" ht="18" customHeight="1">
      <c r="D18" s="130">
        <v>10020617</v>
      </c>
      <c r="E18" s="131" t="s">
        <v>451</v>
      </c>
      <c r="F18" s="96">
        <v>6676985115</v>
      </c>
      <c r="G18" s="96"/>
      <c r="H18" s="96">
        <f>ROUND(H9*H16,0)</f>
        <v>5988575639</v>
      </c>
      <c r="I18" s="96">
        <f t="shared" ref="I18:L19" si="2">ROUND(I9*I16,0)</f>
        <v>6155467631</v>
      </c>
      <c r="J18" s="96">
        <f t="shared" si="2"/>
        <v>6071805692</v>
      </c>
      <c r="K18" s="96">
        <f t="shared" si="2"/>
        <v>5710538179</v>
      </c>
      <c r="L18" s="96">
        <f>ROUND(L9*L16,0)</f>
        <v>5731508601</v>
      </c>
      <c r="M18" s="96">
        <f>L18-M19</f>
        <v>5566176622.125</v>
      </c>
      <c r="N18" s="96">
        <f>M18-N19</f>
        <v>5400844643.25</v>
      </c>
      <c r="O18" s="96">
        <f t="shared" ref="O18" si="3">N18-O19</f>
        <v>5235512664.375</v>
      </c>
      <c r="P18" s="96">
        <f t="shared" ref="P18" si="4">O18-P19</f>
        <v>5070180685.5</v>
      </c>
      <c r="Q18" s="131"/>
      <c r="R18" s="131"/>
      <c r="S18" s="131"/>
      <c r="T18" s="131"/>
      <c r="U18" s="131"/>
      <c r="V18" s="131"/>
      <c r="W18" s="131"/>
      <c r="X18" s="132"/>
    </row>
    <row r="19" spans="4:24" ht="18" customHeight="1">
      <c r="D19" s="130">
        <v>40040114</v>
      </c>
      <c r="E19" s="131" t="s">
        <v>452</v>
      </c>
      <c r="F19" s="133"/>
      <c r="G19" s="96">
        <v>120</v>
      </c>
      <c r="H19" s="96">
        <f>ROUND(H10*H17,0)</f>
        <v>215536322</v>
      </c>
      <c r="I19" s="96">
        <f t="shared" si="2"/>
        <v>161392784</v>
      </c>
      <c r="J19" s="96">
        <f t="shared" si="2"/>
        <v>161417261</v>
      </c>
      <c r="K19" s="96">
        <f t="shared" si="2"/>
        <v>162397980</v>
      </c>
      <c r="L19" s="96">
        <f t="shared" si="2"/>
        <v>162572584</v>
      </c>
      <c r="M19" s="96">
        <f>L18/104*3</f>
        <v>165331978.875</v>
      </c>
      <c r="N19" s="96">
        <f>M19</f>
        <v>165331978.875</v>
      </c>
      <c r="O19" s="96">
        <f t="shared" ref="O19:P20" si="5">N19</f>
        <v>165331978.875</v>
      </c>
      <c r="P19" s="96">
        <f t="shared" si="5"/>
        <v>165331978.875</v>
      </c>
      <c r="Q19" s="96"/>
      <c r="R19" s="96"/>
      <c r="S19" s="96"/>
      <c r="T19" s="96"/>
      <c r="U19" s="96"/>
      <c r="V19" s="96"/>
      <c r="W19" s="96"/>
      <c r="X19" s="97"/>
    </row>
    <row r="20" spans="4:24" ht="18" customHeight="1">
      <c r="D20" s="130">
        <v>40080101</v>
      </c>
      <c r="E20" s="131" t="s">
        <v>453</v>
      </c>
      <c r="F20" s="133">
        <v>0.34810000000000002</v>
      </c>
      <c r="G20" s="96"/>
      <c r="H20" s="96">
        <f>ROUND(H11*H17,0)</f>
        <v>75028196</v>
      </c>
      <c r="I20" s="96">
        <f t="shared" ref="I20:L20" si="6">ROUND(I11*I17,0)</f>
        <v>56180825</v>
      </c>
      <c r="J20" s="96">
        <f t="shared" si="6"/>
        <v>56189345</v>
      </c>
      <c r="K20" s="96">
        <f t="shared" si="6"/>
        <v>56530734</v>
      </c>
      <c r="L20" s="96">
        <f t="shared" si="6"/>
        <v>56591513</v>
      </c>
      <c r="M20" s="96">
        <f>L21/104*3</f>
        <v>57552062.278846152</v>
      </c>
      <c r="N20" s="96">
        <f>M20</f>
        <v>57552062.278846152</v>
      </c>
      <c r="O20" s="96">
        <f t="shared" si="5"/>
        <v>57552062.278846152</v>
      </c>
      <c r="P20" s="96">
        <f t="shared" si="5"/>
        <v>57552062.278846152</v>
      </c>
      <c r="Q20" s="96"/>
      <c r="R20" s="96"/>
      <c r="S20" s="96"/>
      <c r="T20" s="96"/>
      <c r="U20" s="96"/>
      <c r="V20" s="96"/>
      <c r="W20" s="96"/>
      <c r="X20" s="97"/>
    </row>
    <row r="21" spans="4:24" ht="18" customHeight="1">
      <c r="D21" s="130">
        <v>20020501</v>
      </c>
      <c r="E21" s="131" t="s">
        <v>454</v>
      </c>
      <c r="F21" s="96">
        <v>2324258519</v>
      </c>
      <c r="G21" s="96"/>
      <c r="H21" s="96">
        <f>ROUND(H12*H16,0)</f>
        <v>2084623182</v>
      </c>
      <c r="I21" s="96">
        <f t="shared" ref="I21:L21" si="7">ROUND(I12*I16,0)</f>
        <v>2142718288</v>
      </c>
      <c r="J21" s="96">
        <f t="shared" si="7"/>
        <v>2113595570</v>
      </c>
      <c r="K21" s="96">
        <f t="shared" si="7"/>
        <v>1987838352</v>
      </c>
      <c r="L21" s="96">
        <f t="shared" si="7"/>
        <v>1995138159</v>
      </c>
      <c r="M21" s="96">
        <f>L21-M20</f>
        <v>1937586096.7211537</v>
      </c>
      <c r="N21" s="96">
        <f>M21-N20</f>
        <v>1880034034.4423075</v>
      </c>
      <c r="O21" s="96">
        <f t="shared" ref="O21" si="8">N21-O20</f>
        <v>1822481972.1634612</v>
      </c>
      <c r="P21" s="96">
        <f t="shared" ref="P21" si="9">O21-P20</f>
        <v>1764929909.8846149</v>
      </c>
      <c r="Q21" s="96"/>
      <c r="R21" s="96"/>
      <c r="S21" s="96"/>
      <c r="T21" s="96"/>
      <c r="U21" s="96"/>
      <c r="V21" s="96"/>
      <c r="W21" s="96"/>
      <c r="X21" s="97"/>
    </row>
    <row r="22" spans="4:24" ht="18" customHeight="1" thickBot="1">
      <c r="D22" s="134" t="s">
        <v>204</v>
      </c>
      <c r="E22" s="135" t="s">
        <v>205</v>
      </c>
      <c r="F22" s="99"/>
      <c r="G22" s="99"/>
      <c r="H22" s="99">
        <f>SUM(H18:H19)-F18+F21-H21-H20</f>
        <v>-308266013</v>
      </c>
      <c r="I22" s="99">
        <f t="shared" ref="I22" si="10">SUM(I18:I19)-H18+H21-I21-I20</f>
        <v>214008845</v>
      </c>
      <c r="J22" s="99">
        <f t="shared" ref="J22" si="11">SUM(J18:J19)-I18+I21-J21-J20</f>
        <v>50688695</v>
      </c>
      <c r="K22" s="99">
        <f t="shared" ref="K22:N22" si="12">SUM(K18:K19)-J18+J21-K21-K20</f>
        <v>-129643049</v>
      </c>
      <c r="L22" s="99">
        <f t="shared" si="12"/>
        <v>119651686</v>
      </c>
      <c r="M22" s="99">
        <f t="shared" si="12"/>
        <v>1.1175870895385742E-7</v>
      </c>
      <c r="N22" s="99">
        <f t="shared" si="12"/>
        <v>1.1175870895385742E-7</v>
      </c>
      <c r="O22" s="135"/>
      <c r="P22" s="135"/>
      <c r="Q22" s="135"/>
      <c r="R22" s="135"/>
      <c r="S22" s="135"/>
      <c r="T22" s="135"/>
      <c r="U22" s="135"/>
      <c r="V22" s="135"/>
      <c r="W22" s="135"/>
      <c r="X22" s="136"/>
    </row>
    <row r="23" spans="4:24" ht="18" customHeight="1">
      <c r="D23" s="67"/>
      <c r="H23" s="157"/>
    </row>
    <row r="24" spans="4:24" ht="18" customHeight="1">
      <c r="D24" s="67"/>
    </row>
    <row r="25" spans="4:24" ht="18" customHeight="1">
      <c r="D25" s="67"/>
    </row>
    <row r="26" spans="4:24" ht="18" customHeight="1">
      <c r="D26" s="67"/>
    </row>
    <row r="27" spans="4:24" ht="18" customHeight="1">
      <c r="D27" s="67"/>
    </row>
    <row r="28" spans="4:24" ht="18" customHeight="1">
      <c r="D28" s="67"/>
    </row>
    <row r="29" spans="4:24" ht="18" customHeight="1">
      <c r="D29" s="67"/>
    </row>
  </sheetData>
  <mergeCells count="3">
    <mergeCell ref="E15:E17"/>
    <mergeCell ref="F15:F17"/>
    <mergeCell ref="G15:G17"/>
  </mergeCells>
  <phoneticPr fontId="1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223055"/>
  </sheetPr>
  <dimension ref="D4:AX29"/>
  <sheetViews>
    <sheetView showGridLines="0" zoomScaleNormal="100" workbookViewId="0">
      <pane xSplit="5" ySplit="6" topLeftCell="AK7" activePane="bottomRight" state="frozen"/>
      <selection sqref="A1:XFD1048576"/>
      <selection pane="topRight" sqref="A1:XFD1048576"/>
      <selection pane="bottomLeft" sqref="A1:XFD1048576"/>
      <selection pane="bottomRight" activeCell="AL29" sqref="AL29"/>
    </sheetView>
  </sheetViews>
  <sheetFormatPr defaultColWidth="8.75" defaultRowHeight="18" customHeight="1"/>
  <cols>
    <col min="1" max="3" width="2.375" style="28" customWidth="1"/>
    <col min="4" max="4" width="15.375" style="28" customWidth="1"/>
    <col min="5" max="5" width="16" style="28" bestFit="1" customWidth="1"/>
    <col min="6" max="16" width="14.75" style="28" customWidth="1"/>
    <col min="17" max="17" width="2.375" style="259" customWidth="1"/>
    <col min="18" max="27" width="14.75" style="28" customWidth="1"/>
    <col min="28" max="28" width="3.375" style="259" customWidth="1"/>
    <col min="29" max="38" width="14.75" style="28" customWidth="1"/>
    <col min="39" max="39" width="2.625" style="28" customWidth="1"/>
    <col min="40" max="49" width="16.375" style="28" customWidth="1"/>
    <col min="50" max="50" width="13.375" style="28" bestFit="1" customWidth="1"/>
    <col min="51" max="51" width="10.875" style="28" bestFit="1" customWidth="1"/>
    <col min="52" max="16384" width="8.75" style="28"/>
  </cols>
  <sheetData>
    <row r="4" spans="4:49" ht="18" customHeight="1">
      <c r="D4" s="27" t="s">
        <v>476</v>
      </c>
    </row>
    <row r="5" spans="4:49" s="36" customFormat="1" ht="18" customHeight="1">
      <c r="D5" s="263"/>
      <c r="Q5" s="259"/>
      <c r="AB5" s="259"/>
      <c r="AC5" s="824" t="s">
        <v>1898</v>
      </c>
      <c r="AD5" s="824"/>
      <c r="AE5" s="824"/>
      <c r="AF5" s="824"/>
      <c r="AG5" s="824"/>
      <c r="AH5" s="824"/>
      <c r="AI5" s="824"/>
      <c r="AJ5" s="824"/>
      <c r="AK5" s="824"/>
      <c r="AL5" s="824"/>
      <c r="AN5" s="825" t="s">
        <v>1898</v>
      </c>
      <c r="AO5" s="825"/>
      <c r="AP5" s="825"/>
      <c r="AQ5" s="825"/>
      <c r="AR5" s="825"/>
      <c r="AS5" s="825"/>
      <c r="AT5" s="825"/>
      <c r="AU5" s="825"/>
      <c r="AV5" s="825"/>
      <c r="AW5" s="825"/>
    </row>
    <row r="6" spans="4:49" s="266" customFormat="1" ht="18" customHeight="1">
      <c r="D6" s="264" t="s">
        <v>460</v>
      </c>
      <c r="E6" s="264" t="s">
        <v>461</v>
      </c>
      <c r="F6" s="264" t="s">
        <v>473</v>
      </c>
      <c r="G6" s="264" t="s">
        <v>468</v>
      </c>
      <c r="H6" s="264" t="s">
        <v>462</v>
      </c>
      <c r="I6" s="264" t="s">
        <v>463</v>
      </c>
      <c r="J6" s="264" t="s">
        <v>464</v>
      </c>
      <c r="K6" s="264" t="s">
        <v>465</v>
      </c>
      <c r="L6" s="264" t="s">
        <v>466</v>
      </c>
      <c r="M6" s="264" t="s">
        <v>395</v>
      </c>
      <c r="N6" s="264" t="s">
        <v>486</v>
      </c>
      <c r="O6" s="264" t="s">
        <v>467</v>
      </c>
      <c r="P6" s="264" t="s">
        <v>479</v>
      </c>
      <c r="Q6" s="265"/>
      <c r="R6" s="264" t="s">
        <v>468</v>
      </c>
      <c r="S6" s="264" t="s">
        <v>462</v>
      </c>
      <c r="T6" s="264" t="s">
        <v>463</v>
      </c>
      <c r="U6" s="264" t="s">
        <v>464</v>
      </c>
      <c r="V6" s="264" t="s">
        <v>465</v>
      </c>
      <c r="W6" s="264" t="s">
        <v>466</v>
      </c>
      <c r="X6" s="264" t="s">
        <v>396</v>
      </c>
      <c r="Y6" s="264" t="s">
        <v>486</v>
      </c>
      <c r="Z6" s="264" t="s">
        <v>467</v>
      </c>
      <c r="AA6" s="264" t="s">
        <v>479</v>
      </c>
      <c r="AB6" s="265"/>
      <c r="AC6" s="264" t="s">
        <v>468</v>
      </c>
      <c r="AD6" s="264" t="s">
        <v>462</v>
      </c>
      <c r="AE6" s="264" t="s">
        <v>463</v>
      </c>
      <c r="AF6" s="264" t="s">
        <v>464</v>
      </c>
      <c r="AG6" s="264" t="s">
        <v>465</v>
      </c>
      <c r="AH6" s="264" t="s">
        <v>466</v>
      </c>
      <c r="AI6" s="264" t="s">
        <v>1848</v>
      </c>
      <c r="AJ6" s="264" t="s">
        <v>486</v>
      </c>
      <c r="AK6" s="264" t="s">
        <v>467</v>
      </c>
      <c r="AL6" s="264" t="s">
        <v>479</v>
      </c>
      <c r="AN6" s="264" t="s">
        <v>468</v>
      </c>
      <c r="AO6" s="264" t="s">
        <v>462</v>
      </c>
      <c r="AP6" s="264" t="s">
        <v>463</v>
      </c>
      <c r="AQ6" s="264" t="s">
        <v>464</v>
      </c>
      <c r="AR6" s="264" t="s">
        <v>465</v>
      </c>
      <c r="AS6" s="264" t="s">
        <v>466</v>
      </c>
      <c r="AT6" s="264" t="s">
        <v>399</v>
      </c>
      <c r="AU6" s="264" t="s">
        <v>486</v>
      </c>
      <c r="AV6" s="264" t="s">
        <v>467</v>
      </c>
      <c r="AW6" s="264" t="s">
        <v>479</v>
      </c>
    </row>
    <row r="7" spans="4:49" s="36" customFormat="1" ht="18" customHeight="1">
      <c r="D7" s="36" t="s">
        <v>15</v>
      </c>
      <c r="E7" s="36" t="s">
        <v>430</v>
      </c>
      <c r="F7" s="267" t="s">
        <v>474</v>
      </c>
      <c r="G7" s="36">
        <v>2126044175</v>
      </c>
      <c r="H7" s="36">
        <v>2126044175</v>
      </c>
      <c r="I7" s="36">
        <v>0</v>
      </c>
      <c r="J7" s="36">
        <v>0</v>
      </c>
      <c r="K7" s="36">
        <v>0</v>
      </c>
      <c r="L7" s="36">
        <v>0</v>
      </c>
      <c r="M7" s="36">
        <f>SUM(H7:L7)</f>
        <v>2126044175</v>
      </c>
      <c r="N7" s="36">
        <v>0</v>
      </c>
      <c r="O7" s="36">
        <f>M7-H7</f>
        <v>0</v>
      </c>
      <c r="Q7" s="259"/>
      <c r="R7" s="36">
        <v>2126044175</v>
      </c>
      <c r="S7" s="36">
        <f>M7</f>
        <v>2126044175</v>
      </c>
      <c r="X7" s="36">
        <f>SUM(S7:W7)</f>
        <v>2126044175</v>
      </c>
      <c r="Y7" s="36">
        <v>0</v>
      </c>
      <c r="Z7" s="36">
        <f>X7-S7</f>
        <v>0</v>
      </c>
      <c r="AB7" s="259"/>
      <c r="AC7" s="36">
        <v>2126044175</v>
      </c>
      <c r="AD7" s="36">
        <f>X7</f>
        <v>2126044175</v>
      </c>
      <c r="AI7" s="36">
        <f>SUM(AD7:AH7)</f>
        <v>2126044175</v>
      </c>
      <c r="AJ7" s="36">
        <v>0</v>
      </c>
      <c r="AK7" s="36">
        <f>AI7-AD7</f>
        <v>0</v>
      </c>
      <c r="AN7" s="36">
        <v>2126044175</v>
      </c>
      <c r="AO7" s="36">
        <f>AI7</f>
        <v>2126044175</v>
      </c>
      <c r="AQ7" s="36">
        <f>'5.3'!E16</f>
        <v>-1936461513.2483287</v>
      </c>
      <c r="AT7" s="36">
        <f>SUM(AO7:AS7)</f>
        <v>189582661.75167131</v>
      </c>
      <c r="AU7" s="36">
        <v>0</v>
      </c>
      <c r="AV7" s="36">
        <f>AT7-AO7</f>
        <v>-1936461513.2483287</v>
      </c>
    </row>
    <row r="8" spans="4:49" s="36" customFormat="1" ht="18" customHeight="1">
      <c r="D8" s="36" t="s">
        <v>15</v>
      </c>
      <c r="E8" s="36" t="s">
        <v>469</v>
      </c>
      <c r="F8" s="267" t="s">
        <v>475</v>
      </c>
      <c r="G8" s="36">
        <f>'1.0'!F7</f>
        <v>19842800</v>
      </c>
      <c r="H8" s="36">
        <v>19842800</v>
      </c>
      <c r="I8" s="36">
        <v>0</v>
      </c>
      <c r="J8" s="36">
        <v>0</v>
      </c>
      <c r="K8" s="36">
        <v>0</v>
      </c>
      <c r="L8" s="36">
        <v>0</v>
      </c>
      <c r="M8" s="36">
        <f>SUM(H8:L8)</f>
        <v>19842800</v>
      </c>
      <c r="N8" s="36">
        <v>0</v>
      </c>
      <c r="O8" s="36">
        <f t="shared" ref="O8:O11" si="0">M8-H8</f>
        <v>0</v>
      </c>
      <c r="Q8" s="259"/>
      <c r="R8" s="36">
        <f>'1.0'!P7</f>
        <v>0</v>
      </c>
      <c r="S8" s="36">
        <f t="shared" ref="S8:S11" si="1">M8</f>
        <v>19842800</v>
      </c>
      <c r="X8" s="36">
        <f t="shared" ref="X8:X11" si="2">SUM(S8:W8)</f>
        <v>19842800</v>
      </c>
      <c r="Y8" s="36">
        <v>0</v>
      </c>
      <c r="Z8" s="36">
        <f t="shared" ref="Z8:Z11" si="3">X8-S8</f>
        <v>0</v>
      </c>
      <c r="AB8" s="259"/>
      <c r="AC8" s="36">
        <f>'1.0'!Z7</f>
        <v>0</v>
      </c>
      <c r="AD8" s="36">
        <f t="shared" ref="AD8:AD11" si="4">X8</f>
        <v>19842800</v>
      </c>
      <c r="AI8" s="36">
        <f t="shared" ref="AI8:AI11" si="5">SUM(AD8:AH8)</f>
        <v>19842800</v>
      </c>
      <c r="AJ8" s="36">
        <v>0</v>
      </c>
      <c r="AK8" s="36">
        <f t="shared" ref="AK8:AK11" si="6">AI8-AD8</f>
        <v>0</v>
      </c>
      <c r="AN8" s="36">
        <f>'1.0'!AK7</f>
        <v>0</v>
      </c>
      <c r="AO8" s="36">
        <f t="shared" ref="AO8:AO11" si="7">AI8</f>
        <v>19842800</v>
      </c>
      <c r="AT8" s="36">
        <f t="shared" ref="AT8:AT11" si="8">SUM(AO8:AS8)</f>
        <v>19842800</v>
      </c>
      <c r="AU8" s="36">
        <v>0</v>
      </c>
      <c r="AV8" s="36">
        <f t="shared" ref="AV8:AV11" si="9">AT8-AO8</f>
        <v>0</v>
      </c>
    </row>
    <row r="9" spans="4:49" s="36" customFormat="1" ht="18" customHeight="1">
      <c r="D9" s="36" t="s">
        <v>15</v>
      </c>
      <c r="E9" s="36" t="s">
        <v>481</v>
      </c>
      <c r="F9" s="267" t="s">
        <v>475</v>
      </c>
      <c r="G9" s="36">
        <v>13175822804</v>
      </c>
      <c r="H9" s="36">
        <v>13175822804</v>
      </c>
      <c r="I9" s="36">
        <v>0</v>
      </c>
      <c r="J9" s="36">
        <v>-13175822804</v>
      </c>
      <c r="M9" s="36">
        <f>SUM(H9:L9)</f>
        <v>0</v>
      </c>
      <c r="N9" s="36">
        <v>0</v>
      </c>
      <c r="O9" s="36">
        <f t="shared" si="0"/>
        <v>-13175822804</v>
      </c>
      <c r="P9" s="267" t="s">
        <v>470</v>
      </c>
      <c r="Q9" s="268"/>
      <c r="R9" s="36">
        <v>13175822804</v>
      </c>
      <c r="S9" s="36">
        <f t="shared" si="1"/>
        <v>0</v>
      </c>
      <c r="X9" s="36">
        <f t="shared" si="2"/>
        <v>0</v>
      </c>
      <c r="Y9" s="36">
        <v>0</v>
      </c>
      <c r="Z9" s="36">
        <f t="shared" si="3"/>
        <v>0</v>
      </c>
      <c r="AA9" s="267"/>
      <c r="AB9" s="268"/>
      <c r="AC9" s="36">
        <v>13175822804</v>
      </c>
      <c r="AD9" s="36">
        <f t="shared" si="4"/>
        <v>0</v>
      </c>
      <c r="AI9" s="36">
        <f t="shared" si="5"/>
        <v>0</v>
      </c>
      <c r="AJ9" s="36">
        <v>0</v>
      </c>
      <c r="AK9" s="36">
        <f t="shared" si="6"/>
        <v>0</v>
      </c>
      <c r="AL9" s="267"/>
      <c r="AN9" s="36">
        <v>13175822804</v>
      </c>
      <c r="AO9" s="36">
        <f t="shared" si="7"/>
        <v>0</v>
      </c>
      <c r="AT9" s="36">
        <f t="shared" si="8"/>
        <v>0</v>
      </c>
      <c r="AU9" s="36">
        <v>0</v>
      </c>
      <c r="AV9" s="36">
        <f t="shared" si="9"/>
        <v>0</v>
      </c>
      <c r="AW9" s="267"/>
    </row>
    <row r="10" spans="4:49" s="36" customFormat="1" ht="18" customHeight="1">
      <c r="D10" s="36" t="s">
        <v>15</v>
      </c>
      <c r="E10" s="36" t="s">
        <v>217</v>
      </c>
      <c r="F10" s="267" t="s">
        <v>475</v>
      </c>
      <c r="G10" s="36">
        <v>4096993217</v>
      </c>
      <c r="H10" s="36">
        <v>0</v>
      </c>
      <c r="I10" s="36">
        <v>4096993217</v>
      </c>
      <c r="M10" s="36">
        <f>SUM(H10:L10)</f>
        <v>4096993217</v>
      </c>
      <c r="O10" s="36">
        <f t="shared" si="0"/>
        <v>4096993217</v>
      </c>
      <c r="P10" s="267" t="s">
        <v>471</v>
      </c>
      <c r="Q10" s="268"/>
      <c r="R10" s="36">
        <v>4096993217</v>
      </c>
      <c r="S10" s="36">
        <f t="shared" si="1"/>
        <v>4096993217</v>
      </c>
      <c r="T10" s="36">
        <v>-4096993217</v>
      </c>
      <c r="X10" s="36">
        <f t="shared" si="2"/>
        <v>0</v>
      </c>
      <c r="Z10" s="36">
        <f t="shared" si="3"/>
        <v>-4096993217</v>
      </c>
      <c r="AA10" s="267" t="s">
        <v>1627</v>
      </c>
      <c r="AB10" s="268"/>
      <c r="AC10" s="36">
        <v>4096993217</v>
      </c>
      <c r="AD10" s="36">
        <f t="shared" si="4"/>
        <v>0</v>
      </c>
      <c r="AE10" s="36">
        <v>-4096993217</v>
      </c>
      <c r="AI10" s="36">
        <f t="shared" si="5"/>
        <v>-4096993217</v>
      </c>
      <c r="AK10" s="36">
        <f t="shared" si="6"/>
        <v>-4096993217</v>
      </c>
      <c r="AL10" s="267" t="s">
        <v>1627</v>
      </c>
      <c r="AN10" s="36">
        <v>4096993217</v>
      </c>
      <c r="AO10" s="36">
        <f t="shared" si="7"/>
        <v>-4096993217</v>
      </c>
      <c r="AP10" s="36">
        <v>-4096993217</v>
      </c>
      <c r="AT10" s="36">
        <f t="shared" si="8"/>
        <v>-8193986434</v>
      </c>
      <c r="AV10" s="36">
        <f t="shared" si="9"/>
        <v>-4096993217</v>
      </c>
      <c r="AW10" s="267" t="s">
        <v>1627</v>
      </c>
    </row>
    <row r="11" spans="4:49" s="36" customFormat="1" ht="18" customHeight="1">
      <c r="D11" s="36" t="s">
        <v>15</v>
      </c>
      <c r="E11" s="36" t="s">
        <v>472</v>
      </c>
      <c r="F11" s="267" t="s">
        <v>475</v>
      </c>
      <c r="G11" s="36">
        <v>297103293</v>
      </c>
      <c r="H11" s="36">
        <v>297103293</v>
      </c>
      <c r="J11" s="36">
        <v>-294995310</v>
      </c>
      <c r="L11" s="36">
        <v>-2107983</v>
      </c>
      <c r="M11" s="36">
        <f>SUM(H11:L11)</f>
        <v>0</v>
      </c>
      <c r="O11" s="36">
        <f t="shared" si="0"/>
        <v>-297103293</v>
      </c>
      <c r="Q11" s="259"/>
      <c r="R11" s="36">
        <v>297103293</v>
      </c>
      <c r="S11" s="36">
        <f t="shared" si="1"/>
        <v>0</v>
      </c>
      <c r="X11" s="36">
        <f t="shared" si="2"/>
        <v>0</v>
      </c>
      <c r="Z11" s="36">
        <f t="shared" si="3"/>
        <v>0</v>
      </c>
      <c r="AB11" s="259"/>
      <c r="AC11" s="36">
        <v>297103293</v>
      </c>
      <c r="AD11" s="36">
        <f t="shared" si="4"/>
        <v>0</v>
      </c>
      <c r="AI11" s="36">
        <f t="shared" si="5"/>
        <v>0</v>
      </c>
      <c r="AK11" s="36">
        <f t="shared" si="6"/>
        <v>0</v>
      </c>
      <c r="AN11" s="36">
        <v>297103293</v>
      </c>
      <c r="AO11" s="36">
        <f t="shared" si="7"/>
        <v>0</v>
      </c>
      <c r="AT11" s="36">
        <f t="shared" si="8"/>
        <v>0</v>
      </c>
      <c r="AV11" s="36">
        <f t="shared" si="9"/>
        <v>0</v>
      </c>
    </row>
    <row r="12" spans="4:49" s="36" customFormat="1" ht="18" customHeight="1">
      <c r="D12" s="269"/>
      <c r="E12" s="269"/>
      <c r="F12" s="269"/>
      <c r="G12" s="269"/>
      <c r="H12" s="269"/>
      <c r="I12" s="269"/>
      <c r="J12" s="269"/>
      <c r="K12" s="269"/>
      <c r="L12" s="269"/>
      <c r="M12" s="269"/>
      <c r="N12" s="269"/>
      <c r="O12" s="269"/>
      <c r="P12" s="269"/>
      <c r="Q12" s="259"/>
      <c r="R12" s="269"/>
      <c r="S12" s="269"/>
      <c r="T12" s="269"/>
      <c r="U12" s="269"/>
      <c r="V12" s="269"/>
      <c r="W12" s="269"/>
      <c r="X12" s="269"/>
      <c r="Y12" s="269"/>
      <c r="Z12" s="269"/>
      <c r="AA12" s="269"/>
      <c r="AB12" s="25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N12" s="269"/>
      <c r="AO12" s="269"/>
      <c r="AP12" s="269"/>
      <c r="AQ12" s="269"/>
      <c r="AR12" s="269"/>
      <c r="AS12" s="269"/>
      <c r="AT12" s="269"/>
      <c r="AU12" s="269"/>
      <c r="AV12" s="269"/>
      <c r="AW12" s="269"/>
    </row>
    <row r="14" spans="4:49" ht="18" customHeight="1">
      <c r="D14" s="27" t="s">
        <v>477</v>
      </c>
    </row>
    <row r="15" spans="4:49" s="36" customFormat="1" ht="18" customHeight="1">
      <c r="D15" s="263"/>
      <c r="Q15" s="259"/>
      <c r="AB15" s="259"/>
      <c r="AC15" s="824" t="s">
        <v>1847</v>
      </c>
      <c r="AD15" s="824"/>
      <c r="AE15" s="824"/>
      <c r="AF15" s="824"/>
      <c r="AG15" s="824"/>
      <c r="AH15" s="824"/>
      <c r="AI15" s="824"/>
      <c r="AJ15" s="824"/>
      <c r="AK15" s="824"/>
      <c r="AL15" s="824"/>
      <c r="AN15" s="825" t="s">
        <v>1898</v>
      </c>
      <c r="AO15" s="825"/>
      <c r="AP15" s="825"/>
      <c r="AQ15" s="825"/>
      <c r="AR15" s="825"/>
      <c r="AS15" s="825"/>
      <c r="AT15" s="825"/>
      <c r="AU15" s="825"/>
      <c r="AV15" s="825"/>
      <c r="AW15" s="825"/>
    </row>
    <row r="16" spans="4:49" s="266" customFormat="1" ht="18" customHeight="1">
      <c r="D16" s="264" t="s">
        <v>460</v>
      </c>
      <c r="E16" s="264" t="s">
        <v>461</v>
      </c>
      <c r="F16" s="264" t="s">
        <v>473</v>
      </c>
      <c r="G16" s="264" t="s">
        <v>468</v>
      </c>
      <c r="H16" s="264" t="s">
        <v>462</v>
      </c>
      <c r="I16" s="264" t="s">
        <v>463</v>
      </c>
      <c r="J16" s="264" t="s">
        <v>464</v>
      </c>
      <c r="K16" s="264" t="s">
        <v>465</v>
      </c>
      <c r="L16" s="264" t="s">
        <v>466</v>
      </c>
      <c r="M16" s="264" t="s">
        <v>395</v>
      </c>
      <c r="N16" s="264"/>
      <c r="O16" s="264" t="s">
        <v>467</v>
      </c>
      <c r="P16" s="264" t="s">
        <v>479</v>
      </c>
      <c r="Q16" s="265"/>
      <c r="R16" s="264" t="s">
        <v>468</v>
      </c>
      <c r="S16" s="264" t="s">
        <v>462</v>
      </c>
      <c r="T16" s="264" t="s">
        <v>463</v>
      </c>
      <c r="U16" s="264" t="s">
        <v>464</v>
      </c>
      <c r="V16" s="264" t="s">
        <v>465</v>
      </c>
      <c r="W16" s="264" t="s">
        <v>466</v>
      </c>
      <c r="X16" s="264" t="s">
        <v>396</v>
      </c>
      <c r="Y16" s="264"/>
      <c r="Z16" s="264" t="s">
        <v>467</v>
      </c>
      <c r="AA16" s="264" t="s">
        <v>479</v>
      </c>
      <c r="AB16" s="265"/>
      <c r="AC16" s="264" t="s">
        <v>468</v>
      </c>
      <c r="AD16" s="264" t="s">
        <v>462</v>
      </c>
      <c r="AE16" s="264" t="s">
        <v>463</v>
      </c>
      <c r="AF16" s="264" t="s">
        <v>464</v>
      </c>
      <c r="AG16" s="264" t="s">
        <v>465</v>
      </c>
      <c r="AH16" s="264" t="s">
        <v>466</v>
      </c>
      <c r="AI16" s="264" t="str">
        <f>AI6</f>
        <v>2019 3Q</v>
      </c>
      <c r="AJ16" s="264"/>
      <c r="AK16" s="264" t="s">
        <v>467</v>
      </c>
      <c r="AL16" s="264" t="s">
        <v>479</v>
      </c>
      <c r="AN16" s="264" t="s">
        <v>468</v>
      </c>
      <c r="AO16" s="264" t="s">
        <v>462</v>
      </c>
      <c r="AP16" s="264" t="s">
        <v>463</v>
      </c>
      <c r="AQ16" s="264" t="s">
        <v>464</v>
      </c>
      <c r="AR16" s="264" t="s">
        <v>465</v>
      </c>
      <c r="AS16" s="264" t="s">
        <v>466</v>
      </c>
      <c r="AT16" s="264" t="str">
        <f>AT6</f>
        <v>2019 4Q</v>
      </c>
      <c r="AU16" s="264"/>
      <c r="AV16" s="264" t="s">
        <v>467</v>
      </c>
      <c r="AW16" s="264" t="s">
        <v>479</v>
      </c>
    </row>
    <row r="17" spans="4:50" s="266" customFormat="1" ht="18" customHeight="1">
      <c r="D17" s="264" t="s">
        <v>474</v>
      </c>
      <c r="E17" s="264" t="s">
        <v>457</v>
      </c>
      <c r="F17" s="264"/>
      <c r="G17" s="264"/>
      <c r="H17" s="264"/>
      <c r="I17" s="264"/>
      <c r="J17" s="264"/>
      <c r="K17" s="264"/>
      <c r="L17" s="264" t="s">
        <v>539</v>
      </c>
      <c r="M17" s="270">
        <f>'5.1'!L14</f>
        <v>10.1318</v>
      </c>
      <c r="N17" s="270"/>
      <c r="O17" s="264"/>
      <c r="P17" s="264"/>
      <c r="Q17" s="265"/>
      <c r="R17" s="264"/>
      <c r="S17" s="264"/>
      <c r="T17" s="264"/>
      <c r="U17" s="264"/>
      <c r="V17" s="264"/>
      <c r="W17" s="264" t="s">
        <v>539</v>
      </c>
      <c r="X17" s="270">
        <f>'5.1'!M14</f>
        <v>10.282400000000001</v>
      </c>
      <c r="Y17" s="270"/>
      <c r="Z17" s="264"/>
      <c r="AA17" s="264"/>
      <c r="AB17" s="265"/>
      <c r="AC17" s="264"/>
      <c r="AD17" s="264"/>
      <c r="AE17" s="264"/>
      <c r="AF17" s="264"/>
      <c r="AG17" s="264"/>
      <c r="AH17" s="264" t="s">
        <v>539</v>
      </c>
      <c r="AI17" s="270">
        <f>'5.1'!W14</f>
        <v>0</v>
      </c>
      <c r="AJ17" s="270"/>
      <c r="AK17" s="264"/>
      <c r="AL17" s="264"/>
      <c r="AN17" s="264"/>
      <c r="AO17" s="264"/>
      <c r="AP17" s="264"/>
      <c r="AQ17" s="264"/>
      <c r="AR17" s="264"/>
      <c r="AS17" s="264" t="s">
        <v>539</v>
      </c>
      <c r="AT17" s="270">
        <f>'5.1'!AH14</f>
        <v>0</v>
      </c>
      <c r="AU17" s="270"/>
      <c r="AV17" s="264"/>
      <c r="AW17" s="264"/>
    </row>
    <row r="18" spans="4:50" s="36" customFormat="1" ht="18" customHeight="1">
      <c r="D18" s="36" t="s">
        <v>15</v>
      </c>
      <c r="E18" s="36" t="s">
        <v>430</v>
      </c>
      <c r="F18" s="267" t="s">
        <v>475</v>
      </c>
      <c r="G18" s="36">
        <v>21748156283</v>
      </c>
      <c r="H18" s="36">
        <v>21748156283</v>
      </c>
      <c r="L18" s="36">
        <v>-207501911</v>
      </c>
      <c r="M18" s="36">
        <f>SUM(H18:L18)</f>
        <v>21540654372</v>
      </c>
      <c r="O18" s="36">
        <f>M18-H18</f>
        <v>-207501911</v>
      </c>
      <c r="P18" s="267" t="s">
        <v>478</v>
      </c>
      <c r="Q18" s="268"/>
      <c r="R18" s="36">
        <v>21748156283</v>
      </c>
      <c r="S18" s="36">
        <f t="shared" ref="S18:S22" si="10">M18</f>
        <v>21540654372</v>
      </c>
      <c r="W18" s="36">
        <v>320182253</v>
      </c>
      <c r="X18" s="36">
        <f>SUM(S18:W18)</f>
        <v>21860836625</v>
      </c>
      <c r="Z18" s="36">
        <f>X18-S18</f>
        <v>320182253</v>
      </c>
      <c r="AA18" s="267"/>
      <c r="AB18" s="268"/>
      <c r="AC18" s="36">
        <f>R18</f>
        <v>21748156283</v>
      </c>
      <c r="AD18" s="36">
        <f>M18</f>
        <v>21540654372</v>
      </c>
      <c r="AE18" s="36">
        <f t="shared" ref="AE18:AE22" si="11">T18</f>
        <v>0</v>
      </c>
      <c r="AF18" s="36">
        <f>U18</f>
        <v>0</v>
      </c>
      <c r="AG18" s="36">
        <f t="shared" ref="AG18:AG22" si="12">V18</f>
        <v>0</v>
      </c>
      <c r="AH18" s="36">
        <v>2130721472</v>
      </c>
      <c r="AI18" s="36">
        <f>ROUND(AI7*'5.1'!$O$14,0)</f>
        <v>23671375844</v>
      </c>
      <c r="AK18" s="36">
        <f>AI18-AD18</f>
        <v>2130721472</v>
      </c>
      <c r="AL18" s="267"/>
      <c r="AN18" s="36">
        <f>AC18</f>
        <v>21748156283</v>
      </c>
      <c r="AO18" s="36">
        <f>M18</f>
        <v>21540654372</v>
      </c>
      <c r="AP18" s="36">
        <f t="shared" ref="AP18:AP22" si="13">AE18</f>
        <v>0</v>
      </c>
      <c r="AQ18" s="36">
        <f>ROUND(AQ7*AP26,0)</f>
        <v>-20593687255</v>
      </c>
      <c r="AR18" s="36">
        <f t="shared" ref="AR18:AR22" si="14">AG18</f>
        <v>0</v>
      </c>
      <c r="AS18" s="36">
        <v>1069187616</v>
      </c>
      <c r="AT18" s="36">
        <f>ROUND(AT7*AP26,0)</f>
        <v>2016154733</v>
      </c>
      <c r="AV18" s="36">
        <f>AT18-AO18</f>
        <v>-19524499639</v>
      </c>
      <c r="AW18" s="267" t="s">
        <v>1899</v>
      </c>
      <c r="AX18" s="58" t="b">
        <f>SUM(AO18:AS18)-AT18=0</f>
        <v>1</v>
      </c>
    </row>
    <row r="19" spans="4:50" s="36" customFormat="1" ht="18" customHeight="1">
      <c r="D19" s="36" t="s">
        <v>15</v>
      </c>
      <c r="E19" s="36" t="s">
        <v>469</v>
      </c>
      <c r="F19" s="267" t="s">
        <v>475</v>
      </c>
      <c r="G19" s="36">
        <v>19842800</v>
      </c>
      <c r="H19" s="36">
        <v>19842800</v>
      </c>
      <c r="M19" s="36">
        <f>SUM(H19:L19)</f>
        <v>19842800</v>
      </c>
      <c r="O19" s="36">
        <f t="shared" ref="O19:O22" si="15">M19-H19</f>
        <v>0</v>
      </c>
      <c r="P19" s="267"/>
      <c r="Q19" s="268"/>
      <c r="R19" s="36">
        <v>19842800</v>
      </c>
      <c r="S19" s="36">
        <f t="shared" si="10"/>
        <v>19842800</v>
      </c>
      <c r="X19" s="36">
        <f>SUM(S19:W19)</f>
        <v>19842800</v>
      </c>
      <c r="Z19" s="36">
        <f t="shared" ref="Z19:Z22" si="16">X19-S19</f>
        <v>0</v>
      </c>
      <c r="AA19" s="267"/>
      <c r="AB19" s="268"/>
      <c r="AC19" s="36">
        <f t="shared" ref="AC19:AC22" si="17">R19</f>
        <v>19842800</v>
      </c>
      <c r="AD19" s="36">
        <f t="shared" ref="AD19:AD22" si="18">S19</f>
        <v>19842800</v>
      </c>
      <c r="AE19" s="36">
        <f t="shared" si="11"/>
        <v>0</v>
      </c>
      <c r="AF19" s="36">
        <f t="shared" ref="AF19:AF22" si="19">U19</f>
        <v>0</v>
      </c>
      <c r="AG19" s="36">
        <f t="shared" si="12"/>
        <v>0</v>
      </c>
      <c r="AH19" s="36">
        <f t="shared" ref="AH19:AH22" si="20">W19</f>
        <v>0</v>
      </c>
      <c r="AI19" s="36">
        <f>AI8</f>
        <v>19842800</v>
      </c>
      <c r="AK19" s="36">
        <f t="shared" ref="AK19:AK22" si="21">AI19-AD19</f>
        <v>0</v>
      </c>
      <c r="AL19" s="267"/>
      <c r="AN19" s="36">
        <f t="shared" ref="AN19:AN22" si="22">AC19</f>
        <v>19842800</v>
      </c>
      <c r="AO19" s="36">
        <f t="shared" ref="AO19:AO22" si="23">AD19</f>
        <v>19842800</v>
      </c>
      <c r="AP19" s="36">
        <f t="shared" si="13"/>
        <v>0</v>
      </c>
      <c r="AQ19" s="36">
        <f t="shared" ref="AQ19:AQ22" si="24">AF19</f>
        <v>0</v>
      </c>
      <c r="AR19" s="36">
        <f t="shared" si="14"/>
        <v>0</v>
      </c>
      <c r="AS19" s="36">
        <f t="shared" ref="AS19:AS22" si="25">AH19</f>
        <v>0</v>
      </c>
      <c r="AT19" s="36">
        <f>AT8</f>
        <v>19842800</v>
      </c>
      <c r="AV19" s="36">
        <f t="shared" ref="AV19:AV22" si="26">AT19-AO19</f>
        <v>0</v>
      </c>
      <c r="AW19" s="267"/>
      <c r="AX19" s="58" t="b">
        <f t="shared" ref="AX19:AX22" si="27">SUM(AO19:AS19)=AT19</f>
        <v>1</v>
      </c>
    </row>
    <row r="20" spans="4:50" s="36" customFormat="1" ht="18" customHeight="1">
      <c r="D20" s="36" t="s">
        <v>15</v>
      </c>
      <c r="E20" s="36" t="s">
        <v>481</v>
      </c>
      <c r="F20" s="267" t="s">
        <v>475</v>
      </c>
      <c r="G20" s="36">
        <v>13175822804</v>
      </c>
      <c r="H20" s="36">
        <f>G20</f>
        <v>13175822804</v>
      </c>
      <c r="J20" s="36">
        <v>-13175822804</v>
      </c>
      <c r="M20" s="36">
        <f>SUM(H20:L20)</f>
        <v>0</v>
      </c>
      <c r="O20" s="36">
        <f t="shared" si="15"/>
        <v>-13175822804</v>
      </c>
      <c r="P20" s="267" t="s">
        <v>470</v>
      </c>
      <c r="Q20" s="268"/>
      <c r="R20" s="36">
        <v>13175822804</v>
      </c>
      <c r="S20" s="36">
        <f t="shared" si="10"/>
        <v>0</v>
      </c>
      <c r="X20" s="36">
        <f>SUM(S20:W20)</f>
        <v>0</v>
      </c>
      <c r="Z20" s="36">
        <f t="shared" si="16"/>
        <v>0</v>
      </c>
      <c r="AA20" s="267"/>
      <c r="AB20" s="268"/>
      <c r="AC20" s="36">
        <f t="shared" si="17"/>
        <v>13175822804</v>
      </c>
      <c r="AD20" s="36">
        <f t="shared" si="18"/>
        <v>0</v>
      </c>
      <c r="AE20" s="36">
        <f t="shared" si="11"/>
        <v>0</v>
      </c>
      <c r="AF20" s="36">
        <f t="shared" si="19"/>
        <v>0</v>
      </c>
      <c r="AG20" s="36">
        <f t="shared" si="12"/>
        <v>0</v>
      </c>
      <c r="AH20" s="36">
        <f t="shared" si="20"/>
        <v>0</v>
      </c>
      <c r="AI20" s="36">
        <f t="shared" ref="AI20:AI22" si="28">SUM(AD20:AH20)</f>
        <v>0</v>
      </c>
      <c r="AK20" s="36">
        <f t="shared" si="21"/>
        <v>0</v>
      </c>
      <c r="AL20" s="267"/>
      <c r="AN20" s="36">
        <f t="shared" si="22"/>
        <v>13175822804</v>
      </c>
      <c r="AO20" s="36">
        <f t="shared" si="23"/>
        <v>0</v>
      </c>
      <c r="AP20" s="36">
        <f t="shared" si="13"/>
        <v>0</v>
      </c>
      <c r="AQ20" s="36">
        <f t="shared" si="24"/>
        <v>0</v>
      </c>
      <c r="AR20" s="36">
        <f t="shared" si="14"/>
        <v>0</v>
      </c>
      <c r="AS20" s="36">
        <f t="shared" si="25"/>
        <v>0</v>
      </c>
      <c r="AT20" s="36">
        <f t="shared" ref="AT20:AT22" si="29">SUM(AO20:AS20)</f>
        <v>0</v>
      </c>
      <c r="AV20" s="36">
        <f t="shared" si="26"/>
        <v>0</v>
      </c>
      <c r="AW20" s="267"/>
      <c r="AX20" s="58" t="b">
        <f t="shared" si="27"/>
        <v>1</v>
      </c>
    </row>
    <row r="21" spans="4:50" s="36" customFormat="1" ht="18" customHeight="1">
      <c r="D21" s="36" t="s">
        <v>15</v>
      </c>
      <c r="E21" s="36" t="s">
        <v>217</v>
      </c>
      <c r="F21" s="267" t="s">
        <v>475</v>
      </c>
      <c r="G21" s="36">
        <v>4096993217</v>
      </c>
      <c r="H21" s="36">
        <v>0</v>
      </c>
      <c r="I21" s="36">
        <v>4096993217</v>
      </c>
      <c r="J21" s="36">
        <v>0</v>
      </c>
      <c r="M21" s="36">
        <f>SUM(H21:L21)</f>
        <v>4096993217</v>
      </c>
      <c r="O21" s="36">
        <f t="shared" si="15"/>
        <v>4096993217</v>
      </c>
      <c r="P21" s="267" t="s">
        <v>471</v>
      </c>
      <c r="Q21" s="268"/>
      <c r="R21" s="36">
        <v>4096993217</v>
      </c>
      <c r="S21" s="36">
        <f t="shared" si="10"/>
        <v>4096993217</v>
      </c>
      <c r="T21" s="36">
        <f>-S21</f>
        <v>-4096993217</v>
      </c>
      <c r="X21" s="36">
        <f>SUM(S21:W21)</f>
        <v>0</v>
      </c>
      <c r="Z21" s="36">
        <f t="shared" si="16"/>
        <v>-4096993217</v>
      </c>
      <c r="AA21" s="267" t="s">
        <v>1627</v>
      </c>
      <c r="AB21" s="268"/>
      <c r="AC21" s="36">
        <f t="shared" si="17"/>
        <v>4096993217</v>
      </c>
      <c r="AD21" s="36">
        <f t="shared" si="18"/>
        <v>4096993217</v>
      </c>
      <c r="AE21" s="36">
        <f t="shared" si="11"/>
        <v>-4096993217</v>
      </c>
      <c r="AF21" s="36">
        <f t="shared" si="19"/>
        <v>0</v>
      </c>
      <c r="AG21" s="36">
        <f t="shared" si="12"/>
        <v>0</v>
      </c>
      <c r="AH21" s="36">
        <f t="shared" si="20"/>
        <v>0</v>
      </c>
      <c r="AI21" s="36">
        <f t="shared" si="28"/>
        <v>0</v>
      </c>
      <c r="AK21" s="36">
        <f t="shared" si="21"/>
        <v>-4096993217</v>
      </c>
      <c r="AL21" s="267" t="s">
        <v>1627</v>
      </c>
      <c r="AN21" s="36">
        <f t="shared" si="22"/>
        <v>4096993217</v>
      </c>
      <c r="AO21" s="36">
        <f t="shared" si="23"/>
        <v>4096993217</v>
      </c>
      <c r="AP21" s="36">
        <f t="shared" si="13"/>
        <v>-4096993217</v>
      </c>
      <c r="AQ21" s="36">
        <f t="shared" si="24"/>
        <v>0</v>
      </c>
      <c r="AR21" s="36">
        <f t="shared" si="14"/>
        <v>0</v>
      </c>
      <c r="AS21" s="36">
        <f t="shared" si="25"/>
        <v>0</v>
      </c>
      <c r="AT21" s="36">
        <f t="shared" si="29"/>
        <v>0</v>
      </c>
      <c r="AV21" s="36">
        <f t="shared" si="26"/>
        <v>-4096993217</v>
      </c>
      <c r="AW21" s="267" t="s">
        <v>1627</v>
      </c>
      <c r="AX21" s="58" t="b">
        <f t="shared" si="27"/>
        <v>1</v>
      </c>
    </row>
    <row r="22" spans="4:50" s="36" customFormat="1" ht="18" customHeight="1">
      <c r="D22" s="36" t="s">
        <v>15</v>
      </c>
      <c r="E22" s="36" t="s">
        <v>472</v>
      </c>
      <c r="F22" s="267" t="s">
        <v>475</v>
      </c>
      <c r="G22" s="36">
        <v>297103293</v>
      </c>
      <c r="H22" s="36">
        <v>297103293</v>
      </c>
      <c r="J22" s="36">
        <v>-294995310</v>
      </c>
      <c r="L22" s="36">
        <v>-2107983</v>
      </c>
      <c r="M22" s="36">
        <f>SUM(H22:L22)</f>
        <v>0</v>
      </c>
      <c r="O22" s="36">
        <f t="shared" si="15"/>
        <v>-297103293</v>
      </c>
      <c r="P22" s="267" t="s">
        <v>482</v>
      </c>
      <c r="Q22" s="268"/>
      <c r="R22" s="36">
        <v>297103293</v>
      </c>
      <c r="S22" s="36">
        <f t="shared" si="10"/>
        <v>0</v>
      </c>
      <c r="X22" s="36">
        <f>SUM(S22:W22)</f>
        <v>0</v>
      </c>
      <c r="Z22" s="36">
        <f t="shared" si="16"/>
        <v>0</v>
      </c>
      <c r="AA22" s="267"/>
      <c r="AB22" s="268"/>
      <c r="AC22" s="36">
        <f t="shared" si="17"/>
        <v>297103293</v>
      </c>
      <c r="AD22" s="36">
        <f t="shared" si="18"/>
        <v>0</v>
      </c>
      <c r="AE22" s="36">
        <f t="shared" si="11"/>
        <v>0</v>
      </c>
      <c r="AF22" s="36">
        <f t="shared" si="19"/>
        <v>0</v>
      </c>
      <c r="AG22" s="36">
        <f t="shared" si="12"/>
        <v>0</v>
      </c>
      <c r="AH22" s="36">
        <f t="shared" si="20"/>
        <v>0</v>
      </c>
      <c r="AI22" s="36">
        <f t="shared" si="28"/>
        <v>0</v>
      </c>
      <c r="AK22" s="36">
        <f t="shared" si="21"/>
        <v>0</v>
      </c>
      <c r="AL22" s="267"/>
      <c r="AN22" s="36">
        <f t="shared" si="22"/>
        <v>297103293</v>
      </c>
      <c r="AO22" s="36">
        <f t="shared" si="23"/>
        <v>0</v>
      </c>
      <c r="AP22" s="36">
        <f t="shared" si="13"/>
        <v>0</v>
      </c>
      <c r="AQ22" s="36">
        <f t="shared" si="24"/>
        <v>0</v>
      </c>
      <c r="AR22" s="36">
        <f t="shared" si="14"/>
        <v>0</v>
      </c>
      <c r="AS22" s="36">
        <f t="shared" si="25"/>
        <v>0</v>
      </c>
      <c r="AT22" s="36">
        <f t="shared" si="29"/>
        <v>0</v>
      </c>
      <c r="AV22" s="36">
        <f t="shared" si="26"/>
        <v>0</v>
      </c>
      <c r="AW22" s="267"/>
      <c r="AX22" s="58" t="b">
        <f t="shared" si="27"/>
        <v>1</v>
      </c>
    </row>
    <row r="23" spans="4:50" s="58" customFormat="1" ht="18" customHeight="1">
      <c r="D23" s="52" t="s">
        <v>429</v>
      </c>
      <c r="E23" s="52"/>
      <c r="F23" s="271"/>
      <c r="G23" s="52">
        <f>SUM(G18:G22)</f>
        <v>39337918397</v>
      </c>
      <c r="H23" s="52">
        <f t="shared" ref="H23:M23" si="30">SUM(H18:H22)</f>
        <v>35240925180</v>
      </c>
      <c r="I23" s="52">
        <f t="shared" si="30"/>
        <v>4096993217</v>
      </c>
      <c r="J23" s="52">
        <f t="shared" si="30"/>
        <v>-13470818114</v>
      </c>
      <c r="K23" s="52">
        <f t="shared" si="30"/>
        <v>0</v>
      </c>
      <c r="L23" s="52">
        <f t="shared" si="30"/>
        <v>-209609894</v>
      </c>
      <c r="M23" s="52">
        <f t="shared" si="30"/>
        <v>25657490389</v>
      </c>
      <c r="N23" s="52"/>
      <c r="O23" s="52"/>
      <c r="P23" s="52"/>
      <c r="Q23" s="272"/>
      <c r="R23" s="52">
        <f>SUM(R18:R22)</f>
        <v>39337918397</v>
      </c>
      <c r="S23" s="52">
        <f t="shared" ref="S23:X23" si="31">SUM(S18:S22)</f>
        <v>25657490389</v>
      </c>
      <c r="T23" s="52">
        <f t="shared" si="31"/>
        <v>-4096993217</v>
      </c>
      <c r="U23" s="52">
        <f t="shared" si="31"/>
        <v>0</v>
      </c>
      <c r="V23" s="52">
        <f t="shared" si="31"/>
        <v>0</v>
      </c>
      <c r="W23" s="52">
        <f t="shared" si="31"/>
        <v>320182253</v>
      </c>
      <c r="X23" s="52">
        <f t="shared" si="31"/>
        <v>21880679425</v>
      </c>
      <c r="Y23" s="52"/>
      <c r="Z23" s="52"/>
      <c r="AA23" s="52"/>
      <c r="AB23" s="272"/>
      <c r="AC23" s="52">
        <f>SUM(AC18:AC22)</f>
        <v>39337918397</v>
      </c>
      <c r="AD23" s="52">
        <f t="shared" ref="AD23:AI23" si="32">SUM(AD18:AD22)</f>
        <v>25657490389</v>
      </c>
      <c r="AE23" s="52">
        <f t="shared" si="32"/>
        <v>-4096993217</v>
      </c>
      <c r="AF23" s="52">
        <f t="shared" si="32"/>
        <v>0</v>
      </c>
      <c r="AG23" s="52">
        <f t="shared" si="32"/>
        <v>0</v>
      </c>
      <c r="AH23" s="52">
        <f t="shared" si="32"/>
        <v>2130721472</v>
      </c>
      <c r="AI23" s="52">
        <f t="shared" si="32"/>
        <v>23691218644</v>
      </c>
      <c r="AJ23" s="52"/>
      <c r="AK23" s="52"/>
      <c r="AL23" s="52"/>
      <c r="AN23" s="52">
        <f>SUM(AN18:AN22)</f>
        <v>39337918397</v>
      </c>
      <c r="AO23" s="52">
        <f t="shared" ref="AO23:AT23" si="33">SUM(AO18:AO22)</f>
        <v>25657490389</v>
      </c>
      <c r="AP23" s="52">
        <f t="shared" si="33"/>
        <v>-4096993217</v>
      </c>
      <c r="AQ23" s="52">
        <f t="shared" si="33"/>
        <v>-20593687255</v>
      </c>
      <c r="AR23" s="52">
        <f t="shared" si="33"/>
        <v>0</v>
      </c>
      <c r="AS23" s="52">
        <f t="shared" si="33"/>
        <v>1069187616</v>
      </c>
      <c r="AT23" s="52">
        <f t="shared" si="33"/>
        <v>2035997533</v>
      </c>
      <c r="AU23" s="52"/>
      <c r="AV23" s="52"/>
      <c r="AW23" s="52"/>
    </row>
    <row r="24" spans="4:50" s="58" customFormat="1" ht="18" customHeight="1">
      <c r="M24" s="273"/>
      <c r="Q24" s="272"/>
      <c r="X24" s="273"/>
      <c r="AB24" s="272"/>
      <c r="AI24" s="273"/>
      <c r="AT24" s="273"/>
    </row>
    <row r="25" spans="4:50" s="36" customFormat="1" ht="18" customHeight="1">
      <c r="Q25" s="259"/>
      <c r="AB25" s="259"/>
      <c r="AD25" s="36">
        <v>2447102013.5100002</v>
      </c>
      <c r="AH25" s="274" t="s">
        <v>1726</v>
      </c>
      <c r="AI25" s="275">
        <v>4096993217</v>
      </c>
      <c r="AO25" s="36" t="s">
        <v>458</v>
      </c>
      <c r="AP25" s="276">
        <f>'5.1'!P15</f>
        <v>10.6976</v>
      </c>
      <c r="AS25" s="274" t="s">
        <v>1726</v>
      </c>
      <c r="AT25" s="275">
        <v>4096993217</v>
      </c>
    </row>
    <row r="26" spans="4:50" ht="18" customHeight="1">
      <c r="AH26" s="274" t="s">
        <v>1727</v>
      </c>
      <c r="AI26" s="275">
        <v>484923306</v>
      </c>
      <c r="AO26" s="28" t="s">
        <v>457</v>
      </c>
      <c r="AP26" s="277">
        <f>'5.1'!P14</f>
        <v>10.6347</v>
      </c>
      <c r="AS26" s="274" t="s">
        <v>1727</v>
      </c>
      <c r="AT26" s="275">
        <v>484923306</v>
      </c>
    </row>
    <row r="27" spans="4:50" ht="18" customHeight="1">
      <c r="AH27" s="274" t="s">
        <v>498</v>
      </c>
      <c r="AI27" s="275">
        <f>SUM(AI25:AI26,AI23)</f>
        <v>28273135167</v>
      </c>
      <c r="AS27" s="274" t="s">
        <v>498</v>
      </c>
      <c r="AT27" s="275">
        <f>SUM(AT25:AT26,AT23)</f>
        <v>6617914056</v>
      </c>
    </row>
    <row r="28" spans="4:50" ht="18" customHeight="1" thickBot="1">
      <c r="AH28" s="278" t="s">
        <v>1728</v>
      </c>
      <c r="AI28" s="279"/>
      <c r="AS28" s="278" t="s">
        <v>1728</v>
      </c>
      <c r="AT28" s="279" t="b">
        <f>T_BS!AA123+T_BS!AA124=AT27</f>
        <v>1</v>
      </c>
    </row>
    <row r="29" spans="4:50" ht="18" customHeight="1" thickTop="1"/>
  </sheetData>
  <mergeCells count="4">
    <mergeCell ref="AC5:AL5"/>
    <mergeCell ref="AC15:AL15"/>
    <mergeCell ref="AN5:AW5"/>
    <mergeCell ref="AN15:AW15"/>
  </mergeCells>
  <phoneticPr fontId="1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4:AJ23"/>
  <sheetViews>
    <sheetView showGridLines="0" zoomScaleNormal="100" workbookViewId="0">
      <selection activeCell="AH25" sqref="AH25"/>
    </sheetView>
  </sheetViews>
  <sheetFormatPr defaultColWidth="8.75" defaultRowHeight="18" customHeight="1" outlineLevelCol="1"/>
  <cols>
    <col min="1" max="3" width="2.375" style="5" customWidth="1"/>
    <col min="4" max="4" width="15.375" style="5" customWidth="1"/>
    <col min="5" max="5" width="16" style="5" bestFit="1" customWidth="1"/>
    <col min="6" max="6" width="14.75" style="5" customWidth="1" outlineLevel="1"/>
    <col min="7" max="16" width="14.75" style="5" hidden="1" customWidth="1" outlineLevel="1"/>
    <col min="17" max="26" width="14.75" style="5" hidden="1" customWidth="1"/>
    <col min="27" max="36" width="14.75" style="5" customWidth="1"/>
    <col min="37" max="16384" width="8.75" style="5"/>
  </cols>
  <sheetData>
    <row r="4" spans="4:36" ht="18" customHeight="1" thickBot="1">
      <c r="D4" s="69" t="s">
        <v>476</v>
      </c>
    </row>
    <row r="5" spans="4:36" s="8" customFormat="1" ht="18" customHeight="1">
      <c r="D5" s="137" t="s">
        <v>460</v>
      </c>
      <c r="E5" s="138" t="s">
        <v>461</v>
      </c>
      <c r="F5" s="138" t="s">
        <v>473</v>
      </c>
      <c r="G5" s="138" t="s">
        <v>468</v>
      </c>
      <c r="H5" s="138" t="s">
        <v>462</v>
      </c>
      <c r="I5" s="138" t="s">
        <v>463</v>
      </c>
      <c r="J5" s="138" t="s">
        <v>464</v>
      </c>
      <c r="K5" s="138" t="s">
        <v>465</v>
      </c>
      <c r="L5" s="138" t="s">
        <v>466</v>
      </c>
      <c r="M5" s="138" t="s">
        <v>395</v>
      </c>
      <c r="N5" s="138" t="s">
        <v>486</v>
      </c>
      <c r="O5" s="138" t="s">
        <v>467</v>
      </c>
      <c r="P5" s="139" t="s">
        <v>479</v>
      </c>
      <c r="Q5" s="138" t="s">
        <v>468</v>
      </c>
      <c r="R5" s="138" t="s">
        <v>462</v>
      </c>
      <c r="S5" s="138" t="s">
        <v>463</v>
      </c>
      <c r="T5" s="138" t="s">
        <v>464</v>
      </c>
      <c r="U5" s="138" t="s">
        <v>465</v>
      </c>
      <c r="V5" s="138" t="s">
        <v>466</v>
      </c>
      <c r="W5" s="138" t="s">
        <v>396</v>
      </c>
      <c r="X5" s="138" t="s">
        <v>486</v>
      </c>
      <c r="Y5" s="138" t="s">
        <v>467</v>
      </c>
      <c r="Z5" s="139" t="s">
        <v>479</v>
      </c>
      <c r="AA5" s="138" t="s">
        <v>468</v>
      </c>
      <c r="AB5" s="138" t="s">
        <v>462</v>
      </c>
      <c r="AC5" s="138" t="s">
        <v>463</v>
      </c>
      <c r="AD5" s="138" t="s">
        <v>464</v>
      </c>
      <c r="AE5" s="138" t="s">
        <v>465</v>
      </c>
      <c r="AF5" s="138" t="s">
        <v>466</v>
      </c>
      <c r="AG5" s="138" t="s">
        <v>396</v>
      </c>
      <c r="AH5" s="138" t="s">
        <v>486</v>
      </c>
      <c r="AI5" s="138" t="s">
        <v>467</v>
      </c>
      <c r="AJ5" s="139" t="s">
        <v>479</v>
      </c>
    </row>
    <row r="6" spans="4:36" ht="18" customHeight="1">
      <c r="D6" s="98" t="s">
        <v>15</v>
      </c>
      <c r="E6" s="96" t="s">
        <v>430</v>
      </c>
      <c r="F6" s="100" t="s">
        <v>474</v>
      </c>
      <c r="G6" s="96">
        <v>2126044175</v>
      </c>
      <c r="H6" s="96">
        <v>2126044175</v>
      </c>
      <c r="I6" s="96">
        <v>0</v>
      </c>
      <c r="J6" s="96">
        <v>0</v>
      </c>
      <c r="K6" s="96">
        <v>0</v>
      </c>
      <c r="L6" s="96">
        <v>0</v>
      </c>
      <c r="M6" s="96">
        <f>SUM(H6:L6)</f>
        <v>2126044175</v>
      </c>
      <c r="N6" s="96">
        <v>0</v>
      </c>
      <c r="O6" s="96">
        <f>M6-H6</f>
        <v>0</v>
      </c>
      <c r="P6" s="97"/>
      <c r="Q6" s="96">
        <v>2126044175</v>
      </c>
      <c r="R6" s="96">
        <f>M6</f>
        <v>2126044175</v>
      </c>
      <c r="S6" s="96"/>
      <c r="T6" s="96"/>
      <c r="U6" s="96"/>
      <c r="V6" s="96"/>
      <c r="W6" s="96">
        <f>SUM(R6:V6)</f>
        <v>2126044175</v>
      </c>
      <c r="X6" s="96">
        <v>0</v>
      </c>
      <c r="Y6" s="96">
        <f>W6-R6</f>
        <v>0</v>
      </c>
      <c r="Z6" s="97"/>
      <c r="AA6" s="96">
        <v>2126044175</v>
      </c>
      <c r="AB6" s="96">
        <f>W6</f>
        <v>2126044175</v>
      </c>
      <c r="AC6" s="96"/>
      <c r="AD6" s="96"/>
      <c r="AE6" s="96"/>
      <c r="AF6" s="96"/>
      <c r="AG6" s="96">
        <f>SUM(AB6:AF6)</f>
        <v>2126044175</v>
      </c>
      <c r="AH6" s="96">
        <v>0</v>
      </c>
      <c r="AI6" s="96">
        <f>AG6-AB6</f>
        <v>0</v>
      </c>
      <c r="AJ6" s="97"/>
    </row>
    <row r="7" spans="4:36" ht="18" customHeight="1">
      <c r="D7" s="98" t="s">
        <v>15</v>
      </c>
      <c r="E7" s="96" t="s">
        <v>469</v>
      </c>
      <c r="F7" s="100" t="s">
        <v>475</v>
      </c>
      <c r="G7" s="96">
        <f>'1.0'!F7</f>
        <v>19842800</v>
      </c>
      <c r="H7" s="96">
        <v>19842800</v>
      </c>
      <c r="I7" s="96">
        <v>0</v>
      </c>
      <c r="J7" s="96">
        <v>0</v>
      </c>
      <c r="K7" s="96">
        <v>0</v>
      </c>
      <c r="L7" s="96">
        <v>0</v>
      </c>
      <c r="M7" s="96">
        <f>SUM(H7:L7)</f>
        <v>19842800</v>
      </c>
      <c r="N7" s="96">
        <v>0</v>
      </c>
      <c r="O7" s="96">
        <f t="shared" ref="O7:O10" si="0">M7-H7</f>
        <v>0</v>
      </c>
      <c r="P7" s="97"/>
      <c r="Q7" s="96">
        <f>'1.0'!P7</f>
        <v>0</v>
      </c>
      <c r="R7" s="96">
        <f t="shared" ref="R7:R10" si="1">M7</f>
        <v>19842800</v>
      </c>
      <c r="S7" s="96"/>
      <c r="T7" s="96"/>
      <c r="U7" s="96"/>
      <c r="V7" s="96"/>
      <c r="W7" s="96">
        <f t="shared" ref="W7:W10" si="2">SUM(R7:V7)</f>
        <v>19842800</v>
      </c>
      <c r="X7" s="96">
        <v>0</v>
      </c>
      <c r="Y7" s="96">
        <f t="shared" ref="Y7:Y10" si="3">W7-R7</f>
        <v>0</v>
      </c>
      <c r="Z7" s="97"/>
      <c r="AA7" s="96">
        <f>'1.0'!Z7</f>
        <v>0</v>
      </c>
      <c r="AB7" s="96">
        <f t="shared" ref="AB7:AB10" si="4">W7</f>
        <v>19842800</v>
      </c>
      <c r="AC7" s="96"/>
      <c r="AD7" s="96"/>
      <c r="AE7" s="96"/>
      <c r="AF7" s="96"/>
      <c r="AG7" s="96">
        <f t="shared" ref="AG7:AG10" si="5">SUM(AB7:AF7)</f>
        <v>19842800</v>
      </c>
      <c r="AH7" s="96">
        <v>0</v>
      </c>
      <c r="AI7" s="96">
        <f t="shared" ref="AI7:AI10" si="6">AG7-AB7</f>
        <v>0</v>
      </c>
      <c r="AJ7" s="97"/>
    </row>
    <row r="8" spans="4:36" ht="18" customHeight="1">
      <c r="D8" s="98" t="s">
        <v>15</v>
      </c>
      <c r="E8" s="96" t="s">
        <v>481</v>
      </c>
      <c r="F8" s="100" t="s">
        <v>475</v>
      </c>
      <c r="G8" s="96">
        <v>13175822804</v>
      </c>
      <c r="H8" s="96">
        <v>13175822804</v>
      </c>
      <c r="I8" s="96">
        <v>0</v>
      </c>
      <c r="J8" s="96">
        <v>-13175822804</v>
      </c>
      <c r="K8" s="96"/>
      <c r="L8" s="96"/>
      <c r="M8" s="96">
        <f>SUM(H8:L8)</f>
        <v>0</v>
      </c>
      <c r="N8" s="96">
        <v>0</v>
      </c>
      <c r="O8" s="96">
        <f t="shared" si="0"/>
        <v>-13175822804</v>
      </c>
      <c r="P8" s="140" t="s">
        <v>470</v>
      </c>
      <c r="Q8" s="96">
        <v>13175822804</v>
      </c>
      <c r="R8" s="96">
        <f t="shared" si="1"/>
        <v>0</v>
      </c>
      <c r="S8" s="96"/>
      <c r="T8" s="96"/>
      <c r="U8" s="96"/>
      <c r="V8" s="96"/>
      <c r="W8" s="96">
        <f t="shared" si="2"/>
        <v>0</v>
      </c>
      <c r="X8" s="96">
        <v>0</v>
      </c>
      <c r="Y8" s="96">
        <f t="shared" si="3"/>
        <v>0</v>
      </c>
      <c r="Z8" s="140"/>
      <c r="AA8" s="96">
        <v>13175822804</v>
      </c>
      <c r="AB8" s="96">
        <f t="shared" si="4"/>
        <v>0</v>
      </c>
      <c r="AC8" s="96"/>
      <c r="AD8" s="96"/>
      <c r="AE8" s="96"/>
      <c r="AF8" s="96"/>
      <c r="AG8" s="96">
        <f t="shared" si="5"/>
        <v>0</v>
      </c>
      <c r="AH8" s="96">
        <v>0</v>
      </c>
      <c r="AI8" s="96">
        <f t="shared" si="6"/>
        <v>0</v>
      </c>
      <c r="AJ8" s="140"/>
    </row>
    <row r="9" spans="4:36" ht="18" customHeight="1">
      <c r="D9" s="98" t="s">
        <v>15</v>
      </c>
      <c r="E9" s="96" t="s">
        <v>217</v>
      </c>
      <c r="F9" s="100" t="s">
        <v>475</v>
      </c>
      <c r="G9" s="96">
        <v>4096993217</v>
      </c>
      <c r="H9" s="96">
        <v>0</v>
      </c>
      <c r="I9" s="96">
        <v>4096993217</v>
      </c>
      <c r="J9" s="96"/>
      <c r="K9" s="96"/>
      <c r="L9" s="96"/>
      <c r="M9" s="96">
        <f>SUM(H9:L9)</f>
        <v>4096993217</v>
      </c>
      <c r="N9" s="96"/>
      <c r="O9" s="96">
        <f t="shared" si="0"/>
        <v>4096993217</v>
      </c>
      <c r="P9" s="140" t="s">
        <v>471</v>
      </c>
      <c r="Q9" s="96">
        <v>4096993217</v>
      </c>
      <c r="R9" s="96">
        <f t="shared" si="1"/>
        <v>4096993217</v>
      </c>
      <c r="S9" s="96">
        <v>-4096993217</v>
      </c>
      <c r="T9" s="96"/>
      <c r="U9" s="96"/>
      <c r="V9" s="96"/>
      <c r="W9" s="96">
        <f t="shared" si="2"/>
        <v>0</v>
      </c>
      <c r="X9" s="96"/>
      <c r="Y9" s="96">
        <f t="shared" si="3"/>
        <v>-4096993217</v>
      </c>
      <c r="Z9" s="140" t="s">
        <v>1627</v>
      </c>
      <c r="AA9" s="96">
        <v>4096993217</v>
      </c>
      <c r="AB9" s="96">
        <f t="shared" si="4"/>
        <v>0</v>
      </c>
      <c r="AC9" s="96">
        <v>-4096993217</v>
      </c>
      <c r="AD9" s="96"/>
      <c r="AE9" s="96"/>
      <c r="AF9" s="96"/>
      <c r="AG9" s="96">
        <f t="shared" si="5"/>
        <v>-4096993217</v>
      </c>
      <c r="AH9" s="96"/>
      <c r="AI9" s="96">
        <f t="shared" si="6"/>
        <v>-4096993217</v>
      </c>
      <c r="AJ9" s="140" t="s">
        <v>1627</v>
      </c>
    </row>
    <row r="10" spans="4:36" ht="18" customHeight="1" thickBot="1">
      <c r="D10" s="141" t="s">
        <v>15</v>
      </c>
      <c r="E10" s="142" t="s">
        <v>472</v>
      </c>
      <c r="F10" s="143" t="s">
        <v>475</v>
      </c>
      <c r="G10" s="142">
        <v>297103293</v>
      </c>
      <c r="H10" s="142">
        <v>297103293</v>
      </c>
      <c r="I10" s="142"/>
      <c r="J10" s="142">
        <v>-294995310</v>
      </c>
      <c r="K10" s="142"/>
      <c r="L10" s="142">
        <v>-2107983</v>
      </c>
      <c r="M10" s="142">
        <f>SUM(H10:L10)</f>
        <v>0</v>
      </c>
      <c r="N10" s="142"/>
      <c r="O10" s="142">
        <f t="shared" si="0"/>
        <v>-297103293</v>
      </c>
      <c r="P10" s="144"/>
      <c r="Q10" s="142">
        <v>297103293</v>
      </c>
      <c r="R10" s="96">
        <f t="shared" si="1"/>
        <v>0</v>
      </c>
      <c r="S10" s="142"/>
      <c r="T10" s="142"/>
      <c r="U10" s="142"/>
      <c r="V10" s="142"/>
      <c r="W10" s="96">
        <f t="shared" si="2"/>
        <v>0</v>
      </c>
      <c r="X10" s="142"/>
      <c r="Y10" s="142">
        <f t="shared" si="3"/>
        <v>0</v>
      </c>
      <c r="Z10" s="144"/>
      <c r="AA10" s="142">
        <v>297103293</v>
      </c>
      <c r="AB10" s="96">
        <f t="shared" si="4"/>
        <v>0</v>
      </c>
      <c r="AC10" s="142"/>
      <c r="AD10" s="142"/>
      <c r="AE10" s="142"/>
      <c r="AF10" s="142"/>
      <c r="AG10" s="96">
        <f t="shared" si="5"/>
        <v>0</v>
      </c>
      <c r="AH10" s="142"/>
      <c r="AI10" s="142">
        <f t="shared" si="6"/>
        <v>0</v>
      </c>
      <c r="AJ10" s="144"/>
    </row>
    <row r="11" spans="4:36" ht="18" customHeight="1" thickBot="1">
      <c r="D11" s="145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7"/>
      <c r="Q11" s="146"/>
      <c r="R11" s="146"/>
      <c r="S11" s="146"/>
      <c r="T11" s="146"/>
      <c r="U11" s="146"/>
      <c r="V11" s="146"/>
      <c r="W11" s="146"/>
      <c r="X11" s="146"/>
      <c r="Y11" s="146"/>
      <c r="Z11" s="147"/>
      <c r="AA11" s="146"/>
      <c r="AB11" s="146"/>
      <c r="AC11" s="146"/>
      <c r="AD11" s="146"/>
      <c r="AE11" s="146"/>
      <c r="AF11" s="146"/>
      <c r="AG11" s="146"/>
      <c r="AH11" s="146"/>
      <c r="AI11" s="146"/>
      <c r="AJ11" s="147"/>
    </row>
    <row r="13" spans="4:36" ht="18" customHeight="1" thickBot="1">
      <c r="D13" s="69" t="s">
        <v>477</v>
      </c>
    </row>
    <row r="14" spans="4:36" s="8" customFormat="1" ht="18" customHeight="1">
      <c r="D14" s="137" t="s">
        <v>460</v>
      </c>
      <c r="E14" s="138" t="s">
        <v>461</v>
      </c>
      <c r="F14" s="138" t="s">
        <v>473</v>
      </c>
      <c r="G14" s="138" t="s">
        <v>468</v>
      </c>
      <c r="H14" s="138" t="s">
        <v>462</v>
      </c>
      <c r="I14" s="138" t="s">
        <v>463</v>
      </c>
      <c r="J14" s="138" t="s">
        <v>464</v>
      </c>
      <c r="K14" s="138" t="s">
        <v>465</v>
      </c>
      <c r="L14" s="138" t="s">
        <v>466</v>
      </c>
      <c r="M14" s="138" t="s">
        <v>395</v>
      </c>
      <c r="N14" s="138"/>
      <c r="O14" s="138" t="s">
        <v>467</v>
      </c>
      <c r="P14" s="139" t="s">
        <v>479</v>
      </c>
      <c r="Q14" s="138" t="s">
        <v>468</v>
      </c>
      <c r="R14" s="138" t="s">
        <v>462</v>
      </c>
      <c r="S14" s="138" t="s">
        <v>463</v>
      </c>
      <c r="T14" s="138" t="s">
        <v>464</v>
      </c>
      <c r="U14" s="138" t="s">
        <v>465</v>
      </c>
      <c r="V14" s="138" t="s">
        <v>466</v>
      </c>
      <c r="W14" s="138" t="s">
        <v>396</v>
      </c>
      <c r="X14" s="138"/>
      <c r="Y14" s="138" t="s">
        <v>467</v>
      </c>
      <c r="Z14" s="139" t="s">
        <v>479</v>
      </c>
      <c r="AA14" s="138" t="s">
        <v>468</v>
      </c>
      <c r="AB14" s="138" t="s">
        <v>462</v>
      </c>
      <c r="AC14" s="138" t="s">
        <v>463</v>
      </c>
      <c r="AD14" s="138" t="s">
        <v>464</v>
      </c>
      <c r="AE14" s="138" t="s">
        <v>465</v>
      </c>
      <c r="AF14" s="138" t="s">
        <v>466</v>
      </c>
      <c r="AG14" s="138" t="s">
        <v>397</v>
      </c>
      <c r="AH14" s="138"/>
      <c r="AI14" s="138" t="s">
        <v>467</v>
      </c>
      <c r="AJ14" s="139" t="s">
        <v>479</v>
      </c>
    </row>
    <row r="15" spans="4:36" s="8" customFormat="1" ht="18" customHeight="1">
      <c r="D15" s="148" t="s">
        <v>474</v>
      </c>
      <c r="E15" s="149" t="s">
        <v>457</v>
      </c>
      <c r="F15" s="149"/>
      <c r="G15" s="149"/>
      <c r="H15" s="149"/>
      <c r="I15" s="149"/>
      <c r="J15" s="149"/>
      <c r="K15" s="149"/>
      <c r="L15" s="149" t="s">
        <v>539</v>
      </c>
      <c r="M15" s="150">
        <f>'5.1'!L14</f>
        <v>10.1318</v>
      </c>
      <c r="N15" s="150"/>
      <c r="O15" s="149"/>
      <c r="P15" s="151"/>
      <c r="Q15" s="149"/>
      <c r="R15" s="149"/>
      <c r="S15" s="149"/>
      <c r="T15" s="149"/>
      <c r="U15" s="149"/>
      <c r="V15" s="149" t="s">
        <v>539</v>
      </c>
      <c r="W15" s="150">
        <f>'5.1'!M14</f>
        <v>10.282400000000001</v>
      </c>
      <c r="X15" s="150"/>
      <c r="Y15" s="149"/>
      <c r="Z15" s="151"/>
      <c r="AA15" s="149"/>
      <c r="AB15" s="149"/>
      <c r="AC15" s="149"/>
      <c r="AD15" s="149"/>
      <c r="AE15" s="149"/>
      <c r="AF15" s="149" t="s">
        <v>539</v>
      </c>
      <c r="AG15" s="150">
        <f>'5.1'!W14</f>
        <v>0</v>
      </c>
      <c r="AH15" s="150"/>
      <c r="AI15" s="149"/>
      <c r="AJ15" s="151"/>
    </row>
    <row r="16" spans="4:36" ht="18" customHeight="1">
      <c r="D16" s="98" t="s">
        <v>15</v>
      </c>
      <c r="E16" s="96" t="s">
        <v>430</v>
      </c>
      <c r="F16" s="100" t="s">
        <v>475</v>
      </c>
      <c r="G16" s="96">
        <v>21748156283</v>
      </c>
      <c r="H16" s="96">
        <v>21748156283</v>
      </c>
      <c r="I16" s="96"/>
      <c r="J16" s="96"/>
      <c r="K16" s="96"/>
      <c r="L16" s="96">
        <v>-207501911</v>
      </c>
      <c r="M16" s="96">
        <f>SUM(H16:L16)</f>
        <v>21540654372</v>
      </c>
      <c r="N16" s="96"/>
      <c r="O16" s="96">
        <f>M16-H16</f>
        <v>-207501911</v>
      </c>
      <c r="P16" s="140" t="s">
        <v>478</v>
      </c>
      <c r="Q16" s="96">
        <v>21748156283</v>
      </c>
      <c r="R16" s="96">
        <f t="shared" ref="R16:R20" si="7">M16</f>
        <v>21540654372</v>
      </c>
      <c r="S16" s="96"/>
      <c r="T16" s="96"/>
      <c r="U16" s="96"/>
      <c r="V16" s="96">
        <v>320182253</v>
      </c>
      <c r="W16" s="96">
        <f>SUM(R16:V16)</f>
        <v>21860836625</v>
      </c>
      <c r="X16" s="96"/>
      <c r="Y16" s="96">
        <f>W16-R16</f>
        <v>320182253</v>
      </c>
      <c r="Z16" s="140"/>
      <c r="AA16" s="96">
        <f>Q16</f>
        <v>21748156283</v>
      </c>
      <c r="AB16" s="96">
        <f>M16</f>
        <v>21540654372</v>
      </c>
      <c r="AC16" s="96">
        <f t="shared" ref="AC16:AF20" si="8">S16</f>
        <v>0</v>
      </c>
      <c r="AD16" s="96">
        <f t="shared" si="8"/>
        <v>0</v>
      </c>
      <c r="AE16" s="96">
        <f t="shared" si="8"/>
        <v>0</v>
      </c>
      <c r="AF16" s="96">
        <v>0</v>
      </c>
      <c r="AG16" s="96">
        <f>SUM(AB16:AF16)</f>
        <v>21540654372</v>
      </c>
      <c r="AH16" s="96"/>
      <c r="AI16" s="96">
        <f>AG16-AB16</f>
        <v>0</v>
      </c>
      <c r="AJ16" s="140"/>
    </row>
    <row r="17" spans="4:36" ht="18" customHeight="1">
      <c r="D17" s="98" t="s">
        <v>15</v>
      </c>
      <c r="E17" s="96" t="s">
        <v>469</v>
      </c>
      <c r="F17" s="100" t="s">
        <v>475</v>
      </c>
      <c r="G17" s="96">
        <v>19842800</v>
      </c>
      <c r="H17" s="96">
        <v>19842800</v>
      </c>
      <c r="I17" s="96"/>
      <c r="J17" s="96"/>
      <c r="K17" s="96"/>
      <c r="L17" s="96"/>
      <c r="M17" s="96">
        <f>SUM(H17:L17)</f>
        <v>19842800</v>
      </c>
      <c r="N17" s="96"/>
      <c r="O17" s="96">
        <f t="shared" ref="O17:O20" si="9">M17-H17</f>
        <v>0</v>
      </c>
      <c r="P17" s="140"/>
      <c r="Q17" s="96">
        <v>19842800</v>
      </c>
      <c r="R17" s="96">
        <f t="shared" si="7"/>
        <v>19842800</v>
      </c>
      <c r="S17" s="96"/>
      <c r="T17" s="96"/>
      <c r="U17" s="96"/>
      <c r="V17" s="96"/>
      <c r="W17" s="96">
        <f>SUM(R17:V17)</f>
        <v>19842800</v>
      </c>
      <c r="X17" s="96"/>
      <c r="Y17" s="96">
        <f t="shared" ref="Y17:Y20" si="10">W17-R17</f>
        <v>0</v>
      </c>
      <c r="Z17" s="140"/>
      <c r="AA17" s="96">
        <f t="shared" ref="AA17:AB20" si="11">Q17</f>
        <v>19842800</v>
      </c>
      <c r="AB17" s="96">
        <f t="shared" si="11"/>
        <v>19842800</v>
      </c>
      <c r="AC17" s="96">
        <f t="shared" si="8"/>
        <v>0</v>
      </c>
      <c r="AD17" s="96">
        <f t="shared" si="8"/>
        <v>0</v>
      </c>
      <c r="AE17" s="96">
        <f t="shared" si="8"/>
        <v>0</v>
      </c>
      <c r="AF17" s="96">
        <f t="shared" si="8"/>
        <v>0</v>
      </c>
      <c r="AG17" s="96">
        <f t="shared" ref="AG17:AG20" si="12">SUM(AB17:AF17)</f>
        <v>19842800</v>
      </c>
      <c r="AH17" s="96"/>
      <c r="AI17" s="96">
        <f t="shared" ref="AI17:AI20" si="13">AG17-AB17</f>
        <v>0</v>
      </c>
      <c r="AJ17" s="140"/>
    </row>
    <row r="18" spans="4:36" ht="18" customHeight="1">
      <c r="D18" s="98" t="s">
        <v>15</v>
      </c>
      <c r="E18" s="96" t="s">
        <v>481</v>
      </c>
      <c r="F18" s="100" t="s">
        <v>475</v>
      </c>
      <c r="G18" s="96">
        <v>13175822804</v>
      </c>
      <c r="H18" s="96">
        <f>G18</f>
        <v>13175822804</v>
      </c>
      <c r="I18" s="96"/>
      <c r="J18" s="96">
        <v>-13175822804</v>
      </c>
      <c r="K18" s="96"/>
      <c r="L18" s="96"/>
      <c r="M18" s="96">
        <f>SUM(H18:L18)</f>
        <v>0</v>
      </c>
      <c r="N18" s="96"/>
      <c r="O18" s="96">
        <f t="shared" si="9"/>
        <v>-13175822804</v>
      </c>
      <c r="P18" s="140" t="s">
        <v>470</v>
      </c>
      <c r="Q18" s="96">
        <v>13175822804</v>
      </c>
      <c r="R18" s="96">
        <f t="shared" si="7"/>
        <v>0</v>
      </c>
      <c r="S18" s="96"/>
      <c r="T18" s="96"/>
      <c r="U18" s="96"/>
      <c r="V18" s="96"/>
      <c r="W18" s="96">
        <f>SUM(R18:V18)</f>
        <v>0</v>
      </c>
      <c r="X18" s="96"/>
      <c r="Y18" s="96">
        <f t="shared" si="10"/>
        <v>0</v>
      </c>
      <c r="Z18" s="140"/>
      <c r="AA18" s="96">
        <f t="shared" si="11"/>
        <v>13175822804</v>
      </c>
      <c r="AB18" s="96">
        <f t="shared" si="11"/>
        <v>0</v>
      </c>
      <c r="AC18" s="96">
        <f t="shared" si="8"/>
        <v>0</v>
      </c>
      <c r="AD18" s="96">
        <f t="shared" si="8"/>
        <v>0</v>
      </c>
      <c r="AE18" s="96">
        <f t="shared" si="8"/>
        <v>0</v>
      </c>
      <c r="AF18" s="96">
        <f t="shared" si="8"/>
        <v>0</v>
      </c>
      <c r="AG18" s="96">
        <f t="shared" si="12"/>
        <v>0</v>
      </c>
      <c r="AH18" s="96"/>
      <c r="AI18" s="96">
        <f t="shared" si="13"/>
        <v>0</v>
      </c>
      <c r="AJ18" s="140"/>
    </row>
    <row r="19" spans="4:36" ht="18" customHeight="1">
      <c r="D19" s="98" t="s">
        <v>15</v>
      </c>
      <c r="E19" s="96" t="s">
        <v>217</v>
      </c>
      <c r="F19" s="100" t="s">
        <v>475</v>
      </c>
      <c r="G19" s="96">
        <v>4096993217</v>
      </c>
      <c r="H19" s="96">
        <v>0</v>
      </c>
      <c r="I19" s="96">
        <v>4096993217</v>
      </c>
      <c r="J19" s="96">
        <v>0</v>
      </c>
      <c r="K19" s="96"/>
      <c r="L19" s="96"/>
      <c r="M19" s="96">
        <f>SUM(H19:L19)</f>
        <v>4096993217</v>
      </c>
      <c r="N19" s="96"/>
      <c r="O19" s="96">
        <f t="shared" si="9"/>
        <v>4096993217</v>
      </c>
      <c r="P19" s="140" t="s">
        <v>471</v>
      </c>
      <c r="Q19" s="96">
        <v>4096993217</v>
      </c>
      <c r="R19" s="96">
        <f t="shared" si="7"/>
        <v>4096993217</v>
      </c>
      <c r="S19" s="96">
        <f>-R19</f>
        <v>-4096993217</v>
      </c>
      <c r="T19" s="96"/>
      <c r="U19" s="96"/>
      <c r="V19" s="96"/>
      <c r="W19" s="96">
        <f>SUM(R19:V19)</f>
        <v>0</v>
      </c>
      <c r="X19" s="96"/>
      <c r="Y19" s="96">
        <f t="shared" si="10"/>
        <v>-4096993217</v>
      </c>
      <c r="Z19" s="140" t="s">
        <v>1627</v>
      </c>
      <c r="AA19" s="96">
        <f t="shared" si="11"/>
        <v>4096993217</v>
      </c>
      <c r="AB19" s="96">
        <f t="shared" si="11"/>
        <v>4096993217</v>
      </c>
      <c r="AC19" s="96">
        <f t="shared" si="8"/>
        <v>-4096993217</v>
      </c>
      <c r="AD19" s="96">
        <f t="shared" si="8"/>
        <v>0</v>
      </c>
      <c r="AE19" s="96">
        <f t="shared" si="8"/>
        <v>0</v>
      </c>
      <c r="AF19" s="96">
        <f t="shared" si="8"/>
        <v>0</v>
      </c>
      <c r="AG19" s="96">
        <f t="shared" si="12"/>
        <v>0</v>
      </c>
      <c r="AH19" s="96"/>
      <c r="AI19" s="96">
        <f t="shared" si="13"/>
        <v>-4096993217</v>
      </c>
      <c r="AJ19" s="140" t="s">
        <v>1627</v>
      </c>
    </row>
    <row r="20" spans="4:36" ht="18" customHeight="1">
      <c r="D20" s="98" t="s">
        <v>15</v>
      </c>
      <c r="E20" s="96" t="s">
        <v>472</v>
      </c>
      <c r="F20" s="100" t="s">
        <v>475</v>
      </c>
      <c r="G20" s="96">
        <v>297103293</v>
      </c>
      <c r="H20" s="96">
        <v>297103293</v>
      </c>
      <c r="I20" s="96"/>
      <c r="J20" s="96">
        <v>-294995310</v>
      </c>
      <c r="K20" s="96"/>
      <c r="L20" s="96">
        <v>-2107983</v>
      </c>
      <c r="M20" s="96">
        <f>SUM(H20:L20)</f>
        <v>0</v>
      </c>
      <c r="N20" s="96"/>
      <c r="O20" s="96">
        <f t="shared" si="9"/>
        <v>-297103293</v>
      </c>
      <c r="P20" s="140" t="s">
        <v>482</v>
      </c>
      <c r="Q20" s="96">
        <v>297103293</v>
      </c>
      <c r="R20" s="96">
        <f t="shared" si="7"/>
        <v>0</v>
      </c>
      <c r="S20" s="96"/>
      <c r="T20" s="96"/>
      <c r="U20" s="96"/>
      <c r="V20" s="96"/>
      <c r="W20" s="96">
        <f>SUM(R20:V20)</f>
        <v>0</v>
      </c>
      <c r="X20" s="96"/>
      <c r="Y20" s="96">
        <f t="shared" si="10"/>
        <v>0</v>
      </c>
      <c r="Z20" s="140"/>
      <c r="AA20" s="96">
        <f t="shared" si="11"/>
        <v>297103293</v>
      </c>
      <c r="AB20" s="96">
        <f t="shared" si="11"/>
        <v>0</v>
      </c>
      <c r="AC20" s="96">
        <f t="shared" si="8"/>
        <v>0</v>
      </c>
      <c r="AD20" s="96">
        <f t="shared" si="8"/>
        <v>0</v>
      </c>
      <c r="AE20" s="96">
        <f t="shared" si="8"/>
        <v>0</v>
      </c>
      <c r="AF20" s="96">
        <f t="shared" si="8"/>
        <v>0</v>
      </c>
      <c r="AG20" s="96">
        <f t="shared" si="12"/>
        <v>0</v>
      </c>
      <c r="AH20" s="96"/>
      <c r="AI20" s="96">
        <f t="shared" si="13"/>
        <v>0</v>
      </c>
      <c r="AJ20" s="140"/>
    </row>
    <row r="21" spans="4:36" s="4" customFormat="1" ht="18" customHeight="1" thickBot="1">
      <c r="D21" s="152" t="s">
        <v>429</v>
      </c>
      <c r="E21" s="153"/>
      <c r="F21" s="154"/>
      <c r="G21" s="153">
        <f>SUM(G16:G20)</f>
        <v>39337918397</v>
      </c>
      <c r="H21" s="153">
        <f t="shared" ref="H21:M21" si="14">SUM(H16:H20)</f>
        <v>35240925180</v>
      </c>
      <c r="I21" s="153">
        <f t="shared" si="14"/>
        <v>4096993217</v>
      </c>
      <c r="J21" s="153">
        <f t="shared" si="14"/>
        <v>-13470818114</v>
      </c>
      <c r="K21" s="153">
        <f t="shared" si="14"/>
        <v>0</v>
      </c>
      <c r="L21" s="153">
        <f t="shared" si="14"/>
        <v>-209609894</v>
      </c>
      <c r="M21" s="153">
        <f t="shared" si="14"/>
        <v>25657490389</v>
      </c>
      <c r="N21" s="153"/>
      <c r="O21" s="153"/>
      <c r="P21" s="155"/>
      <c r="Q21" s="153">
        <f>SUM(Q16:Q20)</f>
        <v>39337918397</v>
      </c>
      <c r="R21" s="153">
        <f t="shared" ref="R21:W21" si="15">SUM(R16:R20)</f>
        <v>25657490389</v>
      </c>
      <c r="S21" s="153">
        <f t="shared" si="15"/>
        <v>-4096993217</v>
      </c>
      <c r="T21" s="153">
        <f t="shared" si="15"/>
        <v>0</v>
      </c>
      <c r="U21" s="153">
        <f t="shared" si="15"/>
        <v>0</v>
      </c>
      <c r="V21" s="153">
        <f t="shared" si="15"/>
        <v>320182253</v>
      </c>
      <c r="W21" s="153">
        <f t="shared" si="15"/>
        <v>21880679425</v>
      </c>
      <c r="X21" s="153"/>
      <c r="Y21" s="153"/>
      <c r="Z21" s="155"/>
      <c r="AA21" s="153">
        <f>SUM(AA16:AA20)</f>
        <v>39337918397</v>
      </c>
      <c r="AB21" s="153">
        <f t="shared" ref="AB21:AG21" si="16">SUM(AB16:AB20)</f>
        <v>25657490389</v>
      </c>
      <c r="AC21" s="153">
        <f t="shared" si="16"/>
        <v>-4096993217</v>
      </c>
      <c r="AD21" s="153">
        <f t="shared" si="16"/>
        <v>0</v>
      </c>
      <c r="AE21" s="153">
        <f t="shared" si="16"/>
        <v>0</v>
      </c>
      <c r="AF21" s="153">
        <f t="shared" si="16"/>
        <v>0</v>
      </c>
      <c r="AG21" s="153">
        <f t="shared" si="16"/>
        <v>21560497172</v>
      </c>
      <c r="AH21" s="153"/>
      <c r="AI21" s="153"/>
      <c r="AJ21" s="155"/>
    </row>
    <row r="22" spans="4:36" s="4" customFormat="1" ht="18" customHeight="1">
      <c r="M22" s="156">
        <f>M16/M6</f>
        <v>10.131799999875355</v>
      </c>
      <c r="W22" s="156">
        <f>W16/W6</f>
        <v>10.282399999990593</v>
      </c>
      <c r="AG22" s="156"/>
    </row>
    <row r="23" spans="4:36" ht="18" customHeight="1">
      <c r="W23" s="5">
        <f>W22-'5.1'!M14</f>
        <v>-9.4075858214637265E-12</v>
      </c>
    </row>
  </sheetData>
  <phoneticPr fontId="1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223055"/>
  </sheetPr>
  <dimension ref="D4:F18"/>
  <sheetViews>
    <sheetView zoomScaleNormal="100" workbookViewId="0">
      <selection activeCell="F24" sqref="F24"/>
    </sheetView>
  </sheetViews>
  <sheetFormatPr defaultColWidth="9.125" defaultRowHeight="17.100000000000001" customHeight="1"/>
  <cols>
    <col min="1" max="3" width="2.75" style="28" customWidth="1"/>
    <col min="4" max="17" width="20.75" style="28" customWidth="1"/>
    <col min="18" max="16384" width="9.125" style="28"/>
  </cols>
  <sheetData>
    <row r="4" spans="4:6" ht="17.100000000000001" customHeight="1">
      <c r="D4" s="206" t="s">
        <v>1921</v>
      </c>
    </row>
    <row r="5" spans="4:6" s="206" customFormat="1" ht="17.100000000000001" customHeight="1" thickBot="1">
      <c r="D5" s="686"/>
      <c r="E5" s="262" t="s">
        <v>455</v>
      </c>
    </row>
    <row r="6" spans="4:6" ht="17.100000000000001" customHeight="1">
      <c r="D6" s="28" t="s">
        <v>1844</v>
      </c>
      <c r="E6" s="28">
        <v>479716747</v>
      </c>
      <c r="F6" s="28" t="s">
        <v>1961</v>
      </c>
    </row>
    <row r="7" spans="4:6" ht="17.100000000000001" customHeight="1">
      <c r="D7" s="28" t="s">
        <v>1894</v>
      </c>
      <c r="E7" s="28">
        <v>-443862200</v>
      </c>
      <c r="F7" s="28" t="s">
        <v>1960</v>
      </c>
    </row>
    <row r="8" spans="4:6" ht="17.100000000000001" customHeight="1">
      <c r="D8" s="28" t="s">
        <v>1895</v>
      </c>
      <c r="E8" s="28">
        <v>0</v>
      </c>
    </row>
    <row r="9" spans="4:6" ht="17.100000000000001" customHeight="1">
      <c r="D9" s="28" t="s">
        <v>219</v>
      </c>
      <c r="E9" s="28">
        <v>5807400</v>
      </c>
      <c r="F9" s="28" t="s">
        <v>1962</v>
      </c>
    </row>
    <row r="10" spans="4:6" ht="17.100000000000001" customHeight="1">
      <c r="D10" s="28" t="s">
        <v>129</v>
      </c>
      <c r="E10" s="28">
        <f>'5.2'!AO7</f>
        <v>2126044175</v>
      </c>
    </row>
    <row r="11" spans="4:6" ht="17.100000000000001" customHeight="1">
      <c r="D11" s="28" t="s">
        <v>1896</v>
      </c>
      <c r="E11" s="28">
        <f>'5.1'!P7</f>
        <v>500422500</v>
      </c>
    </row>
    <row r="12" spans="4:6" ht="17.100000000000001" customHeight="1">
      <c r="D12" s="28" t="s">
        <v>669</v>
      </c>
      <c r="E12" s="28">
        <f>-'5.1'!P10</f>
        <v>-174197075</v>
      </c>
    </row>
    <row r="13" spans="4:6" s="206" customFormat="1" ht="17.100000000000001" customHeight="1" thickBot="1">
      <c r="D13" s="225" t="s">
        <v>1897</v>
      </c>
      <c r="E13" s="225">
        <f>SUM(E6:E12)</f>
        <v>2493931547</v>
      </c>
    </row>
    <row r="14" spans="4:6" s="206" customFormat="1" ht="17.100000000000001" customHeight="1" thickTop="1">
      <c r="D14" s="58"/>
      <c r="E14" s="58"/>
    </row>
    <row r="15" spans="4:6" s="206" customFormat="1" ht="17.100000000000001" customHeight="1">
      <c r="D15" s="58" t="s">
        <v>1920</v>
      </c>
      <c r="E15" s="58">
        <v>557470033.75167131</v>
      </c>
      <c r="F15" s="206" t="s">
        <v>1963</v>
      </c>
    </row>
    <row r="16" spans="4:6" s="206" customFormat="1" ht="17.100000000000001" customHeight="1" thickBot="1">
      <c r="D16" s="686" t="s">
        <v>615</v>
      </c>
      <c r="E16" s="686">
        <f>E15-E13</f>
        <v>-1936461513.2483287</v>
      </c>
      <c r="F16" s="206" t="s">
        <v>1911</v>
      </c>
    </row>
    <row r="18" spans="5:5" ht="17.100000000000001" customHeight="1">
      <c r="E18" s="28">
        <f>+'5.2'!AQ18</f>
        <v>-20593687255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D3:L115"/>
  <sheetViews>
    <sheetView showGridLines="0" zoomScaleNormal="100" workbookViewId="0">
      <pane xSplit="5" ySplit="4" topLeftCell="F5" activePane="bottomRight" state="frozen"/>
      <selection sqref="A1:XFD1048576"/>
      <selection pane="topRight" sqref="A1:XFD1048576"/>
      <selection pane="bottomLeft" sqref="A1:XFD1048576"/>
      <selection pane="bottomRight" activeCell="F115" sqref="F115:K115"/>
    </sheetView>
  </sheetViews>
  <sheetFormatPr defaultColWidth="8.75" defaultRowHeight="18" customHeight="1"/>
  <cols>
    <col min="1" max="3" width="2.375" style="28" customWidth="1"/>
    <col min="4" max="12" width="17.375" style="28" customWidth="1"/>
    <col min="13" max="13" width="18.875" style="28" customWidth="1"/>
    <col min="14" max="16384" width="8.75" style="28"/>
  </cols>
  <sheetData>
    <row r="3" spans="4:12" s="206" customFormat="1" ht="18" customHeight="1" thickBot="1">
      <c r="D3" s="206" t="s">
        <v>532</v>
      </c>
      <c r="G3" s="536"/>
      <c r="H3" s="536" t="s">
        <v>1833</v>
      </c>
      <c r="J3" s="536"/>
    </row>
    <row r="4" spans="4:12" ht="38.450000000000003" customHeight="1">
      <c r="D4" s="630" t="s">
        <v>16</v>
      </c>
      <c r="E4" s="322" t="s">
        <v>19</v>
      </c>
      <c r="F4" s="322" t="s">
        <v>15</v>
      </c>
      <c r="G4" s="322" t="s">
        <v>218</v>
      </c>
      <c r="H4" s="322" t="s">
        <v>214</v>
      </c>
      <c r="I4" s="322" t="s">
        <v>215</v>
      </c>
      <c r="J4" s="322" t="str">
        <f>T_BS!L6</f>
        <v>S.M. Life Design Company Japan Inc.</v>
      </c>
      <c r="K4" s="322" t="str">
        <f>T_BS!M6</f>
        <v>SMMC JP</v>
      </c>
      <c r="L4" s="323" t="s">
        <v>217</v>
      </c>
    </row>
    <row r="5" spans="4:12" ht="18" customHeight="1">
      <c r="D5" s="654"/>
      <c r="E5" s="46" t="s">
        <v>14</v>
      </c>
      <c r="F5" s="46">
        <f>SUM(F6,F26)</f>
        <v>114560798939</v>
      </c>
      <c r="G5" s="46">
        <f>SUM(G6,G26)</f>
        <v>1502323625</v>
      </c>
      <c r="H5" s="46">
        <f t="shared" ref="H5:L5" si="0">SUM(H6,H26)</f>
        <v>0</v>
      </c>
      <c r="I5" s="46">
        <f t="shared" si="0"/>
        <v>0</v>
      </c>
      <c r="J5" s="46">
        <f t="shared" si="0"/>
        <v>4323552557</v>
      </c>
      <c r="K5" s="46">
        <f t="shared" si="0"/>
        <v>0</v>
      </c>
      <c r="L5" s="582">
        <f t="shared" si="0"/>
        <v>0</v>
      </c>
    </row>
    <row r="6" spans="4:12" ht="18" customHeight="1">
      <c r="D6" s="655"/>
      <c r="E6" s="49" t="s">
        <v>11</v>
      </c>
      <c r="F6" s="49">
        <f>SUM(F7,F9,F13,F22)</f>
        <v>114560798939</v>
      </c>
      <c r="G6" s="49">
        <f>SUM(G7,G9,G13,G22)</f>
        <v>1502323625</v>
      </c>
      <c r="H6" s="49">
        <f t="shared" ref="H6:L6" si="1">SUM(H7,H9,H13,H22)</f>
        <v>0</v>
      </c>
      <c r="I6" s="49">
        <f t="shared" si="1"/>
        <v>0</v>
      </c>
      <c r="J6" s="49">
        <f t="shared" si="1"/>
        <v>4323552557</v>
      </c>
      <c r="K6" s="49">
        <f t="shared" si="1"/>
        <v>0</v>
      </c>
      <c r="L6" s="340">
        <f t="shared" si="1"/>
        <v>0</v>
      </c>
    </row>
    <row r="7" spans="4:12" ht="18" customHeight="1">
      <c r="D7" s="656"/>
      <c r="E7" s="52" t="s">
        <v>10</v>
      </c>
      <c r="F7" s="52">
        <f>F8</f>
        <v>28429923500</v>
      </c>
      <c r="G7" s="52">
        <f>G8</f>
        <v>37013277500</v>
      </c>
      <c r="H7" s="52">
        <f t="shared" ref="H7:L7" si="2">H8</f>
        <v>0</v>
      </c>
      <c r="I7" s="52">
        <f t="shared" si="2"/>
        <v>0</v>
      </c>
      <c r="J7" s="52">
        <f t="shared" si="2"/>
        <v>511470000</v>
      </c>
      <c r="K7" s="52">
        <f t="shared" si="2"/>
        <v>0</v>
      </c>
      <c r="L7" s="589">
        <f t="shared" si="2"/>
        <v>0</v>
      </c>
    </row>
    <row r="8" spans="4:12" ht="18" customHeight="1">
      <c r="D8" s="258">
        <v>310100</v>
      </c>
      <c r="E8" s="36" t="s">
        <v>191</v>
      </c>
      <c r="F8" s="36">
        <f>T_BS!H206</f>
        <v>28429923500</v>
      </c>
      <c r="G8" s="36">
        <f>T_BS!I206</f>
        <v>37013277500</v>
      </c>
      <c r="H8" s="36">
        <f>T_BS!J206</f>
        <v>0</v>
      </c>
      <c r="I8" s="36">
        <f>T_BS!K206</f>
        <v>0</v>
      </c>
      <c r="J8" s="36">
        <f>T_BS!L206</f>
        <v>511470000</v>
      </c>
      <c r="K8" s="36">
        <f>T_BS!M206</f>
        <v>0</v>
      </c>
      <c r="L8" s="201">
        <f>T_BS!N206</f>
        <v>0</v>
      </c>
    </row>
    <row r="9" spans="4:12" ht="18" customHeight="1">
      <c r="D9" s="656"/>
      <c r="E9" s="52" t="s">
        <v>12</v>
      </c>
      <c r="F9" s="52">
        <f>SUM(F10:F12)</f>
        <v>178678362377</v>
      </c>
      <c r="G9" s="52">
        <f>SUM(G10:G12)</f>
        <v>0</v>
      </c>
      <c r="H9" s="52">
        <f t="shared" ref="H9:L9" si="3">SUM(H10:H12)</f>
        <v>0</v>
      </c>
      <c r="I9" s="52">
        <f t="shared" si="3"/>
        <v>0</v>
      </c>
      <c r="J9" s="52">
        <f t="shared" si="3"/>
        <v>0</v>
      </c>
      <c r="K9" s="52">
        <f t="shared" si="3"/>
        <v>0</v>
      </c>
      <c r="L9" s="589">
        <f t="shared" si="3"/>
        <v>0</v>
      </c>
    </row>
    <row r="10" spans="4:12" ht="18" customHeight="1">
      <c r="D10" s="258">
        <v>320100</v>
      </c>
      <c r="E10" s="36" t="s">
        <v>192</v>
      </c>
      <c r="F10" s="36">
        <f>T_BS!H208</f>
        <v>177997002186</v>
      </c>
      <c r="G10" s="36">
        <f>T_BS!I208</f>
        <v>0</v>
      </c>
      <c r="H10" s="36">
        <f>T_BS!J208</f>
        <v>0</v>
      </c>
      <c r="I10" s="36">
        <f>T_BS!K208</f>
        <v>0</v>
      </c>
      <c r="J10" s="36">
        <f>T_BS!L208</f>
        <v>0</v>
      </c>
      <c r="K10" s="36">
        <f>T_BS!M208</f>
        <v>0</v>
      </c>
      <c r="L10" s="201">
        <f>T_BS!N208</f>
        <v>0</v>
      </c>
    </row>
    <row r="11" spans="4:12" ht="18" customHeight="1">
      <c r="D11" s="258">
        <v>320500</v>
      </c>
      <c r="E11" s="36" t="s">
        <v>193</v>
      </c>
      <c r="F11" s="36">
        <f>T_BS!H209</f>
        <v>0</v>
      </c>
      <c r="G11" s="36">
        <f>T_BS!I209</f>
        <v>0</v>
      </c>
      <c r="H11" s="36">
        <f>T_BS!J209</f>
        <v>0</v>
      </c>
      <c r="I11" s="36">
        <f>T_BS!K209</f>
        <v>0</v>
      </c>
      <c r="J11" s="36">
        <f>T_BS!L209</f>
        <v>0</v>
      </c>
      <c r="K11" s="36">
        <f>T_BS!M209</f>
        <v>0</v>
      </c>
      <c r="L11" s="201">
        <f>T_BS!N209</f>
        <v>0</v>
      </c>
    </row>
    <row r="12" spans="4:12" ht="18" customHeight="1">
      <c r="D12" s="258">
        <v>320300</v>
      </c>
      <c r="E12" s="36" t="s">
        <v>194</v>
      </c>
      <c r="F12" s="36">
        <f>T_BS!H210</f>
        <v>681360191</v>
      </c>
      <c r="G12" s="36">
        <f>T_BS!I210</f>
        <v>0</v>
      </c>
      <c r="H12" s="36">
        <f>T_BS!J210</f>
        <v>0</v>
      </c>
      <c r="I12" s="36">
        <f>T_BS!K210</f>
        <v>0</v>
      </c>
      <c r="J12" s="36">
        <f>T_BS!L210</f>
        <v>0</v>
      </c>
      <c r="K12" s="36">
        <f>T_BS!M210</f>
        <v>0</v>
      </c>
      <c r="L12" s="201">
        <f>T_BS!N210</f>
        <v>0</v>
      </c>
    </row>
    <row r="13" spans="4:12" ht="18" customHeight="1">
      <c r="D13" s="656"/>
      <c r="E13" s="52" t="s">
        <v>195</v>
      </c>
      <c r="F13" s="52">
        <f>SUM(F14:F21)</f>
        <v>-8341868290</v>
      </c>
      <c r="G13" s="52">
        <f>SUM(G14:G21)</f>
        <v>766811473</v>
      </c>
      <c r="H13" s="52">
        <f t="shared" ref="H13:L13" si="4">SUM(H14:H21)</f>
        <v>0</v>
      </c>
      <c r="I13" s="52">
        <f t="shared" si="4"/>
        <v>0</v>
      </c>
      <c r="J13" s="52">
        <f t="shared" si="4"/>
        <v>-751002100</v>
      </c>
      <c r="K13" s="52">
        <f t="shared" si="4"/>
        <v>0</v>
      </c>
      <c r="L13" s="589">
        <f t="shared" si="4"/>
        <v>0</v>
      </c>
    </row>
    <row r="14" spans="4:12" ht="18" customHeight="1">
      <c r="D14" s="258">
        <v>350300</v>
      </c>
      <c r="E14" s="36" t="s">
        <v>196</v>
      </c>
      <c r="F14" s="36">
        <f>T_BS!H212</f>
        <v>-4240000</v>
      </c>
      <c r="G14" s="36">
        <f>T_BS!I212</f>
        <v>0</v>
      </c>
      <c r="H14" s="36">
        <f>T_BS!J212</f>
        <v>0</v>
      </c>
      <c r="I14" s="36">
        <f>T_BS!K212</f>
        <v>0</v>
      </c>
      <c r="J14" s="36">
        <f>T_BS!L212</f>
        <v>0</v>
      </c>
      <c r="K14" s="36">
        <f>T_BS!M212</f>
        <v>0</v>
      </c>
      <c r="L14" s="201">
        <f>T_BS!N212</f>
        <v>0</v>
      </c>
    </row>
    <row r="15" spans="4:12" ht="18" customHeight="1">
      <c r="D15" s="258">
        <v>350350</v>
      </c>
      <c r="E15" s="36" t="s">
        <v>197</v>
      </c>
      <c r="F15" s="36">
        <f>T_BS!H213</f>
        <v>-1292039719</v>
      </c>
      <c r="G15" s="36">
        <f>T_BS!I213</f>
        <v>0</v>
      </c>
      <c r="H15" s="36">
        <f>T_BS!J213</f>
        <v>0</v>
      </c>
      <c r="I15" s="36">
        <f>T_BS!K213</f>
        <v>0</v>
      </c>
      <c r="J15" s="36">
        <f>T_BS!L213</f>
        <v>0</v>
      </c>
      <c r="K15" s="36">
        <f>T_BS!M213</f>
        <v>0</v>
      </c>
      <c r="L15" s="201">
        <f>T_BS!N213</f>
        <v>0</v>
      </c>
    </row>
    <row r="16" spans="4:12" ht="18" customHeight="1">
      <c r="D16" s="258" t="s">
        <v>227</v>
      </c>
      <c r="E16" s="36" t="s">
        <v>226</v>
      </c>
      <c r="F16" s="36">
        <f>T_BS!H214</f>
        <v>0</v>
      </c>
      <c r="G16" s="36">
        <f>T_BS!I214</f>
        <v>0</v>
      </c>
      <c r="H16" s="36">
        <f>T_BS!J214</f>
        <v>0</v>
      </c>
      <c r="I16" s="36">
        <f>T_BS!K214</f>
        <v>0</v>
      </c>
      <c r="J16" s="36">
        <f>T_BS!L214</f>
        <v>0</v>
      </c>
      <c r="K16" s="36">
        <f>T_BS!M214</f>
        <v>0</v>
      </c>
      <c r="L16" s="201">
        <f>T_BS!N214</f>
        <v>0</v>
      </c>
    </row>
    <row r="17" spans="4:12" ht="18" customHeight="1">
      <c r="D17" s="258">
        <v>350400</v>
      </c>
      <c r="E17" s="36" t="s">
        <v>198</v>
      </c>
      <c r="F17" s="36">
        <f>T_BS!H215</f>
        <v>674683389</v>
      </c>
      <c r="G17" s="36">
        <f>T_BS!I215</f>
        <v>0</v>
      </c>
      <c r="H17" s="36">
        <f>T_BS!J215</f>
        <v>0</v>
      </c>
      <c r="I17" s="36">
        <f>T_BS!K215</f>
        <v>0</v>
      </c>
      <c r="J17" s="36">
        <f>T_BS!L215</f>
        <v>0</v>
      </c>
      <c r="K17" s="36">
        <f>T_BS!M215</f>
        <v>0</v>
      </c>
      <c r="L17" s="201">
        <f>T_BS!N215</f>
        <v>0</v>
      </c>
    </row>
    <row r="18" spans="4:12" ht="18" customHeight="1">
      <c r="D18" s="258">
        <v>350210</v>
      </c>
      <c r="E18" s="36" t="s">
        <v>199</v>
      </c>
      <c r="F18" s="36">
        <f>T_BS!H216</f>
        <v>-7720271960</v>
      </c>
      <c r="G18" s="36">
        <f>T_BS!I216</f>
        <v>0</v>
      </c>
      <c r="H18" s="36">
        <f>T_BS!J216</f>
        <v>0</v>
      </c>
      <c r="I18" s="36">
        <f>T_BS!K216</f>
        <v>0</v>
      </c>
      <c r="J18" s="36">
        <f>T_BS!L216</f>
        <v>-778091133</v>
      </c>
      <c r="K18" s="36">
        <f>T_BS!M216</f>
        <v>0</v>
      </c>
      <c r="L18" s="201">
        <f>T_BS!N216</f>
        <v>0</v>
      </c>
    </row>
    <row r="19" spans="4:12" ht="18" customHeight="1">
      <c r="D19" s="258" t="s">
        <v>200</v>
      </c>
      <c r="E19" s="36" t="s">
        <v>201</v>
      </c>
      <c r="F19" s="36">
        <f>T_BS!H217</f>
        <v>0</v>
      </c>
      <c r="G19" s="36">
        <f>T_BS!I217</f>
        <v>0</v>
      </c>
      <c r="H19" s="36">
        <f>T_BS!J217</f>
        <v>0</v>
      </c>
      <c r="I19" s="36">
        <f>T_BS!K217</f>
        <v>0</v>
      </c>
      <c r="J19" s="36">
        <f>T_BS!L217</f>
        <v>0</v>
      </c>
      <c r="K19" s="36">
        <f>T_BS!M217</f>
        <v>0</v>
      </c>
      <c r="L19" s="201">
        <f>T_BS!N217</f>
        <v>0</v>
      </c>
    </row>
    <row r="20" spans="4:12" ht="18" customHeight="1">
      <c r="D20" s="258" t="s">
        <v>202</v>
      </c>
      <c r="E20" s="36" t="s">
        <v>203</v>
      </c>
      <c r="F20" s="36">
        <f>T_BS!H218</f>
        <v>0</v>
      </c>
      <c r="G20" s="36">
        <f>T_BS!I218</f>
        <v>0</v>
      </c>
      <c r="H20" s="36">
        <f>T_BS!J218</f>
        <v>0</v>
      </c>
      <c r="I20" s="36">
        <f>T_BS!K218</f>
        <v>0</v>
      </c>
      <c r="J20" s="36">
        <f>T_BS!L218</f>
        <v>0</v>
      </c>
      <c r="K20" s="36">
        <f>T_BS!M218</f>
        <v>0</v>
      </c>
      <c r="L20" s="201">
        <f>T_BS!N218</f>
        <v>0</v>
      </c>
    </row>
    <row r="21" spans="4:12" ht="18" customHeight="1">
      <c r="D21" s="258" t="s">
        <v>204</v>
      </c>
      <c r="E21" s="36" t="s">
        <v>205</v>
      </c>
      <c r="F21" s="36">
        <f>T_BS!H219</f>
        <v>0</v>
      </c>
      <c r="G21" s="36">
        <f>T_BS!I219</f>
        <v>766811473</v>
      </c>
      <c r="H21" s="36">
        <f>T_BS!J219</f>
        <v>0</v>
      </c>
      <c r="I21" s="36">
        <f>T_BS!K219</f>
        <v>0</v>
      </c>
      <c r="J21" s="36">
        <f>T_BS!L219</f>
        <v>27089033</v>
      </c>
      <c r="K21" s="36">
        <f>T_BS!M219</f>
        <v>0</v>
      </c>
      <c r="L21" s="201">
        <f>T_BS!N219</f>
        <v>0</v>
      </c>
    </row>
    <row r="22" spans="4:12" ht="18" customHeight="1">
      <c r="D22" s="656"/>
      <c r="E22" s="52" t="s">
        <v>13</v>
      </c>
      <c r="F22" s="52">
        <f>SUM(F23:F25)</f>
        <v>-84205618648</v>
      </c>
      <c r="G22" s="52">
        <f>SUM(G23:G25)</f>
        <v>-36277765348</v>
      </c>
      <c r="H22" s="52">
        <f t="shared" ref="H22:L22" si="5">SUM(H23:H25)</f>
        <v>0</v>
      </c>
      <c r="I22" s="52">
        <f t="shared" si="5"/>
        <v>0</v>
      </c>
      <c r="J22" s="52">
        <f t="shared" si="5"/>
        <v>4563084657</v>
      </c>
      <c r="K22" s="52">
        <f t="shared" si="5"/>
        <v>0</v>
      </c>
      <c r="L22" s="589">
        <f t="shared" si="5"/>
        <v>0</v>
      </c>
    </row>
    <row r="23" spans="4:12" ht="18" customHeight="1">
      <c r="D23" s="258">
        <v>350951</v>
      </c>
      <c r="E23" s="36" t="s">
        <v>206</v>
      </c>
      <c r="F23" s="36">
        <f>T_BS!H222</f>
        <v>-862949102</v>
      </c>
      <c r="G23" s="36">
        <f>T_BS!I222</f>
        <v>0</v>
      </c>
      <c r="H23" s="36">
        <f>T_BS!J222</f>
        <v>0</v>
      </c>
      <c r="I23" s="36">
        <f>T_BS!K222</f>
        <v>0</v>
      </c>
      <c r="J23" s="36">
        <f>T_BS!L222</f>
        <v>0</v>
      </c>
      <c r="K23" s="36">
        <f>T_BS!M222</f>
        <v>0</v>
      </c>
      <c r="L23" s="201">
        <f>T_BS!N222</f>
        <v>0</v>
      </c>
    </row>
    <row r="24" spans="4:12" ht="18" customHeight="1">
      <c r="D24" s="258" t="s">
        <v>207</v>
      </c>
      <c r="E24" s="36" t="s">
        <v>208</v>
      </c>
      <c r="F24" s="36">
        <f>T_BS!H223</f>
        <v>-34761513470</v>
      </c>
      <c r="G24" s="36">
        <f>T_BS!I223</f>
        <v>-36022060065</v>
      </c>
      <c r="H24" s="36">
        <f>T_BS!J223</f>
        <v>0</v>
      </c>
      <c r="I24" s="36">
        <f>T_BS!K223</f>
        <v>0</v>
      </c>
      <c r="J24" s="36">
        <f>T_BS!L223</f>
        <v>4047014238</v>
      </c>
      <c r="K24" s="36">
        <f>T_BS!M223</f>
        <v>0</v>
      </c>
      <c r="L24" s="201">
        <f>T_BS!N223</f>
        <v>0</v>
      </c>
    </row>
    <row r="25" spans="4:12" ht="18" customHeight="1">
      <c r="D25" s="258" t="s">
        <v>209</v>
      </c>
      <c r="E25" s="36" t="s">
        <v>210</v>
      </c>
      <c r="F25" s="36">
        <f>T_BS!H224</f>
        <v>-48581156076</v>
      </c>
      <c r="G25" s="36">
        <f>T_BS!I224</f>
        <v>-255705283</v>
      </c>
      <c r="H25" s="36">
        <f>T_BS!J224</f>
        <v>0</v>
      </c>
      <c r="I25" s="36">
        <f>T_BS!K224</f>
        <v>0</v>
      </c>
      <c r="J25" s="36">
        <f>T_BS!L224</f>
        <v>516070419</v>
      </c>
      <c r="K25" s="36">
        <f>T_BS!M224</f>
        <v>0</v>
      </c>
      <c r="L25" s="201">
        <f>T_BS!N224</f>
        <v>0</v>
      </c>
    </row>
    <row r="26" spans="4:12" ht="18" customHeight="1">
      <c r="D26" s="655"/>
      <c r="E26" s="49" t="s">
        <v>211</v>
      </c>
      <c r="F26" s="49">
        <f>F27</f>
        <v>0</v>
      </c>
      <c r="G26" s="49">
        <f>G27</f>
        <v>0</v>
      </c>
      <c r="H26" s="49">
        <f t="shared" ref="H26:L26" si="6">H27</f>
        <v>0</v>
      </c>
      <c r="I26" s="49">
        <f t="shared" si="6"/>
        <v>0</v>
      </c>
      <c r="J26" s="49">
        <f t="shared" si="6"/>
        <v>0</v>
      </c>
      <c r="K26" s="49">
        <f t="shared" si="6"/>
        <v>0</v>
      </c>
      <c r="L26" s="340">
        <f t="shared" si="6"/>
        <v>0</v>
      </c>
    </row>
    <row r="27" spans="4:12" ht="18" customHeight="1" thickBot="1">
      <c r="D27" s="657" t="s">
        <v>496</v>
      </c>
      <c r="E27" s="207" t="s">
        <v>211</v>
      </c>
      <c r="F27" s="345">
        <f>T_BS!H226</f>
        <v>0</v>
      </c>
      <c r="G27" s="345">
        <f>T_BS!I226</f>
        <v>0</v>
      </c>
      <c r="H27" s="345">
        <f>T_BS!J226</f>
        <v>0</v>
      </c>
      <c r="I27" s="345">
        <f>T_BS!K226</f>
        <v>0</v>
      </c>
      <c r="J27" s="345">
        <f>T_BS!L226</f>
        <v>0</v>
      </c>
      <c r="K27" s="345">
        <f>T_BS!M226</f>
        <v>0</v>
      </c>
      <c r="L27" s="208">
        <f>T_BS!N226</f>
        <v>0</v>
      </c>
    </row>
    <row r="28" spans="4:12" s="206" customFormat="1" ht="18" customHeight="1">
      <c r="F28" s="206" t="b">
        <f>F5=T_BS!H203</f>
        <v>1</v>
      </c>
      <c r="G28" s="206" t="b">
        <f>G5=T_BS!I203</f>
        <v>1</v>
      </c>
      <c r="I28" s="206" t="b">
        <f>I5=T_BS!K203</f>
        <v>1</v>
      </c>
      <c r="J28" s="206" t="b">
        <f>J5=T_BS!L203</f>
        <v>1</v>
      </c>
      <c r="K28" s="206" t="b">
        <f>K5=T_BS!M203</f>
        <v>1</v>
      </c>
      <c r="L28" s="206" t="b">
        <f>L5=T_BS!N203</f>
        <v>1</v>
      </c>
    </row>
    <row r="30" spans="4:12" ht="18" customHeight="1" thickBot="1">
      <c r="D30" s="28" t="s">
        <v>533</v>
      </c>
    </row>
    <row r="31" spans="4:12" ht="33" customHeight="1">
      <c r="D31" s="630" t="s">
        <v>16</v>
      </c>
      <c r="E31" s="322" t="s">
        <v>19</v>
      </c>
      <c r="F31" s="322" t="s">
        <v>15</v>
      </c>
      <c r="G31" s="322" t="s">
        <v>218</v>
      </c>
      <c r="H31" s="322" t="s">
        <v>214</v>
      </c>
      <c r="I31" s="322" t="s">
        <v>215</v>
      </c>
      <c r="J31" s="322" t="s">
        <v>216</v>
      </c>
      <c r="K31" s="322" t="s">
        <v>534</v>
      </c>
      <c r="L31" s="323" t="s">
        <v>217</v>
      </c>
    </row>
    <row r="32" spans="4:12" ht="18" customHeight="1">
      <c r="D32" s="654"/>
      <c r="E32" s="658" t="s">
        <v>14</v>
      </c>
      <c r="F32" s="658">
        <v>165599088576</v>
      </c>
      <c r="G32" s="658">
        <v>2380317296</v>
      </c>
      <c r="H32" s="658">
        <v>-2590571062</v>
      </c>
      <c r="I32" s="658">
        <v>607986469</v>
      </c>
      <c r="J32" s="658">
        <v>4371618861</v>
      </c>
      <c r="K32" s="658">
        <v>0</v>
      </c>
      <c r="L32" s="582">
        <v>0</v>
      </c>
    </row>
    <row r="33" spans="4:12" ht="18" customHeight="1">
      <c r="D33" s="655"/>
      <c r="E33" s="659" t="s">
        <v>11</v>
      </c>
      <c r="F33" s="659">
        <v>165599088576</v>
      </c>
      <c r="G33" s="659">
        <v>2380317296</v>
      </c>
      <c r="H33" s="659">
        <v>-2590571062</v>
      </c>
      <c r="I33" s="659">
        <v>607986469</v>
      </c>
      <c r="J33" s="659">
        <v>4371618861</v>
      </c>
      <c r="K33" s="659">
        <v>0</v>
      </c>
      <c r="L33" s="340">
        <v>0</v>
      </c>
    </row>
    <row r="34" spans="4:12" ht="18" customHeight="1">
      <c r="D34" s="656"/>
      <c r="E34" s="660" t="s">
        <v>10</v>
      </c>
      <c r="F34" s="660">
        <v>27779139500</v>
      </c>
      <c r="G34" s="660">
        <v>37013277500</v>
      </c>
      <c r="H34" s="660">
        <v>3427700000</v>
      </c>
      <c r="I34" s="660">
        <v>5270089200</v>
      </c>
      <c r="J34" s="660">
        <v>511470000</v>
      </c>
      <c r="K34" s="660">
        <v>0</v>
      </c>
      <c r="L34" s="589">
        <v>0</v>
      </c>
    </row>
    <row r="35" spans="4:12" ht="18" customHeight="1">
      <c r="D35" s="258">
        <v>310100</v>
      </c>
      <c r="E35" s="28" t="s">
        <v>191</v>
      </c>
      <c r="F35" s="28">
        <v>27779139500</v>
      </c>
      <c r="G35" s="28">
        <v>37013277500</v>
      </c>
      <c r="H35" s="28">
        <v>3427700000</v>
      </c>
      <c r="I35" s="28">
        <v>5270089200</v>
      </c>
      <c r="J35" s="28">
        <v>511470000</v>
      </c>
      <c r="K35" s="28">
        <v>0</v>
      </c>
      <c r="L35" s="201"/>
    </row>
    <row r="36" spans="4:12" ht="18" customHeight="1">
      <c r="D36" s="656"/>
      <c r="E36" s="660" t="s">
        <v>12</v>
      </c>
      <c r="F36" s="660">
        <v>173974179849</v>
      </c>
      <c r="G36" s="660">
        <v>0</v>
      </c>
      <c r="H36" s="660">
        <v>0</v>
      </c>
      <c r="I36" s="660">
        <v>0</v>
      </c>
      <c r="J36" s="660">
        <v>0</v>
      </c>
      <c r="K36" s="660">
        <v>0</v>
      </c>
      <c r="L36" s="589">
        <v>0</v>
      </c>
    </row>
    <row r="37" spans="4:12" ht="18" customHeight="1">
      <c r="D37" s="258">
        <v>320100</v>
      </c>
      <c r="E37" s="28" t="s">
        <v>192</v>
      </c>
      <c r="F37" s="28">
        <v>172351901382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01"/>
    </row>
    <row r="38" spans="4:12" ht="18" customHeight="1">
      <c r="D38" s="258">
        <v>320500</v>
      </c>
      <c r="E38" s="28" t="s">
        <v>193</v>
      </c>
      <c r="F38" s="28">
        <v>940918276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01"/>
    </row>
    <row r="39" spans="4:12" ht="18" customHeight="1">
      <c r="D39" s="258">
        <v>320300</v>
      </c>
      <c r="E39" s="28" t="s">
        <v>194</v>
      </c>
      <c r="F39" s="28">
        <v>681360191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01"/>
    </row>
    <row r="40" spans="4:12" ht="18" customHeight="1">
      <c r="D40" s="656"/>
      <c r="E40" s="660" t="s">
        <v>195</v>
      </c>
      <c r="F40" s="660">
        <v>-1296279719</v>
      </c>
      <c r="G40" s="660">
        <v>1389099861</v>
      </c>
      <c r="H40" s="660">
        <v>78765534</v>
      </c>
      <c r="I40" s="660">
        <v>-441855763</v>
      </c>
      <c r="J40" s="660">
        <v>-186865377</v>
      </c>
      <c r="K40" s="660">
        <v>0</v>
      </c>
      <c r="L40" s="589">
        <v>0</v>
      </c>
    </row>
    <row r="41" spans="4:12" ht="18" customHeight="1">
      <c r="D41" s="258">
        <v>350300</v>
      </c>
      <c r="E41" s="28" t="s">
        <v>196</v>
      </c>
      <c r="F41" s="28">
        <v>-4240000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01"/>
    </row>
    <row r="42" spans="4:12" ht="18" customHeight="1">
      <c r="D42" s="258">
        <v>350350</v>
      </c>
      <c r="E42" s="28" t="s">
        <v>197</v>
      </c>
      <c r="F42" s="28">
        <v>-1292039719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01"/>
    </row>
    <row r="43" spans="4:12" ht="18" customHeight="1">
      <c r="D43" s="258" t="s">
        <v>227</v>
      </c>
      <c r="E43" s="28" t="s">
        <v>226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01"/>
    </row>
    <row r="44" spans="4:12" ht="18" customHeight="1">
      <c r="D44" s="258">
        <v>350400</v>
      </c>
      <c r="E44" s="28" t="s">
        <v>198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01"/>
    </row>
    <row r="45" spans="4:12" ht="18" customHeight="1">
      <c r="D45" s="258">
        <v>350210</v>
      </c>
      <c r="E45" s="28" t="s">
        <v>199</v>
      </c>
      <c r="F45" s="28">
        <v>0</v>
      </c>
      <c r="G45" s="28">
        <v>0</v>
      </c>
      <c r="H45" s="28">
        <v>0</v>
      </c>
      <c r="I45" s="28">
        <v>-679911756</v>
      </c>
      <c r="J45" s="28">
        <v>0</v>
      </c>
      <c r="K45" s="28">
        <v>0</v>
      </c>
      <c r="L45" s="201"/>
    </row>
    <row r="46" spans="4:12" ht="18" customHeight="1">
      <c r="D46" s="258" t="s">
        <v>200</v>
      </c>
      <c r="E46" s="28" t="s">
        <v>201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01"/>
    </row>
    <row r="47" spans="4:12" ht="18" customHeight="1">
      <c r="D47" s="258" t="s">
        <v>202</v>
      </c>
      <c r="E47" s="28" t="s">
        <v>203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01"/>
    </row>
    <row r="48" spans="4:12" ht="18" customHeight="1">
      <c r="D48" s="258" t="s">
        <v>204</v>
      </c>
      <c r="E48" s="28" t="s">
        <v>205</v>
      </c>
      <c r="F48" s="28">
        <v>0</v>
      </c>
      <c r="G48" s="28">
        <v>1389099861</v>
      </c>
      <c r="H48" s="28">
        <v>78765534</v>
      </c>
      <c r="I48" s="28">
        <v>238055993</v>
      </c>
      <c r="J48" s="28">
        <v>-186865377</v>
      </c>
      <c r="K48" s="28">
        <v>0</v>
      </c>
      <c r="L48" s="201"/>
    </row>
    <row r="49" spans="4:12" ht="18" customHeight="1">
      <c r="D49" s="656"/>
      <c r="E49" s="660" t="s">
        <v>13</v>
      </c>
      <c r="F49" s="660">
        <v>-34857951054</v>
      </c>
      <c r="G49" s="660">
        <v>-36022060065</v>
      </c>
      <c r="H49" s="660">
        <v>-6097036596</v>
      </c>
      <c r="I49" s="660">
        <v>-4220246968</v>
      </c>
      <c r="J49" s="660">
        <v>4047014238</v>
      </c>
      <c r="K49" s="660">
        <v>0</v>
      </c>
      <c r="L49" s="589">
        <v>0</v>
      </c>
    </row>
    <row r="50" spans="4:12" ht="18" customHeight="1">
      <c r="D50" s="258">
        <v>350951</v>
      </c>
      <c r="E50" s="28" t="s">
        <v>206</v>
      </c>
      <c r="F50" s="28">
        <v>-96437584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01"/>
    </row>
    <row r="51" spans="4:12" ht="18" customHeight="1">
      <c r="D51" s="258" t="s">
        <v>207</v>
      </c>
      <c r="E51" s="28" t="s">
        <v>208</v>
      </c>
      <c r="F51" s="28">
        <v>-12750258964</v>
      </c>
      <c r="G51" s="28">
        <v>-35091660135</v>
      </c>
      <c r="H51" s="28">
        <v>-6014654050</v>
      </c>
      <c r="I51" s="28">
        <v>-2980431374</v>
      </c>
      <c r="J51" s="28">
        <v>4631759641</v>
      </c>
      <c r="K51" s="28">
        <v>0</v>
      </c>
      <c r="L51" s="201"/>
    </row>
    <row r="52" spans="4:12" ht="18" customHeight="1">
      <c r="D52" s="258" t="s">
        <v>209</v>
      </c>
      <c r="E52" s="28" t="s">
        <v>210</v>
      </c>
      <c r="F52" s="28">
        <v>-22011254506</v>
      </c>
      <c r="G52" s="28">
        <v>-930399930</v>
      </c>
      <c r="H52" s="28">
        <v>-82382546</v>
      </c>
      <c r="I52" s="28">
        <v>-1239815594</v>
      </c>
      <c r="J52" s="28">
        <v>-584745403</v>
      </c>
      <c r="K52" s="28">
        <v>0</v>
      </c>
      <c r="L52" s="201"/>
    </row>
    <row r="53" spans="4:12" ht="18" customHeight="1">
      <c r="D53" s="655"/>
      <c r="E53" s="659" t="s">
        <v>211</v>
      </c>
      <c r="F53" s="659">
        <v>0</v>
      </c>
      <c r="G53" s="659">
        <v>0</v>
      </c>
      <c r="H53" s="659">
        <v>0</v>
      </c>
      <c r="I53" s="659">
        <v>0</v>
      </c>
      <c r="J53" s="659">
        <v>0</v>
      </c>
      <c r="K53" s="659">
        <v>0</v>
      </c>
      <c r="L53" s="340">
        <v>0</v>
      </c>
    </row>
    <row r="54" spans="4:12" ht="18" customHeight="1" thickBot="1">
      <c r="D54" s="657" t="s">
        <v>496</v>
      </c>
      <c r="E54" s="207" t="s">
        <v>211</v>
      </c>
      <c r="F54" s="345">
        <v>0</v>
      </c>
      <c r="G54" s="345">
        <v>0</v>
      </c>
      <c r="H54" s="345">
        <v>0</v>
      </c>
      <c r="I54" s="345">
        <v>0</v>
      </c>
      <c r="J54" s="345">
        <v>0</v>
      </c>
      <c r="K54" s="345">
        <v>0</v>
      </c>
      <c r="L54" s="208">
        <v>0</v>
      </c>
    </row>
    <row r="56" spans="4:12" s="196" customFormat="1" ht="18" customHeight="1" thickBot="1">
      <c r="D56" s="223" t="s">
        <v>536</v>
      </c>
    </row>
    <row r="57" spans="4:12" ht="36.6" customHeight="1">
      <c r="D57" s="630" t="s">
        <v>16</v>
      </c>
      <c r="E57" s="322" t="s">
        <v>19</v>
      </c>
      <c r="F57" s="322" t="s">
        <v>15</v>
      </c>
      <c r="G57" s="322" t="s">
        <v>218</v>
      </c>
      <c r="H57" s="322" t="s">
        <v>214</v>
      </c>
      <c r="I57" s="322" t="s">
        <v>215</v>
      </c>
      <c r="J57" s="322" t="s">
        <v>216</v>
      </c>
      <c r="K57" s="322" t="s">
        <v>534</v>
      </c>
      <c r="L57" s="323" t="s">
        <v>217</v>
      </c>
    </row>
    <row r="58" spans="4:12" ht="18" customHeight="1">
      <c r="D58" s="654"/>
      <c r="E58" s="46" t="s">
        <v>14</v>
      </c>
      <c r="F58" s="46">
        <f t="shared" ref="F58:L58" si="7">SUM(F59,F79)</f>
        <v>-51038289637</v>
      </c>
      <c r="G58" s="46">
        <f t="shared" si="7"/>
        <v>-877993671</v>
      </c>
      <c r="H58" s="46">
        <f t="shared" si="7"/>
        <v>2590571062</v>
      </c>
      <c r="I58" s="46">
        <f t="shared" si="7"/>
        <v>-607986469</v>
      </c>
      <c r="J58" s="46">
        <f t="shared" si="7"/>
        <v>-48066304</v>
      </c>
      <c r="K58" s="46">
        <f t="shared" si="7"/>
        <v>0</v>
      </c>
      <c r="L58" s="582">
        <f t="shared" si="7"/>
        <v>0</v>
      </c>
    </row>
    <row r="59" spans="4:12" ht="18" customHeight="1">
      <c r="D59" s="655"/>
      <c r="E59" s="49" t="s">
        <v>11</v>
      </c>
      <c r="F59" s="49">
        <f t="shared" ref="F59:L59" si="8">SUM(F60,F62,F66,F75)</f>
        <v>-51038289637</v>
      </c>
      <c r="G59" s="49">
        <f t="shared" si="8"/>
        <v>-877993671</v>
      </c>
      <c r="H59" s="49">
        <f t="shared" si="8"/>
        <v>2590571062</v>
      </c>
      <c r="I59" s="49">
        <f t="shared" si="8"/>
        <v>-607986469</v>
      </c>
      <c r="J59" s="49">
        <f t="shared" si="8"/>
        <v>-48066304</v>
      </c>
      <c r="K59" s="49">
        <f t="shared" si="8"/>
        <v>0</v>
      </c>
      <c r="L59" s="340">
        <f t="shared" si="8"/>
        <v>0</v>
      </c>
    </row>
    <row r="60" spans="4:12" ht="18" customHeight="1">
      <c r="D60" s="656"/>
      <c r="E60" s="52" t="s">
        <v>10</v>
      </c>
      <c r="F60" s="52">
        <f>F61</f>
        <v>650784000</v>
      </c>
      <c r="G60" s="52">
        <f>G61</f>
        <v>0</v>
      </c>
      <c r="H60" s="52">
        <f t="shared" ref="H60" si="9">H61</f>
        <v>-3427700000</v>
      </c>
      <c r="I60" s="52">
        <f t="shared" ref="I60" si="10">I61</f>
        <v>-5270089200</v>
      </c>
      <c r="J60" s="52">
        <f t="shared" ref="J60" si="11">J61</f>
        <v>0</v>
      </c>
      <c r="K60" s="52">
        <f t="shared" ref="K60" si="12">K61</f>
        <v>0</v>
      </c>
      <c r="L60" s="589">
        <f t="shared" ref="L60" si="13">L61</f>
        <v>0</v>
      </c>
    </row>
    <row r="61" spans="4:12" ht="18" customHeight="1">
      <c r="D61" s="258">
        <v>310100</v>
      </c>
      <c r="E61" s="36" t="s">
        <v>191</v>
      </c>
      <c r="F61" s="36">
        <f>F8-F35</f>
        <v>650784000</v>
      </c>
      <c r="G61" s="36">
        <f t="shared" ref="G61:L61" si="14">G8-G35</f>
        <v>0</v>
      </c>
      <c r="H61" s="36">
        <f t="shared" si="14"/>
        <v>-3427700000</v>
      </c>
      <c r="I61" s="36">
        <f t="shared" si="14"/>
        <v>-5270089200</v>
      </c>
      <c r="J61" s="36">
        <f t="shared" si="14"/>
        <v>0</v>
      </c>
      <c r="K61" s="36">
        <f t="shared" si="14"/>
        <v>0</v>
      </c>
      <c r="L61" s="201">
        <f t="shared" si="14"/>
        <v>0</v>
      </c>
    </row>
    <row r="62" spans="4:12" ht="18" customHeight="1">
      <c r="D62" s="656"/>
      <c r="E62" s="52" t="s">
        <v>12</v>
      </c>
      <c r="F62" s="52">
        <f>SUM(F63:F65)</f>
        <v>4704182528</v>
      </c>
      <c r="G62" s="52">
        <f>SUM(G63:G65)</f>
        <v>0</v>
      </c>
      <c r="H62" s="52">
        <f t="shared" ref="H62" si="15">SUM(H63:H65)</f>
        <v>0</v>
      </c>
      <c r="I62" s="52">
        <f t="shared" ref="I62" si="16">SUM(I63:I65)</f>
        <v>0</v>
      </c>
      <c r="J62" s="52">
        <f t="shared" ref="J62" si="17">SUM(J63:J65)</f>
        <v>0</v>
      </c>
      <c r="K62" s="52">
        <f t="shared" ref="K62" si="18">SUM(K63:K65)</f>
        <v>0</v>
      </c>
      <c r="L62" s="589">
        <f t="shared" ref="L62" si="19">SUM(L63:L65)</f>
        <v>0</v>
      </c>
    </row>
    <row r="63" spans="4:12" ht="18" customHeight="1">
      <c r="D63" s="258">
        <v>320100</v>
      </c>
      <c r="E63" s="36" t="s">
        <v>192</v>
      </c>
      <c r="F63" s="36">
        <f t="shared" ref="F63:L63" si="20">F10-F37</f>
        <v>5645100804</v>
      </c>
      <c r="G63" s="36">
        <f t="shared" si="20"/>
        <v>0</v>
      </c>
      <c r="H63" s="36">
        <f t="shared" si="20"/>
        <v>0</v>
      </c>
      <c r="I63" s="36">
        <f t="shared" si="20"/>
        <v>0</v>
      </c>
      <c r="J63" s="36">
        <f t="shared" si="20"/>
        <v>0</v>
      </c>
      <c r="K63" s="36">
        <f t="shared" si="20"/>
        <v>0</v>
      </c>
      <c r="L63" s="201">
        <f t="shared" si="20"/>
        <v>0</v>
      </c>
    </row>
    <row r="64" spans="4:12" ht="18" customHeight="1">
      <c r="D64" s="258">
        <v>320500</v>
      </c>
      <c r="E64" s="36" t="s">
        <v>193</v>
      </c>
      <c r="F64" s="36">
        <f t="shared" ref="F64:L64" si="21">F11-F38</f>
        <v>-940918276</v>
      </c>
      <c r="G64" s="36">
        <f t="shared" si="21"/>
        <v>0</v>
      </c>
      <c r="H64" s="36">
        <f t="shared" si="21"/>
        <v>0</v>
      </c>
      <c r="I64" s="36">
        <f t="shared" si="21"/>
        <v>0</v>
      </c>
      <c r="J64" s="36">
        <f t="shared" si="21"/>
        <v>0</v>
      </c>
      <c r="K64" s="36">
        <f t="shared" si="21"/>
        <v>0</v>
      </c>
      <c r="L64" s="201">
        <f t="shared" si="21"/>
        <v>0</v>
      </c>
    </row>
    <row r="65" spans="4:12" ht="18" customHeight="1">
      <c r="D65" s="258">
        <v>320300</v>
      </c>
      <c r="E65" s="36" t="s">
        <v>194</v>
      </c>
      <c r="F65" s="36">
        <f t="shared" ref="F65:L65" si="22">F12-F39</f>
        <v>0</v>
      </c>
      <c r="G65" s="36">
        <f t="shared" si="22"/>
        <v>0</v>
      </c>
      <c r="H65" s="36">
        <f t="shared" si="22"/>
        <v>0</v>
      </c>
      <c r="I65" s="36">
        <f t="shared" si="22"/>
        <v>0</v>
      </c>
      <c r="J65" s="36">
        <f t="shared" si="22"/>
        <v>0</v>
      </c>
      <c r="K65" s="36">
        <f t="shared" si="22"/>
        <v>0</v>
      </c>
      <c r="L65" s="201">
        <f t="shared" si="22"/>
        <v>0</v>
      </c>
    </row>
    <row r="66" spans="4:12" ht="18" customHeight="1">
      <c r="D66" s="656"/>
      <c r="E66" s="52" t="s">
        <v>195</v>
      </c>
      <c r="F66" s="52">
        <f>SUM(F67:F74)</f>
        <v>-7045588571</v>
      </c>
      <c r="G66" s="52">
        <f>SUM(G67:G74)</f>
        <v>-622288388</v>
      </c>
      <c r="H66" s="52">
        <f t="shared" ref="H66" si="23">SUM(H67:H74)</f>
        <v>-78765534</v>
      </c>
      <c r="I66" s="52">
        <f t="shared" ref="I66" si="24">SUM(I67:I74)</f>
        <v>441855763</v>
      </c>
      <c r="J66" s="52">
        <f t="shared" ref="J66" si="25">SUM(J67:J74)</f>
        <v>-564136723</v>
      </c>
      <c r="K66" s="52">
        <f t="shared" ref="K66" si="26">SUM(K67:K74)</f>
        <v>0</v>
      </c>
      <c r="L66" s="589">
        <f t="shared" ref="L66" si="27">SUM(L67:L74)</f>
        <v>0</v>
      </c>
    </row>
    <row r="67" spans="4:12" ht="18" customHeight="1">
      <c r="D67" s="258">
        <v>350300</v>
      </c>
      <c r="E67" s="36" t="s">
        <v>196</v>
      </c>
      <c r="F67" s="36">
        <f t="shared" ref="F67:L67" si="28">F14-F41</f>
        <v>0</v>
      </c>
      <c r="G67" s="36">
        <f t="shared" si="28"/>
        <v>0</v>
      </c>
      <c r="H67" s="36">
        <f t="shared" si="28"/>
        <v>0</v>
      </c>
      <c r="I67" s="36">
        <f t="shared" si="28"/>
        <v>0</v>
      </c>
      <c r="J67" s="36">
        <f t="shared" si="28"/>
        <v>0</v>
      </c>
      <c r="K67" s="36">
        <f t="shared" si="28"/>
        <v>0</v>
      </c>
      <c r="L67" s="201">
        <f t="shared" si="28"/>
        <v>0</v>
      </c>
    </row>
    <row r="68" spans="4:12" ht="18" customHeight="1">
      <c r="D68" s="258">
        <v>350350</v>
      </c>
      <c r="E68" s="36" t="s">
        <v>197</v>
      </c>
      <c r="F68" s="36">
        <f t="shared" ref="F68:L68" si="29">F15-F42</f>
        <v>0</v>
      </c>
      <c r="G68" s="36">
        <f t="shared" si="29"/>
        <v>0</v>
      </c>
      <c r="H68" s="36">
        <f t="shared" si="29"/>
        <v>0</v>
      </c>
      <c r="I68" s="36">
        <f t="shared" si="29"/>
        <v>0</v>
      </c>
      <c r="J68" s="36">
        <f t="shared" si="29"/>
        <v>0</v>
      </c>
      <c r="K68" s="36">
        <f t="shared" si="29"/>
        <v>0</v>
      </c>
      <c r="L68" s="201">
        <f t="shared" si="29"/>
        <v>0</v>
      </c>
    </row>
    <row r="69" spans="4:12" ht="18" customHeight="1">
      <c r="D69" s="258" t="s">
        <v>227</v>
      </c>
      <c r="E69" s="36" t="s">
        <v>226</v>
      </c>
      <c r="F69" s="36">
        <f t="shared" ref="F69:L69" si="30">F16-F43</f>
        <v>0</v>
      </c>
      <c r="G69" s="36">
        <f t="shared" si="30"/>
        <v>0</v>
      </c>
      <c r="H69" s="36">
        <f t="shared" si="30"/>
        <v>0</v>
      </c>
      <c r="I69" s="36">
        <f t="shared" si="30"/>
        <v>0</v>
      </c>
      <c r="J69" s="36">
        <f t="shared" si="30"/>
        <v>0</v>
      </c>
      <c r="K69" s="36">
        <f t="shared" si="30"/>
        <v>0</v>
      </c>
      <c r="L69" s="201">
        <f t="shared" si="30"/>
        <v>0</v>
      </c>
    </row>
    <row r="70" spans="4:12" ht="18" customHeight="1">
      <c r="D70" s="258">
        <v>350400</v>
      </c>
      <c r="E70" s="36" t="s">
        <v>198</v>
      </c>
      <c r="F70" s="36">
        <f t="shared" ref="F70:L70" si="31">F17-F44</f>
        <v>674683389</v>
      </c>
      <c r="G70" s="36">
        <f t="shared" si="31"/>
        <v>0</v>
      </c>
      <c r="H70" s="36">
        <f t="shared" si="31"/>
        <v>0</v>
      </c>
      <c r="I70" s="36">
        <f t="shared" si="31"/>
        <v>0</v>
      </c>
      <c r="J70" s="36">
        <f t="shared" si="31"/>
        <v>0</v>
      </c>
      <c r="K70" s="36">
        <f t="shared" si="31"/>
        <v>0</v>
      </c>
      <c r="L70" s="201">
        <f t="shared" si="31"/>
        <v>0</v>
      </c>
    </row>
    <row r="71" spans="4:12" ht="18" customHeight="1">
      <c r="D71" s="258">
        <v>350210</v>
      </c>
      <c r="E71" s="36" t="s">
        <v>199</v>
      </c>
      <c r="F71" s="36">
        <f t="shared" ref="F71:L71" si="32">F18-F45</f>
        <v>-7720271960</v>
      </c>
      <c r="G71" s="36">
        <f t="shared" si="32"/>
        <v>0</v>
      </c>
      <c r="H71" s="36">
        <f t="shared" si="32"/>
        <v>0</v>
      </c>
      <c r="I71" s="36">
        <f t="shared" si="32"/>
        <v>679911756</v>
      </c>
      <c r="J71" s="36">
        <f t="shared" si="32"/>
        <v>-778091133</v>
      </c>
      <c r="K71" s="36">
        <f t="shared" si="32"/>
        <v>0</v>
      </c>
      <c r="L71" s="201">
        <f t="shared" si="32"/>
        <v>0</v>
      </c>
    </row>
    <row r="72" spans="4:12" ht="18" customHeight="1">
      <c r="D72" s="258" t="s">
        <v>200</v>
      </c>
      <c r="E72" s="36" t="s">
        <v>201</v>
      </c>
      <c r="F72" s="36">
        <f t="shared" ref="F72:L72" si="33">F19-F46</f>
        <v>0</v>
      </c>
      <c r="G72" s="36">
        <f t="shared" si="33"/>
        <v>0</v>
      </c>
      <c r="H72" s="36">
        <f t="shared" si="33"/>
        <v>0</v>
      </c>
      <c r="I72" s="36">
        <f t="shared" si="33"/>
        <v>0</v>
      </c>
      <c r="J72" s="36">
        <f t="shared" si="33"/>
        <v>0</v>
      </c>
      <c r="K72" s="36">
        <f t="shared" si="33"/>
        <v>0</v>
      </c>
      <c r="L72" s="201">
        <f t="shared" si="33"/>
        <v>0</v>
      </c>
    </row>
    <row r="73" spans="4:12" ht="18" customHeight="1">
      <c r="D73" s="258" t="s">
        <v>202</v>
      </c>
      <c r="E73" s="36" t="s">
        <v>203</v>
      </c>
      <c r="F73" s="36">
        <f t="shared" ref="F73:L73" si="34">F20-F47</f>
        <v>0</v>
      </c>
      <c r="G73" s="36">
        <f t="shared" si="34"/>
        <v>0</v>
      </c>
      <c r="H73" s="36">
        <f t="shared" si="34"/>
        <v>0</v>
      </c>
      <c r="I73" s="36">
        <f t="shared" si="34"/>
        <v>0</v>
      </c>
      <c r="J73" s="36">
        <f t="shared" si="34"/>
        <v>0</v>
      </c>
      <c r="K73" s="36">
        <f t="shared" si="34"/>
        <v>0</v>
      </c>
      <c r="L73" s="201">
        <f t="shared" si="34"/>
        <v>0</v>
      </c>
    </row>
    <row r="74" spans="4:12" ht="18" customHeight="1">
      <c r="D74" s="258" t="s">
        <v>204</v>
      </c>
      <c r="E74" s="36" t="s">
        <v>205</v>
      </c>
      <c r="F74" s="36">
        <f t="shared" ref="F74:L74" si="35">F21-F48</f>
        <v>0</v>
      </c>
      <c r="G74" s="36">
        <f>G21-G48</f>
        <v>-622288388</v>
      </c>
      <c r="H74" s="36">
        <f>H21-H48</f>
        <v>-78765534</v>
      </c>
      <c r="I74" s="36">
        <f t="shared" si="35"/>
        <v>-238055993</v>
      </c>
      <c r="J74" s="36">
        <f>J21-J48</f>
        <v>213954410</v>
      </c>
      <c r="K74" s="36">
        <f t="shared" si="35"/>
        <v>0</v>
      </c>
      <c r="L74" s="201">
        <f t="shared" si="35"/>
        <v>0</v>
      </c>
    </row>
    <row r="75" spans="4:12" ht="18" customHeight="1">
      <c r="D75" s="656"/>
      <c r="E75" s="52" t="s">
        <v>13</v>
      </c>
      <c r="F75" s="52">
        <f>SUM(F76:F78)</f>
        <v>-49347667594</v>
      </c>
      <c r="G75" s="52">
        <f>SUM(G76:G78)</f>
        <v>-255705283</v>
      </c>
      <c r="H75" s="52">
        <f t="shared" ref="H75" si="36">SUM(H76:H78)</f>
        <v>6097036596</v>
      </c>
      <c r="I75" s="52">
        <f t="shared" ref="I75" si="37">SUM(I76:I78)</f>
        <v>4220246968</v>
      </c>
      <c r="J75" s="52">
        <f t="shared" ref="J75" si="38">SUM(J76:J78)</f>
        <v>516070419</v>
      </c>
      <c r="K75" s="52">
        <f t="shared" ref="K75" si="39">SUM(K76:K78)</f>
        <v>0</v>
      </c>
      <c r="L75" s="589">
        <f t="shared" ref="L75" si="40">SUM(L76:L78)</f>
        <v>0</v>
      </c>
    </row>
    <row r="76" spans="4:12" ht="18" customHeight="1">
      <c r="D76" s="258">
        <v>350951</v>
      </c>
      <c r="E76" s="36" t="s">
        <v>206</v>
      </c>
      <c r="F76" s="36">
        <f t="shared" ref="F76:L78" si="41">F23-F50</f>
        <v>-766511518</v>
      </c>
      <c r="G76" s="36">
        <f t="shared" si="41"/>
        <v>0</v>
      </c>
      <c r="H76" s="36">
        <f t="shared" si="41"/>
        <v>0</v>
      </c>
      <c r="I76" s="36">
        <f t="shared" si="41"/>
        <v>0</v>
      </c>
      <c r="J76" s="36">
        <f t="shared" si="41"/>
        <v>0</v>
      </c>
      <c r="K76" s="36">
        <f t="shared" si="41"/>
        <v>0</v>
      </c>
      <c r="L76" s="201">
        <f t="shared" si="41"/>
        <v>0</v>
      </c>
    </row>
    <row r="77" spans="4:12" ht="18" customHeight="1">
      <c r="D77" s="258" t="s">
        <v>207</v>
      </c>
      <c r="E77" s="36" t="s">
        <v>208</v>
      </c>
      <c r="F77" s="36">
        <f t="shared" si="41"/>
        <v>-22011254506</v>
      </c>
      <c r="G77" s="36">
        <f t="shared" si="41"/>
        <v>-930399930</v>
      </c>
      <c r="H77" s="36">
        <f t="shared" si="41"/>
        <v>6014654050</v>
      </c>
      <c r="I77" s="36">
        <f t="shared" si="41"/>
        <v>2980431374</v>
      </c>
      <c r="J77" s="36">
        <f t="shared" si="41"/>
        <v>-584745403</v>
      </c>
      <c r="K77" s="36">
        <f t="shared" si="41"/>
        <v>0</v>
      </c>
      <c r="L77" s="201">
        <f t="shared" si="41"/>
        <v>0</v>
      </c>
    </row>
    <row r="78" spans="4:12" ht="18" customHeight="1">
      <c r="D78" s="258" t="s">
        <v>209</v>
      </c>
      <c r="E78" s="36" t="s">
        <v>210</v>
      </c>
      <c r="F78" s="36">
        <f t="shared" si="41"/>
        <v>-26569901570</v>
      </c>
      <c r="G78" s="36">
        <f t="shared" si="41"/>
        <v>674694647</v>
      </c>
      <c r="H78" s="36">
        <f t="shared" si="41"/>
        <v>82382546</v>
      </c>
      <c r="I78" s="36">
        <f t="shared" si="41"/>
        <v>1239815594</v>
      </c>
      <c r="J78" s="36">
        <f t="shared" si="41"/>
        <v>1100815822</v>
      </c>
      <c r="K78" s="36">
        <f t="shared" si="41"/>
        <v>0</v>
      </c>
      <c r="L78" s="201">
        <f t="shared" si="41"/>
        <v>0</v>
      </c>
    </row>
    <row r="79" spans="4:12" ht="18" customHeight="1">
      <c r="D79" s="655"/>
      <c r="E79" s="49" t="s">
        <v>211</v>
      </c>
      <c r="F79" s="49">
        <f>F80</f>
        <v>0</v>
      </c>
      <c r="G79" s="49">
        <f>G80</f>
        <v>0</v>
      </c>
      <c r="H79" s="49">
        <f t="shared" ref="H79" si="42">H80</f>
        <v>0</v>
      </c>
      <c r="I79" s="49">
        <f t="shared" ref="I79" si="43">I80</f>
        <v>0</v>
      </c>
      <c r="J79" s="49">
        <f t="shared" ref="J79" si="44">J80</f>
        <v>0</v>
      </c>
      <c r="K79" s="49">
        <f t="shared" ref="K79" si="45">K80</f>
        <v>0</v>
      </c>
      <c r="L79" s="340">
        <f t="shared" ref="L79" si="46">L80</f>
        <v>0</v>
      </c>
    </row>
    <row r="80" spans="4:12" ht="18" customHeight="1" thickBot="1">
      <c r="D80" s="657" t="s">
        <v>496</v>
      </c>
      <c r="E80" s="207" t="s">
        <v>211</v>
      </c>
      <c r="F80" s="345">
        <f t="shared" ref="F80:L80" si="47">F27-F54</f>
        <v>0</v>
      </c>
      <c r="G80" s="345">
        <f t="shared" si="47"/>
        <v>0</v>
      </c>
      <c r="H80" s="345">
        <f t="shared" si="47"/>
        <v>0</v>
      </c>
      <c r="I80" s="345">
        <f t="shared" si="47"/>
        <v>0</v>
      </c>
      <c r="J80" s="345">
        <f t="shared" si="47"/>
        <v>0</v>
      </c>
      <c r="K80" s="345">
        <f t="shared" si="47"/>
        <v>0</v>
      </c>
      <c r="L80" s="208">
        <f t="shared" si="47"/>
        <v>0</v>
      </c>
    </row>
    <row r="82" spans="4:12" ht="18" customHeight="1">
      <c r="D82" s="206" t="s">
        <v>1700</v>
      </c>
    </row>
    <row r="83" spans="4:12" ht="18" customHeight="1" thickBot="1">
      <c r="D83" s="206"/>
      <c r="H83" s="196" t="s">
        <v>1624</v>
      </c>
    </row>
    <row r="84" spans="4:12" ht="38.450000000000003" customHeight="1">
      <c r="D84" s="322"/>
      <c r="E84" s="322"/>
      <c r="F84" s="322" t="str">
        <f>F4</f>
        <v>드림어스컴퍼니</v>
      </c>
      <c r="G84" s="322" t="str">
        <f t="shared" ref="G84:L84" si="48">G4</f>
        <v>Iriver Enterprise Ltd(연결)</v>
      </c>
      <c r="H84" s="322" t="str">
        <f t="shared" si="48"/>
        <v>Iriver Inc</v>
      </c>
      <c r="I84" s="322" t="str">
        <f t="shared" si="48"/>
        <v>Groovers Japan Co., Ltd.</v>
      </c>
      <c r="J84" s="322" t="str">
        <f t="shared" si="48"/>
        <v>S.M. Life Design Company Japan Inc.</v>
      </c>
      <c r="K84" s="322" t="str">
        <f t="shared" si="48"/>
        <v>SMMC JP</v>
      </c>
      <c r="L84" s="322" t="str">
        <f t="shared" si="48"/>
        <v>그루버스</v>
      </c>
    </row>
    <row r="85" spans="4:12" s="206" customFormat="1" ht="18" customHeight="1">
      <c r="D85" s="660" t="s">
        <v>10</v>
      </c>
      <c r="E85" s="660"/>
      <c r="F85" s="660"/>
      <c r="G85" s="660"/>
      <c r="H85" s="660"/>
      <c r="I85" s="660"/>
      <c r="J85" s="660"/>
      <c r="K85" s="660"/>
      <c r="L85" s="660"/>
    </row>
    <row r="86" spans="4:12" ht="18" customHeight="1">
      <c r="E86" s="28" t="s">
        <v>537</v>
      </c>
      <c r="F86" s="28">
        <v>0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>
        <v>0</v>
      </c>
    </row>
    <row r="87" spans="4:12" ht="18" customHeight="1">
      <c r="E87" s="28" t="s">
        <v>1704</v>
      </c>
      <c r="F87" s="28">
        <f>F61</f>
        <v>650784000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</row>
    <row r="88" spans="4:12" ht="18" customHeight="1">
      <c r="E88" s="28" t="s">
        <v>1834</v>
      </c>
      <c r="F88" s="28">
        <v>0</v>
      </c>
      <c r="G88" s="28">
        <v>0</v>
      </c>
      <c r="H88" s="28">
        <v>0</v>
      </c>
      <c r="I88" s="28">
        <v>-3605595098</v>
      </c>
      <c r="J88" s="28">
        <v>0</v>
      </c>
      <c r="K88" s="28">
        <v>0</v>
      </c>
      <c r="L88" s="28">
        <v>0</v>
      </c>
    </row>
    <row r="89" spans="4:12" ht="18" customHeight="1" thickBot="1">
      <c r="D89" s="209"/>
      <c r="E89" s="209"/>
      <c r="F89" s="209">
        <f t="shared" ref="F89:L89" si="49">SUM(F86:F88)</f>
        <v>650784000</v>
      </c>
      <c r="G89" s="209">
        <f t="shared" si="49"/>
        <v>0</v>
      </c>
      <c r="H89" s="209">
        <f t="shared" si="49"/>
        <v>0</v>
      </c>
      <c r="I89" s="209">
        <f t="shared" si="49"/>
        <v>-3605595098</v>
      </c>
      <c r="J89" s="209">
        <f t="shared" si="49"/>
        <v>0</v>
      </c>
      <c r="K89" s="209">
        <f t="shared" si="49"/>
        <v>0</v>
      </c>
      <c r="L89" s="209">
        <f t="shared" si="49"/>
        <v>0</v>
      </c>
    </row>
    <row r="90" spans="4:12" ht="18" customHeight="1" thickTop="1">
      <c r="F90" s="28" t="b">
        <f t="shared" ref="F90:L90" si="50">F89=F60</f>
        <v>1</v>
      </c>
      <c r="G90" s="28" t="b">
        <f t="shared" si="50"/>
        <v>1</v>
      </c>
      <c r="H90" s="28" t="b">
        <f t="shared" si="50"/>
        <v>0</v>
      </c>
      <c r="I90" s="28">
        <f>I89-I60</f>
        <v>1664494102</v>
      </c>
      <c r="J90" s="28" t="b">
        <f t="shared" si="50"/>
        <v>1</v>
      </c>
      <c r="K90" s="28" t="b">
        <f t="shared" si="50"/>
        <v>1</v>
      </c>
      <c r="L90" s="28" t="b">
        <f t="shared" si="50"/>
        <v>1</v>
      </c>
    </row>
    <row r="91" spans="4:12" s="206" customFormat="1" ht="18" customHeight="1">
      <c r="D91" s="660" t="s">
        <v>12</v>
      </c>
      <c r="E91" s="660"/>
      <c r="F91" s="660"/>
      <c r="G91" s="660"/>
      <c r="H91" s="660"/>
      <c r="I91" s="660"/>
      <c r="J91" s="660"/>
      <c r="K91" s="660"/>
      <c r="L91" s="660"/>
    </row>
    <row r="92" spans="4:12" ht="18" customHeight="1">
      <c r="E92" s="28" t="s">
        <v>537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</row>
    <row r="93" spans="4:12" ht="18" customHeight="1">
      <c r="E93" s="28" t="s">
        <v>1704</v>
      </c>
      <c r="F93" s="28">
        <f>SUM(F63:F64)</f>
        <v>4704182528</v>
      </c>
    </row>
    <row r="94" spans="4:12" ht="18" customHeight="1">
      <c r="E94" s="28" t="s">
        <v>1702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</row>
    <row r="95" spans="4:12" ht="18" customHeight="1">
      <c r="E95" s="28" t="s">
        <v>1703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</row>
    <row r="96" spans="4:12" ht="18" customHeight="1">
      <c r="E96" s="28" t="s">
        <v>542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</row>
    <row r="97" spans="4:12" s="206" customFormat="1" ht="18" customHeight="1" thickBot="1">
      <c r="D97" s="661"/>
      <c r="E97" s="661"/>
      <c r="F97" s="661">
        <f>SUM(F92:F96)</f>
        <v>4704182528</v>
      </c>
      <c r="G97" s="661">
        <f t="shared" ref="G97:L97" si="51">SUM(G92:G96)</f>
        <v>0</v>
      </c>
      <c r="H97" s="661">
        <f t="shared" si="51"/>
        <v>0</v>
      </c>
      <c r="I97" s="661">
        <f t="shared" si="51"/>
        <v>0</v>
      </c>
      <c r="J97" s="661">
        <f t="shared" si="51"/>
        <v>0</v>
      </c>
      <c r="K97" s="661">
        <f t="shared" si="51"/>
        <v>0</v>
      </c>
      <c r="L97" s="661">
        <f t="shared" si="51"/>
        <v>0</v>
      </c>
    </row>
    <row r="98" spans="4:12" ht="18" customHeight="1" thickTop="1">
      <c r="F98" s="28" t="b">
        <f t="shared" ref="F98:L98" si="52">F97=F62</f>
        <v>1</v>
      </c>
      <c r="G98" s="28" t="b">
        <f t="shared" si="52"/>
        <v>1</v>
      </c>
      <c r="H98" s="28" t="b">
        <f t="shared" si="52"/>
        <v>1</v>
      </c>
      <c r="I98" s="28" t="b">
        <f t="shared" si="52"/>
        <v>1</v>
      </c>
      <c r="J98" s="28" t="b">
        <f t="shared" si="52"/>
        <v>1</v>
      </c>
      <c r="K98" s="28" t="b">
        <f t="shared" si="52"/>
        <v>1</v>
      </c>
      <c r="L98" s="28" t="b">
        <f t="shared" si="52"/>
        <v>1</v>
      </c>
    </row>
    <row r="99" spans="4:12" s="206" customFormat="1" ht="18" customHeight="1">
      <c r="D99" s="660" t="s">
        <v>195</v>
      </c>
      <c r="E99" s="660"/>
      <c r="F99" s="660"/>
      <c r="G99" s="660"/>
      <c r="H99" s="660"/>
      <c r="I99" s="660"/>
      <c r="J99" s="660"/>
      <c r="K99" s="660"/>
      <c r="L99" s="660"/>
    </row>
    <row r="100" spans="4:12" ht="18" customHeight="1">
      <c r="E100" s="28" t="s">
        <v>765</v>
      </c>
      <c r="F100" s="28">
        <f>F70</f>
        <v>674683389</v>
      </c>
    </row>
    <row r="101" spans="4:12" ht="18" customHeight="1">
      <c r="E101" s="28" t="s">
        <v>1701</v>
      </c>
    </row>
    <row r="102" spans="4:12" ht="18" customHeight="1">
      <c r="E102" s="28" t="s">
        <v>1702</v>
      </c>
    </row>
    <row r="103" spans="4:12" ht="18" customHeight="1">
      <c r="E103" s="28" t="s">
        <v>1703</v>
      </c>
    </row>
    <row r="104" spans="4:12" ht="18" customHeight="1">
      <c r="E104" s="28" t="s">
        <v>1705</v>
      </c>
      <c r="F104" s="28">
        <v>-7720271960</v>
      </c>
    </row>
    <row r="105" spans="4:12" ht="18" customHeight="1">
      <c r="E105" s="28" t="s">
        <v>1706</v>
      </c>
      <c r="F105" s="28">
        <f>F74</f>
        <v>0</v>
      </c>
      <c r="G105" s="28">
        <f t="shared" ref="G105:L105" si="53">G74</f>
        <v>-622288388</v>
      </c>
      <c r="H105" s="28">
        <f t="shared" si="53"/>
        <v>-78765534</v>
      </c>
      <c r="I105" s="28">
        <f t="shared" si="53"/>
        <v>-238055993</v>
      </c>
      <c r="J105" s="28">
        <f t="shared" si="53"/>
        <v>213954410</v>
      </c>
      <c r="K105" s="28">
        <f t="shared" si="53"/>
        <v>0</v>
      </c>
      <c r="L105" s="28">
        <f t="shared" si="53"/>
        <v>0</v>
      </c>
    </row>
    <row r="106" spans="4:12" ht="18" customHeight="1" thickBot="1">
      <c r="D106" s="209"/>
      <c r="E106" s="209"/>
      <c r="F106" s="209">
        <f>SUM(F100:F105)</f>
        <v>-7045588571</v>
      </c>
      <c r="G106" s="209">
        <f t="shared" ref="G106:L106" si="54">SUM(G100:G105)</f>
        <v>-622288388</v>
      </c>
      <c r="H106" s="209">
        <f t="shared" si="54"/>
        <v>-78765534</v>
      </c>
      <c r="I106" s="209">
        <f t="shared" si="54"/>
        <v>-238055993</v>
      </c>
      <c r="J106" s="209">
        <f t="shared" si="54"/>
        <v>213954410</v>
      </c>
      <c r="K106" s="209">
        <f t="shared" si="54"/>
        <v>0</v>
      </c>
      <c r="L106" s="209">
        <f t="shared" si="54"/>
        <v>0</v>
      </c>
    </row>
    <row r="107" spans="4:12" ht="18" customHeight="1" thickTop="1">
      <c r="F107" s="28" t="b">
        <f t="shared" ref="F107:L107" si="55">F106=F66</f>
        <v>1</v>
      </c>
      <c r="G107" s="28" t="b">
        <f t="shared" si="55"/>
        <v>1</v>
      </c>
      <c r="H107" s="28" t="b">
        <f t="shared" si="55"/>
        <v>1</v>
      </c>
      <c r="I107" s="28" t="b">
        <f t="shared" si="55"/>
        <v>0</v>
      </c>
      <c r="J107" s="28" t="b">
        <f t="shared" si="55"/>
        <v>0</v>
      </c>
      <c r="K107" s="28" t="b">
        <f t="shared" si="55"/>
        <v>1</v>
      </c>
      <c r="L107" s="28" t="b">
        <f t="shared" si="55"/>
        <v>1</v>
      </c>
    </row>
    <row r="108" spans="4:12" s="206" customFormat="1" ht="18" customHeight="1">
      <c r="D108" s="660" t="s">
        <v>13</v>
      </c>
      <c r="E108" s="660"/>
      <c r="F108" s="660"/>
      <c r="G108" s="660"/>
      <c r="H108" s="660"/>
      <c r="I108" s="660"/>
      <c r="J108" s="660"/>
      <c r="K108" s="660"/>
      <c r="L108" s="660"/>
    </row>
    <row r="109" spans="4:12" ht="18" customHeight="1">
      <c r="E109" s="28" t="s">
        <v>1707</v>
      </c>
      <c r="F109" s="28">
        <f>SUM(T_IS!H120)</f>
        <v>-48581156076</v>
      </c>
      <c r="G109" s="28">
        <f>SUM(T_IS!I120)</f>
        <v>-255705283</v>
      </c>
      <c r="H109" s="28">
        <f>SUM(T_IS!J120)</f>
        <v>3467979714</v>
      </c>
      <c r="I109" s="28">
        <f>SUM(T_IS!K120)</f>
        <v>-1424965015</v>
      </c>
      <c r="J109" s="28">
        <f>SUM(T_IS!L120)</f>
        <v>516070419</v>
      </c>
      <c r="K109" s="28">
        <f>SUM(T_IS!M120)</f>
        <v>0</v>
      </c>
      <c r="L109" s="28">
        <v>0</v>
      </c>
    </row>
    <row r="110" spans="4:12" ht="18" customHeight="1">
      <c r="E110" s="28" t="s">
        <v>1708</v>
      </c>
      <c r="F110" s="28">
        <v>0</v>
      </c>
      <c r="G110" s="28">
        <v>0</v>
      </c>
      <c r="H110" s="28">
        <v>0</v>
      </c>
      <c r="I110" s="28">
        <v>0</v>
      </c>
      <c r="J110" s="28">
        <v>0</v>
      </c>
      <c r="K110" s="28">
        <v>0</v>
      </c>
      <c r="L110" s="28">
        <v>0</v>
      </c>
    </row>
    <row r="111" spans="4:12" ht="18" customHeight="1">
      <c r="E111" s="28" t="s">
        <v>1709</v>
      </c>
      <c r="F111" s="28">
        <v>0</v>
      </c>
      <c r="G111" s="28">
        <v>0</v>
      </c>
      <c r="H111" s="28">
        <v>0</v>
      </c>
      <c r="I111" s="28">
        <v>0</v>
      </c>
      <c r="J111" s="28">
        <v>0</v>
      </c>
      <c r="K111" s="28">
        <v>0</v>
      </c>
      <c r="L111" s="28">
        <v>0</v>
      </c>
    </row>
    <row r="112" spans="4:12" ht="18" customHeight="1">
      <c r="E112" s="28" t="s">
        <v>1710</v>
      </c>
      <c r="F112" s="28">
        <v>0</v>
      </c>
      <c r="G112" s="28">
        <v>0</v>
      </c>
      <c r="H112" s="28">
        <v>0</v>
      </c>
      <c r="I112" s="28">
        <v>0</v>
      </c>
      <c r="J112" s="28">
        <v>0</v>
      </c>
      <c r="K112" s="28">
        <v>0</v>
      </c>
      <c r="L112" s="28">
        <v>0</v>
      </c>
    </row>
    <row r="113" spans="4:12" ht="18" customHeight="1" thickBot="1">
      <c r="D113" s="209"/>
      <c r="E113" s="209" t="s">
        <v>1834</v>
      </c>
      <c r="F113" s="209">
        <v>0</v>
      </c>
      <c r="G113" s="209">
        <v>0</v>
      </c>
      <c r="H113" s="209">
        <v>0</v>
      </c>
      <c r="I113" s="209">
        <v>3768874641</v>
      </c>
      <c r="J113" s="209">
        <v>0</v>
      </c>
      <c r="K113" s="209">
        <v>0</v>
      </c>
      <c r="L113" s="209">
        <v>0</v>
      </c>
    </row>
    <row r="114" spans="4:12" s="206" customFormat="1" ht="18" customHeight="1" thickTop="1">
      <c r="F114" s="206">
        <f>SUM(F109:F113)</f>
        <v>-48581156076</v>
      </c>
      <c r="G114" s="206">
        <f t="shared" ref="G114:L114" si="56">SUM(G109:G113)</f>
        <v>-255705283</v>
      </c>
      <c r="H114" s="206">
        <f t="shared" si="56"/>
        <v>3467979714</v>
      </c>
      <c r="I114" s="206">
        <f t="shared" si="56"/>
        <v>2343909626</v>
      </c>
      <c r="J114" s="206">
        <f t="shared" si="56"/>
        <v>516070419</v>
      </c>
      <c r="K114" s="206">
        <f t="shared" si="56"/>
        <v>0</v>
      </c>
      <c r="L114" s="206">
        <f t="shared" si="56"/>
        <v>0</v>
      </c>
    </row>
    <row r="115" spans="4:12" ht="18" customHeight="1">
      <c r="F115" s="28" t="b">
        <f>F114=F75</f>
        <v>0</v>
      </c>
      <c r="G115" s="28" t="b">
        <f t="shared" ref="G115:L115" si="57">G114=G75</f>
        <v>1</v>
      </c>
      <c r="H115" s="28" t="b">
        <f t="shared" si="57"/>
        <v>0</v>
      </c>
      <c r="I115" s="28" t="b">
        <f>I114=I75</f>
        <v>0</v>
      </c>
      <c r="J115" s="28" t="b">
        <f t="shared" si="57"/>
        <v>1</v>
      </c>
      <c r="K115" s="28" t="b">
        <f t="shared" si="57"/>
        <v>1</v>
      </c>
      <c r="L115" s="28" t="b">
        <f t="shared" si="57"/>
        <v>1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223055"/>
  </sheetPr>
  <dimension ref="D4:L45"/>
  <sheetViews>
    <sheetView showGridLines="0" zoomScaleNormal="100" workbookViewId="0">
      <pane xSplit="4" ySplit="5" topLeftCell="E6" activePane="bottomRight" state="frozen"/>
      <selection activeCell="G27" sqref="G27"/>
      <selection pane="topRight" activeCell="G27" sqref="G27"/>
      <selection pane="bottomLeft" activeCell="G27" sqref="G27"/>
      <selection pane="bottomRight" activeCell="L15" sqref="L15"/>
    </sheetView>
  </sheetViews>
  <sheetFormatPr defaultColWidth="8.75" defaultRowHeight="18" customHeight="1"/>
  <cols>
    <col min="1" max="3" width="2.375" style="28" customWidth="1"/>
    <col min="4" max="6" width="25.375" style="28" customWidth="1"/>
    <col min="7" max="8" width="25.375" style="28" hidden="1" customWidth="1"/>
    <col min="9" max="10" width="25.375" style="28" customWidth="1"/>
    <col min="11" max="16" width="20.375" style="28" customWidth="1"/>
    <col min="17" max="16384" width="8.75" style="28"/>
  </cols>
  <sheetData>
    <row r="4" spans="4:12" s="27" customFormat="1" ht="18" customHeight="1" thickBot="1">
      <c r="F4" s="27" t="b">
        <v>1</v>
      </c>
      <c r="G4" s="27" t="b">
        <v>1</v>
      </c>
      <c r="H4" s="27" t="b">
        <v>1</v>
      </c>
      <c r="I4" s="27" t="b">
        <v>1</v>
      </c>
      <c r="J4" s="27" t="b">
        <f t="shared" ref="J4" si="0">SUM(J6:J32)=0</f>
        <v>1</v>
      </c>
    </row>
    <row r="5" spans="4:12" ht="18" customHeight="1">
      <c r="D5" s="238" t="s">
        <v>16</v>
      </c>
      <c r="E5" s="239" t="s">
        <v>19</v>
      </c>
      <c r="F5" s="239" t="s">
        <v>395</v>
      </c>
      <c r="G5" s="239" t="s">
        <v>396</v>
      </c>
      <c r="H5" s="239" t="s">
        <v>397</v>
      </c>
      <c r="I5" s="239" t="s">
        <v>398</v>
      </c>
      <c r="J5" s="240" t="s">
        <v>399</v>
      </c>
    </row>
    <row r="6" spans="4:12" s="194" customFormat="1" ht="18" customHeight="1">
      <c r="D6" s="251" t="s">
        <v>560</v>
      </c>
      <c r="E6" s="252"/>
      <c r="F6" s="252"/>
      <c r="G6" s="252"/>
      <c r="H6" s="252"/>
      <c r="I6" s="252"/>
      <c r="J6" s="253"/>
    </row>
    <row r="7" spans="4:12" s="194" customFormat="1" ht="18" customHeight="1">
      <c r="D7" s="254">
        <v>410100</v>
      </c>
      <c r="E7" s="255" t="s">
        <v>230</v>
      </c>
      <c r="F7" s="255">
        <v>0</v>
      </c>
      <c r="G7" s="255"/>
      <c r="H7" s="255"/>
      <c r="I7" s="255">
        <v>2078319232</v>
      </c>
      <c r="J7" s="256">
        <f>SUM(T_IS!I7:K10)</f>
        <v>2101856723</v>
      </c>
      <c r="K7" s="194" t="s">
        <v>1888</v>
      </c>
    </row>
    <row r="8" spans="4:12" s="194" customFormat="1" ht="18" customHeight="1">
      <c r="D8" s="254">
        <v>410200</v>
      </c>
      <c r="E8" s="255" t="s">
        <v>231</v>
      </c>
      <c r="F8" s="255">
        <v>0</v>
      </c>
      <c r="G8" s="255"/>
      <c r="H8" s="255"/>
      <c r="I8" s="255">
        <v>-2078319232</v>
      </c>
      <c r="J8" s="256">
        <f>-J7</f>
        <v>-2101856723</v>
      </c>
    </row>
    <row r="9" spans="4:12" s="194" customFormat="1" ht="18" customHeight="1">
      <c r="D9" s="257" t="s">
        <v>240</v>
      </c>
      <c r="E9" s="255" t="s">
        <v>241</v>
      </c>
      <c r="F9" s="255">
        <v>-3045560336</v>
      </c>
      <c r="G9" s="255">
        <v>-1368838901</v>
      </c>
      <c r="H9" s="255">
        <v>-5081605792</v>
      </c>
      <c r="I9" s="255">
        <v>-1389098959</v>
      </c>
      <c r="J9" s="256">
        <f>-SUM(T_IS!I26:K26)</f>
        <v>-1397045394</v>
      </c>
      <c r="K9" s="194" t="s">
        <v>1888</v>
      </c>
    </row>
    <row r="10" spans="4:12" ht="18" customHeight="1">
      <c r="D10" s="258" t="s">
        <v>242</v>
      </c>
      <c r="E10" s="36" t="s">
        <v>243</v>
      </c>
      <c r="F10" s="36">
        <v>3045560336</v>
      </c>
      <c r="G10" s="36">
        <v>1368838901</v>
      </c>
      <c r="H10" s="36">
        <v>5081605792</v>
      </c>
      <c r="I10" s="259">
        <v>1389098959</v>
      </c>
      <c r="J10" s="201">
        <f>-J9</f>
        <v>1397045394</v>
      </c>
    </row>
    <row r="11" spans="4:12" s="194" customFormat="1" ht="18" customHeight="1">
      <c r="D11" s="251" t="s">
        <v>466</v>
      </c>
      <c r="E11" s="252"/>
      <c r="F11" s="252"/>
      <c r="G11" s="252"/>
      <c r="H11" s="252"/>
      <c r="I11" s="252"/>
      <c r="J11" s="253"/>
    </row>
    <row r="12" spans="4:12" s="194" customFormat="1" ht="18" customHeight="1">
      <c r="D12" s="254" t="s">
        <v>302</v>
      </c>
      <c r="E12" s="255" t="s">
        <v>303</v>
      </c>
      <c r="F12" s="255">
        <v>-3197875</v>
      </c>
      <c r="G12" s="255">
        <v>0</v>
      </c>
      <c r="H12" s="255">
        <v>16711699</v>
      </c>
      <c r="I12" s="255">
        <v>-79655580</v>
      </c>
      <c r="J12" s="256"/>
    </row>
    <row r="13" spans="4:12" s="194" customFormat="1" ht="18" customHeight="1">
      <c r="D13" s="254" t="s">
        <v>296</v>
      </c>
      <c r="E13" s="255" t="s">
        <v>297</v>
      </c>
      <c r="F13" s="255">
        <v>3197875</v>
      </c>
      <c r="G13" s="259">
        <v>0</v>
      </c>
      <c r="H13" s="255">
        <v>-16711699</v>
      </c>
      <c r="I13" s="255">
        <v>79655580</v>
      </c>
      <c r="J13" s="256"/>
    </row>
    <row r="14" spans="4:12" s="194" customFormat="1" ht="18" customHeight="1">
      <c r="D14" s="251" t="s">
        <v>466</v>
      </c>
      <c r="E14" s="252"/>
      <c r="F14" s="252"/>
      <c r="G14" s="252"/>
      <c r="H14" s="252"/>
      <c r="I14" s="252"/>
      <c r="J14" s="253"/>
    </row>
    <row r="15" spans="4:12" s="194" customFormat="1" ht="18" customHeight="1">
      <c r="D15" s="254">
        <v>111731</v>
      </c>
      <c r="E15" s="255" t="s">
        <v>26</v>
      </c>
      <c r="F15" s="255"/>
      <c r="G15" s="255"/>
      <c r="H15" s="255"/>
      <c r="I15" s="255"/>
      <c r="J15" s="256">
        <v>-327031541</v>
      </c>
      <c r="L15" s="194">
        <f>+J15+J17</f>
        <v>-627168162</v>
      </c>
    </row>
    <row r="16" spans="4:12" s="194" customFormat="1" ht="18" customHeight="1">
      <c r="D16" s="254">
        <v>112113</v>
      </c>
      <c r="E16" s="255" t="s">
        <v>33</v>
      </c>
      <c r="F16" s="255"/>
      <c r="G16" s="255"/>
      <c r="H16" s="255"/>
      <c r="I16" s="255"/>
      <c r="J16" s="256">
        <f>-J15</f>
        <v>327031541</v>
      </c>
    </row>
    <row r="17" spans="4:10" s="194" customFormat="1" ht="18" customHeight="1">
      <c r="D17" s="254">
        <v>121800</v>
      </c>
      <c r="E17" s="255" t="s">
        <v>1837</v>
      </c>
      <c r="F17" s="255"/>
      <c r="G17" s="255"/>
      <c r="H17" s="255"/>
      <c r="I17" s="255"/>
      <c r="J17" s="256">
        <v>-300136621</v>
      </c>
    </row>
    <row r="18" spans="4:10" s="194" customFormat="1" ht="18" customHeight="1">
      <c r="D18" s="254" t="s">
        <v>1964</v>
      </c>
      <c r="E18" s="255" t="s">
        <v>1965</v>
      </c>
      <c r="F18" s="255"/>
      <c r="G18" s="255"/>
      <c r="H18" s="255"/>
      <c r="I18" s="255"/>
      <c r="J18" s="256">
        <f>-J17</f>
        <v>300136621</v>
      </c>
    </row>
    <row r="19" spans="4:10" s="194" customFormat="1" ht="18" customHeight="1">
      <c r="D19" s="254"/>
      <c r="E19" s="255"/>
      <c r="F19" s="255"/>
      <c r="G19" s="255"/>
      <c r="H19" s="255"/>
      <c r="I19" s="255"/>
      <c r="J19" s="256"/>
    </row>
    <row r="20" spans="4:10" ht="18" customHeight="1">
      <c r="D20" s="241"/>
      <c r="E20" s="243"/>
      <c r="F20" s="243"/>
      <c r="G20" s="243"/>
      <c r="H20" s="243"/>
      <c r="I20" s="243"/>
      <c r="J20" s="244"/>
    </row>
    <row r="21" spans="4:10" ht="18" customHeight="1">
      <c r="D21" s="241"/>
      <c r="E21" s="243"/>
      <c r="F21" s="243"/>
      <c r="G21" s="243"/>
      <c r="H21" s="243"/>
      <c r="I21" s="243"/>
      <c r="J21" s="244"/>
    </row>
    <row r="22" spans="4:10" ht="18" customHeight="1">
      <c r="D22" s="260"/>
      <c r="E22" s="243"/>
      <c r="F22" s="243"/>
      <c r="G22" s="243"/>
      <c r="H22" s="243"/>
      <c r="I22" s="243"/>
      <c r="J22" s="244"/>
    </row>
    <row r="23" spans="4:10" ht="18" customHeight="1">
      <c r="D23" s="260"/>
      <c r="E23" s="243"/>
      <c r="F23" s="243"/>
      <c r="G23" s="243"/>
      <c r="H23" s="243"/>
      <c r="I23" s="243"/>
      <c r="J23" s="244"/>
    </row>
    <row r="24" spans="4:10" ht="18" customHeight="1">
      <c r="D24" s="260"/>
      <c r="E24" s="243"/>
      <c r="F24" s="243"/>
      <c r="G24" s="243"/>
      <c r="H24" s="243"/>
      <c r="I24" s="243"/>
      <c r="J24" s="244"/>
    </row>
    <row r="25" spans="4:10" ht="18" customHeight="1">
      <c r="D25" s="260"/>
      <c r="E25" s="243"/>
      <c r="F25" s="243"/>
      <c r="G25" s="243"/>
      <c r="H25" s="243"/>
      <c r="I25" s="243"/>
      <c r="J25" s="244"/>
    </row>
    <row r="26" spans="4:10" ht="18" customHeight="1">
      <c r="D26" s="260"/>
      <c r="E26" s="243"/>
      <c r="F26" s="243"/>
      <c r="G26" s="243"/>
      <c r="H26" s="243"/>
      <c r="I26" s="243"/>
      <c r="J26" s="244"/>
    </row>
    <row r="27" spans="4:10" ht="18" customHeight="1">
      <c r="D27" s="260"/>
      <c r="E27" s="243"/>
      <c r="F27" s="243"/>
      <c r="G27" s="243"/>
      <c r="H27" s="243"/>
      <c r="I27" s="243"/>
      <c r="J27" s="244"/>
    </row>
    <row r="28" spans="4:10" ht="18" customHeight="1">
      <c r="D28" s="260"/>
      <c r="E28" s="243"/>
      <c r="F28" s="243"/>
      <c r="G28" s="243"/>
      <c r="H28" s="243"/>
      <c r="I28" s="243"/>
      <c r="J28" s="244"/>
    </row>
    <row r="29" spans="4:10" ht="18" customHeight="1">
      <c r="D29" s="260"/>
      <c r="E29" s="243"/>
      <c r="F29" s="243"/>
      <c r="G29" s="243"/>
      <c r="H29" s="243"/>
      <c r="I29" s="243"/>
      <c r="J29" s="244"/>
    </row>
    <row r="30" spans="4:10" ht="18" customHeight="1">
      <c r="D30" s="260"/>
      <c r="E30" s="243"/>
      <c r="F30" s="243"/>
      <c r="G30" s="243"/>
      <c r="H30" s="243"/>
      <c r="I30" s="243"/>
      <c r="J30" s="244"/>
    </row>
    <row r="31" spans="4:10" ht="18" customHeight="1">
      <c r="D31" s="260"/>
      <c r="E31" s="243"/>
      <c r="F31" s="243"/>
      <c r="G31" s="243"/>
      <c r="H31" s="243"/>
      <c r="I31" s="243"/>
      <c r="J31" s="244"/>
    </row>
    <row r="32" spans="4:10" ht="18" customHeight="1">
      <c r="D32" s="260"/>
      <c r="E32" s="243"/>
      <c r="F32" s="243"/>
      <c r="G32" s="243"/>
      <c r="H32" s="243"/>
      <c r="I32" s="243"/>
      <c r="J32" s="244"/>
    </row>
    <row r="33" spans="4:10" ht="18" customHeight="1">
      <c r="D33" s="260"/>
      <c r="E33" s="243"/>
      <c r="F33" s="243"/>
      <c r="G33" s="243"/>
      <c r="H33" s="243"/>
      <c r="I33" s="243"/>
      <c r="J33" s="244"/>
    </row>
    <row r="34" spans="4:10" ht="18" customHeight="1">
      <c r="D34" s="260"/>
      <c r="E34" s="243"/>
      <c r="F34" s="243"/>
      <c r="G34" s="243"/>
      <c r="H34" s="243"/>
      <c r="I34" s="243"/>
      <c r="J34" s="244"/>
    </row>
    <row r="35" spans="4:10" ht="18" customHeight="1">
      <c r="D35" s="260"/>
      <c r="E35" s="243"/>
      <c r="F35" s="243"/>
      <c r="G35" s="243"/>
      <c r="H35" s="243"/>
      <c r="I35" s="243"/>
      <c r="J35" s="244"/>
    </row>
    <row r="36" spans="4:10" ht="18" customHeight="1">
      <c r="D36" s="260"/>
      <c r="E36" s="243"/>
      <c r="F36" s="243"/>
      <c r="G36" s="243"/>
      <c r="H36" s="243"/>
      <c r="I36" s="243"/>
      <c r="J36" s="244"/>
    </row>
    <row r="37" spans="4:10" ht="18" customHeight="1">
      <c r="D37" s="260"/>
      <c r="E37" s="243"/>
      <c r="F37" s="243"/>
      <c r="G37" s="243"/>
      <c r="H37" s="243"/>
      <c r="I37" s="243"/>
      <c r="J37" s="244"/>
    </row>
    <row r="38" spans="4:10" ht="18" customHeight="1">
      <c r="D38" s="260"/>
      <c r="E38" s="243"/>
      <c r="F38" s="243"/>
      <c r="G38" s="243"/>
      <c r="H38" s="243"/>
      <c r="I38" s="243"/>
      <c r="J38" s="244"/>
    </row>
    <row r="39" spans="4:10" ht="18" customHeight="1">
      <c r="D39" s="260"/>
      <c r="E39" s="243"/>
      <c r="F39" s="243"/>
      <c r="G39" s="243"/>
      <c r="H39" s="243"/>
      <c r="I39" s="243"/>
      <c r="J39" s="244"/>
    </row>
    <row r="40" spans="4:10" ht="18" customHeight="1">
      <c r="D40" s="260"/>
      <c r="E40" s="243"/>
      <c r="F40" s="243"/>
      <c r="G40" s="243"/>
      <c r="H40" s="243"/>
      <c r="I40" s="243"/>
      <c r="J40" s="244"/>
    </row>
    <row r="41" spans="4:10" ht="18" customHeight="1">
      <c r="D41" s="260"/>
      <c r="E41" s="243"/>
      <c r="F41" s="243"/>
      <c r="G41" s="243"/>
      <c r="H41" s="243"/>
      <c r="I41" s="243"/>
      <c r="J41" s="244"/>
    </row>
    <row r="42" spans="4:10" ht="18" customHeight="1">
      <c r="D42" s="260"/>
      <c r="E42" s="243"/>
      <c r="F42" s="243"/>
      <c r="G42" s="243"/>
      <c r="H42" s="243"/>
      <c r="I42" s="243"/>
      <c r="J42" s="244"/>
    </row>
    <row r="43" spans="4:10" ht="18" customHeight="1">
      <c r="D43" s="260"/>
      <c r="E43" s="243"/>
      <c r="F43" s="243"/>
      <c r="G43" s="243"/>
      <c r="H43" s="243"/>
      <c r="I43" s="243"/>
      <c r="J43" s="244"/>
    </row>
    <row r="44" spans="4:10" ht="18" customHeight="1">
      <c r="D44" s="260"/>
      <c r="E44" s="243"/>
      <c r="F44" s="243"/>
      <c r="G44" s="243"/>
      <c r="H44" s="243"/>
      <c r="I44" s="243"/>
      <c r="J44" s="244"/>
    </row>
    <row r="45" spans="4:10" ht="18" customHeight="1" thickBot="1">
      <c r="D45" s="261"/>
      <c r="E45" s="246"/>
      <c r="F45" s="246"/>
      <c r="G45" s="246"/>
      <c r="H45" s="246"/>
      <c r="I45" s="246"/>
      <c r="J45" s="247"/>
    </row>
  </sheetData>
  <phoneticPr fontId="18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223055"/>
  </sheetPr>
  <dimension ref="D4:J31"/>
  <sheetViews>
    <sheetView zoomScaleNormal="100" workbookViewId="0">
      <pane xSplit="5" ySplit="5" topLeftCell="F6" activePane="bottomRight" state="frozen"/>
      <selection sqref="A1:XFD1048576"/>
      <selection pane="topRight" sqref="A1:XFD1048576"/>
      <selection pane="bottomLeft" sqref="A1:XFD1048576"/>
      <selection pane="bottomRight" activeCell="I25" sqref="I25"/>
    </sheetView>
  </sheetViews>
  <sheetFormatPr defaultColWidth="8.75" defaultRowHeight="12"/>
  <cols>
    <col min="1" max="3" width="2.375" style="28" customWidth="1"/>
    <col min="4" max="5" width="28.375" style="28" customWidth="1"/>
    <col min="6" max="16" width="20.375" style="28" customWidth="1"/>
    <col min="17" max="16384" width="8.75" style="28"/>
  </cols>
  <sheetData>
    <row r="4" spans="4:10" s="206" customFormat="1" ht="18" customHeight="1" thickBot="1">
      <c r="F4" s="206" t="b">
        <f>SUM(F6:F18)=0</f>
        <v>1</v>
      </c>
      <c r="G4" s="206" t="b">
        <f>SUM(G6:G18)=0</f>
        <v>1</v>
      </c>
      <c r="H4" s="206" t="b">
        <f>SUM(H6:H18)=0</f>
        <v>1</v>
      </c>
      <c r="I4" s="206" t="b">
        <f>SUM(I6:I18)=0</f>
        <v>1</v>
      </c>
      <c r="J4" s="206" t="b">
        <f>SUM(J6:J18)=0</f>
        <v>1</v>
      </c>
    </row>
    <row r="5" spans="4:10" ht="18" customHeight="1">
      <c r="D5" s="238" t="s">
        <v>16</v>
      </c>
      <c r="E5" s="239" t="s">
        <v>19</v>
      </c>
      <c r="F5" s="239" t="s">
        <v>395</v>
      </c>
      <c r="G5" s="239" t="s">
        <v>396</v>
      </c>
      <c r="H5" s="239" t="s">
        <v>397</v>
      </c>
      <c r="I5" s="239" t="s">
        <v>398</v>
      </c>
      <c r="J5" s="240" t="s">
        <v>399</v>
      </c>
    </row>
    <row r="6" spans="4:10" ht="18" customHeight="1">
      <c r="D6" s="241" t="s">
        <v>374</v>
      </c>
      <c r="E6" s="242" t="s">
        <v>375</v>
      </c>
      <c r="F6" s="243">
        <v>-1000000000</v>
      </c>
      <c r="G6" s="243"/>
      <c r="H6" s="243"/>
      <c r="I6" s="243"/>
      <c r="J6" s="244"/>
    </row>
    <row r="7" spans="4:10" ht="18" customHeight="1">
      <c r="D7" s="241" t="s">
        <v>1364</v>
      </c>
      <c r="E7" s="242" t="s">
        <v>208</v>
      </c>
      <c r="F7" s="243">
        <f>-F6</f>
        <v>1000000000</v>
      </c>
      <c r="G7" s="243"/>
      <c r="H7" s="243"/>
      <c r="I7" s="243"/>
      <c r="J7" s="244"/>
    </row>
    <row r="8" spans="4:10" ht="18" customHeight="1">
      <c r="D8" s="241" t="s">
        <v>1365</v>
      </c>
      <c r="E8" s="243" t="s">
        <v>210</v>
      </c>
      <c r="F8" s="243">
        <f>F6</f>
        <v>-1000000000</v>
      </c>
      <c r="G8" s="243"/>
      <c r="H8" s="243"/>
      <c r="I8" s="243"/>
      <c r="J8" s="244"/>
    </row>
    <row r="9" spans="4:10" ht="18" customHeight="1" thickBot="1">
      <c r="D9" s="245" t="s">
        <v>480</v>
      </c>
      <c r="E9" s="246" t="s">
        <v>558</v>
      </c>
      <c r="F9" s="246">
        <f>-F8</f>
        <v>1000000000</v>
      </c>
      <c r="G9" s="246"/>
      <c r="H9" s="246"/>
      <c r="I9" s="246"/>
      <c r="J9" s="247"/>
    </row>
    <row r="10" spans="4:10" ht="18" customHeight="1">
      <c r="D10" s="248"/>
      <c r="E10" s="249"/>
      <c r="F10" s="249"/>
      <c r="G10" s="249"/>
      <c r="H10" s="249"/>
      <c r="I10" s="249"/>
      <c r="J10" s="249"/>
    </row>
    <row r="11" spans="4:10" ht="18" customHeight="1">
      <c r="D11" s="250"/>
      <c r="E11" s="243"/>
      <c r="F11" s="243"/>
      <c r="G11" s="243"/>
      <c r="H11" s="243"/>
      <c r="I11" s="243"/>
      <c r="J11" s="243"/>
    </row>
    <row r="12" spans="4:10" ht="18" customHeight="1">
      <c r="D12" s="243"/>
      <c r="E12" s="243"/>
      <c r="F12" s="243"/>
      <c r="G12" s="243"/>
      <c r="H12" s="243"/>
      <c r="I12" s="243"/>
      <c r="J12" s="243"/>
    </row>
    <row r="13" spans="4:10" ht="18" customHeight="1">
      <c r="D13" s="243"/>
      <c r="E13" s="243"/>
      <c r="F13" s="243"/>
      <c r="G13" s="243"/>
      <c r="H13" s="243"/>
      <c r="I13" s="243"/>
      <c r="J13" s="243"/>
    </row>
    <row r="14" spans="4:10" ht="18" customHeight="1">
      <c r="D14" s="243"/>
      <c r="E14" s="243"/>
      <c r="F14" s="243"/>
      <c r="G14" s="243"/>
      <c r="H14" s="243"/>
      <c r="I14" s="243"/>
      <c r="J14" s="243"/>
    </row>
    <row r="15" spans="4:10" ht="18" customHeight="1">
      <c r="D15" s="243"/>
      <c r="E15" s="243"/>
      <c r="F15" s="243"/>
      <c r="G15" s="243"/>
      <c r="H15" s="243"/>
      <c r="I15" s="243"/>
      <c r="J15" s="243"/>
    </row>
    <row r="16" spans="4:10" ht="18" customHeight="1">
      <c r="D16" s="243"/>
      <c r="E16" s="243"/>
      <c r="F16" s="243"/>
      <c r="G16" s="243"/>
      <c r="H16" s="243"/>
      <c r="I16" s="243"/>
      <c r="J16" s="243"/>
    </row>
    <row r="17" spans="4:10" ht="18" customHeight="1">
      <c r="D17" s="243"/>
      <c r="E17" s="243"/>
      <c r="F17" s="243"/>
      <c r="G17" s="243"/>
      <c r="H17" s="243"/>
      <c r="I17" s="243"/>
      <c r="J17" s="243"/>
    </row>
    <row r="18" spans="4:10" ht="18" customHeight="1">
      <c r="D18" s="243"/>
      <c r="E18" s="243"/>
      <c r="F18" s="243"/>
      <c r="G18" s="243"/>
      <c r="H18" s="243"/>
      <c r="I18" s="243"/>
      <c r="J18" s="243"/>
    </row>
    <row r="19" spans="4:10" ht="18" customHeight="1">
      <c r="D19" s="243"/>
      <c r="E19" s="243"/>
      <c r="F19" s="243"/>
      <c r="G19" s="243"/>
      <c r="H19" s="243"/>
      <c r="I19" s="243"/>
      <c r="J19" s="243"/>
    </row>
    <row r="20" spans="4:10" ht="18" customHeight="1">
      <c r="D20" s="243"/>
      <c r="E20" s="243"/>
      <c r="F20" s="243"/>
      <c r="G20" s="243"/>
      <c r="H20" s="243"/>
      <c r="I20" s="243"/>
      <c r="J20" s="243"/>
    </row>
    <row r="21" spans="4:10" ht="18" customHeight="1">
      <c r="D21" s="243"/>
      <c r="E21" s="243"/>
      <c r="F21" s="243"/>
      <c r="G21" s="243"/>
      <c r="H21" s="243"/>
      <c r="I21" s="243"/>
      <c r="J21" s="243"/>
    </row>
    <row r="22" spans="4:10" ht="18" customHeight="1">
      <c r="D22" s="243"/>
      <c r="E22" s="243"/>
      <c r="F22" s="243"/>
      <c r="G22" s="243"/>
      <c r="H22" s="243"/>
      <c r="I22" s="243"/>
      <c r="J22" s="243"/>
    </row>
    <row r="23" spans="4:10" ht="18" customHeight="1">
      <c r="D23" s="243"/>
      <c r="E23" s="243"/>
      <c r="F23" s="243"/>
      <c r="G23" s="243"/>
      <c r="H23" s="243"/>
      <c r="I23" s="243"/>
      <c r="J23" s="243"/>
    </row>
    <row r="24" spans="4:10" ht="18" customHeight="1">
      <c r="D24" s="243"/>
      <c r="E24" s="243"/>
      <c r="F24" s="243"/>
      <c r="G24" s="243"/>
      <c r="H24" s="243"/>
      <c r="I24" s="243"/>
      <c r="J24" s="243"/>
    </row>
    <row r="25" spans="4:10" ht="18" customHeight="1">
      <c r="D25" s="243"/>
      <c r="E25" s="243"/>
      <c r="F25" s="243"/>
      <c r="G25" s="243"/>
      <c r="H25" s="243"/>
      <c r="I25" s="243"/>
      <c r="J25" s="243"/>
    </row>
    <row r="26" spans="4:10" ht="18" customHeight="1">
      <c r="D26" s="243"/>
      <c r="E26" s="243"/>
      <c r="F26" s="243"/>
      <c r="G26" s="243"/>
      <c r="H26" s="243"/>
      <c r="I26" s="243"/>
      <c r="J26" s="243"/>
    </row>
    <row r="27" spans="4:10" ht="18" customHeight="1">
      <c r="D27" s="243"/>
      <c r="E27" s="243"/>
      <c r="F27" s="243"/>
      <c r="G27" s="243"/>
      <c r="H27" s="243"/>
      <c r="I27" s="243"/>
      <c r="J27" s="243"/>
    </row>
    <row r="28" spans="4:10" ht="18" customHeight="1">
      <c r="D28" s="243"/>
      <c r="E28" s="243"/>
      <c r="F28" s="243"/>
      <c r="G28" s="243"/>
      <c r="H28" s="243"/>
      <c r="I28" s="243"/>
      <c r="J28" s="243"/>
    </row>
    <row r="29" spans="4:10" ht="18" customHeight="1">
      <c r="D29" s="243"/>
      <c r="E29" s="243"/>
      <c r="F29" s="243"/>
      <c r="G29" s="243"/>
      <c r="H29" s="243"/>
      <c r="I29" s="243"/>
      <c r="J29" s="243"/>
    </row>
    <row r="30" spans="4:10" ht="18" customHeight="1">
      <c r="D30" s="243"/>
      <c r="E30" s="243"/>
      <c r="F30" s="243"/>
      <c r="G30" s="243"/>
      <c r="H30" s="243"/>
      <c r="I30" s="243"/>
      <c r="J30" s="243"/>
    </row>
    <row r="31" spans="4:10" ht="18" customHeight="1">
      <c r="D31" s="243"/>
      <c r="E31" s="243"/>
      <c r="F31" s="243"/>
      <c r="G31" s="243"/>
      <c r="H31" s="243"/>
      <c r="I31" s="243"/>
      <c r="J31" s="243"/>
    </row>
  </sheetData>
  <phoneticPr fontId="18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223055"/>
  </sheetPr>
  <dimension ref="D3:G16"/>
  <sheetViews>
    <sheetView zoomScaleNormal="100" workbookViewId="0">
      <selection sqref="A1:XFD1048576"/>
    </sheetView>
  </sheetViews>
  <sheetFormatPr defaultColWidth="8.75" defaultRowHeight="18" customHeight="1"/>
  <cols>
    <col min="1" max="3" width="2.375" style="30" customWidth="1"/>
    <col min="4" max="22" width="20.375" style="30" customWidth="1"/>
    <col min="23" max="16384" width="8.75" style="30"/>
  </cols>
  <sheetData>
    <row r="3" spans="4:7" s="29" customFormat="1" ht="18" customHeight="1">
      <c r="D3" s="29" t="s">
        <v>557</v>
      </c>
    </row>
    <row r="4" spans="4:7" s="29" customFormat="1" ht="18" customHeight="1" thickBot="1">
      <c r="D4" s="29" t="s">
        <v>544</v>
      </c>
    </row>
    <row r="5" spans="4:7" ht="18" customHeight="1">
      <c r="D5" s="226" t="s">
        <v>545</v>
      </c>
      <c r="E5" s="227" t="s">
        <v>416</v>
      </c>
      <c r="F5" s="227" t="s">
        <v>546</v>
      </c>
      <c r="G5" s="228">
        <v>43100</v>
      </c>
    </row>
    <row r="6" spans="4:7" s="233" customFormat="1" ht="18" customHeight="1">
      <c r="D6" s="229"/>
      <c r="E6" s="230" t="s">
        <v>547</v>
      </c>
      <c r="F6" s="231" t="s">
        <v>548</v>
      </c>
      <c r="G6" s="232"/>
    </row>
    <row r="7" spans="4:7" s="233" customFormat="1" ht="18" customHeight="1">
      <c r="D7" s="229"/>
      <c r="E7" s="230" t="s">
        <v>547</v>
      </c>
      <c r="F7" s="231" t="s">
        <v>549</v>
      </c>
      <c r="G7" s="232"/>
    </row>
    <row r="8" spans="4:7" s="233" customFormat="1" ht="18" customHeight="1">
      <c r="D8" s="229"/>
      <c r="E8" s="230" t="s">
        <v>547</v>
      </c>
      <c r="F8" s="231" t="s">
        <v>9</v>
      </c>
      <c r="G8" s="232"/>
    </row>
    <row r="9" spans="4:7" s="233" customFormat="1" ht="18" customHeight="1">
      <c r="D9" s="229"/>
      <c r="E9" s="230" t="s">
        <v>547</v>
      </c>
      <c r="F9" s="231" t="s">
        <v>550</v>
      </c>
      <c r="G9" s="232"/>
    </row>
    <row r="10" spans="4:7" s="233" customFormat="1" ht="18" customHeight="1">
      <c r="D10" s="229"/>
      <c r="E10" s="230" t="s">
        <v>547</v>
      </c>
      <c r="F10" s="231" t="s">
        <v>551</v>
      </c>
      <c r="G10" s="232"/>
    </row>
    <row r="11" spans="4:7" s="233" customFormat="1" ht="18" customHeight="1">
      <c r="D11" s="229"/>
      <c r="E11" s="230" t="s">
        <v>552</v>
      </c>
      <c r="F11" s="231" t="s">
        <v>229</v>
      </c>
      <c r="G11" s="232"/>
    </row>
    <row r="12" spans="4:7" s="233" customFormat="1" ht="18" customHeight="1">
      <c r="D12" s="229"/>
      <c r="E12" s="230" t="s">
        <v>552</v>
      </c>
      <c r="F12" s="231" t="s">
        <v>553</v>
      </c>
      <c r="G12" s="232"/>
    </row>
    <row r="13" spans="4:7" s="233" customFormat="1" ht="18" customHeight="1">
      <c r="D13" s="229"/>
      <c r="E13" s="230" t="s">
        <v>552</v>
      </c>
      <c r="F13" s="231" t="s">
        <v>383</v>
      </c>
      <c r="G13" s="232"/>
    </row>
    <row r="14" spans="4:7" s="233" customFormat="1" ht="18" customHeight="1">
      <c r="D14" s="229"/>
      <c r="E14" s="230" t="s">
        <v>552</v>
      </c>
      <c r="F14" s="231" t="s">
        <v>554</v>
      </c>
      <c r="G14" s="232"/>
    </row>
    <row r="15" spans="4:7" s="233" customFormat="1" ht="18" customHeight="1">
      <c r="D15" s="229"/>
      <c r="E15" s="230" t="s">
        <v>552</v>
      </c>
      <c r="F15" s="231" t="s">
        <v>555</v>
      </c>
      <c r="G15" s="232"/>
    </row>
    <row r="16" spans="4:7" s="233" customFormat="1" ht="18" customHeight="1" thickBot="1">
      <c r="D16" s="234"/>
      <c r="E16" s="235" t="s">
        <v>542</v>
      </c>
      <c r="F16" s="236" t="s">
        <v>556</v>
      </c>
      <c r="G16" s="237"/>
    </row>
  </sheetData>
  <phoneticPr fontId="18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223055"/>
  </sheetPr>
  <dimension ref="C2:M29"/>
  <sheetViews>
    <sheetView showGridLines="0" zoomScaleNormal="100" workbookViewId="0">
      <selection activeCell="F13" sqref="F13"/>
    </sheetView>
  </sheetViews>
  <sheetFormatPr defaultColWidth="8.75" defaultRowHeight="18" customHeight="1"/>
  <cols>
    <col min="1" max="3" width="2.375" style="28" customWidth="1"/>
    <col min="4" max="4" width="20.375" style="212" customWidth="1"/>
    <col min="5" max="11" width="20.375" style="28" customWidth="1"/>
    <col min="12" max="12" width="2.375" style="28" customWidth="1"/>
    <col min="13" max="20" width="20.375" style="28" customWidth="1"/>
    <col min="21" max="16384" width="8.75" style="28"/>
  </cols>
  <sheetData>
    <row r="2" spans="3:13" ht="18" customHeight="1">
      <c r="H2" s="36">
        <f>G2-F2</f>
        <v>0</v>
      </c>
    </row>
    <row r="3" spans="3:13" ht="18" customHeight="1" thickBot="1"/>
    <row r="4" spans="3:13" ht="18" customHeight="1">
      <c r="D4" s="32" t="s">
        <v>16</v>
      </c>
      <c r="E4" s="33" t="s">
        <v>19</v>
      </c>
      <c r="F4" s="33" t="s">
        <v>497</v>
      </c>
      <c r="G4" s="33" t="s">
        <v>498</v>
      </c>
      <c r="H4" s="33" t="s">
        <v>499</v>
      </c>
      <c r="I4" s="33" t="s">
        <v>479</v>
      </c>
      <c r="J4" s="33" t="s">
        <v>500</v>
      </c>
      <c r="K4" s="34" t="s">
        <v>501</v>
      </c>
      <c r="M4" s="213"/>
    </row>
    <row r="5" spans="3:13" ht="18" customHeight="1">
      <c r="D5" s="214">
        <v>900019</v>
      </c>
      <c r="E5" s="36" t="s">
        <v>81</v>
      </c>
      <c r="F5" s="36">
        <v>7971283612</v>
      </c>
      <c r="G5" s="36">
        <f>SUM(J5:K5)</f>
        <v>0</v>
      </c>
      <c r="H5" s="36">
        <f t="shared" ref="H5:H21" si="0">G5-F5</f>
        <v>-7971283612</v>
      </c>
      <c r="I5" s="36"/>
      <c r="J5" s="36">
        <v>0</v>
      </c>
      <c r="K5" s="38">
        <v>0</v>
      </c>
      <c r="M5" s="215">
        <f>SUMIF(T_BS!$D:$D,'8.0'!D5,T_BS!AA:AA)</f>
        <v>0</v>
      </c>
    </row>
    <row r="6" spans="3:13" ht="18" customHeight="1">
      <c r="D6" s="214">
        <v>310100</v>
      </c>
      <c r="E6" s="36" t="s">
        <v>191</v>
      </c>
      <c r="F6" s="36">
        <v>-65954671000</v>
      </c>
      <c r="G6" s="36">
        <f t="shared" ref="G6:G22" si="1">SUM(J6:K6)</f>
        <v>-28429923500</v>
      </c>
      <c r="H6" s="36">
        <f t="shared" si="0"/>
        <v>37524747500</v>
      </c>
      <c r="I6" s="36"/>
      <c r="J6" s="36">
        <f>-T_BS!H206</f>
        <v>-28429923500</v>
      </c>
      <c r="K6" s="38"/>
      <c r="M6" s="215">
        <f>-SUMIF(T_BS!$D:$D,'8.0'!D6,T_BS!AA:AA)</f>
        <v>-28429923500</v>
      </c>
    </row>
    <row r="7" spans="3:13" ht="18" customHeight="1">
      <c r="D7" s="214">
        <v>320100</v>
      </c>
      <c r="E7" s="36" t="s">
        <v>192</v>
      </c>
      <c r="F7" s="36">
        <v>-177997002186</v>
      </c>
      <c r="G7" s="36">
        <f t="shared" si="1"/>
        <v>-177997002186</v>
      </c>
      <c r="H7" s="36">
        <f t="shared" si="0"/>
        <v>0</v>
      </c>
      <c r="I7" s="36"/>
      <c r="J7" s="36">
        <f>-T_BS!H208</f>
        <v>-177997002186</v>
      </c>
      <c r="K7" s="38"/>
      <c r="M7" s="215">
        <f>-SUMIF(T_BS!$D:$D,'8.0'!D7,T_BS!AA:AA)</f>
        <v>-177997002186</v>
      </c>
    </row>
    <row r="8" spans="3:13" ht="18" customHeight="1">
      <c r="D8" s="214">
        <v>320500</v>
      </c>
      <c r="E8" s="36" t="s">
        <v>193</v>
      </c>
      <c r="F8" s="36">
        <v>0</v>
      </c>
      <c r="G8" s="36">
        <f t="shared" si="1"/>
        <v>0</v>
      </c>
      <c r="H8" s="36">
        <f t="shared" si="0"/>
        <v>0</v>
      </c>
      <c r="I8" s="36"/>
      <c r="J8" s="36">
        <f>-T_BS!H209</f>
        <v>0</v>
      </c>
      <c r="K8" s="38"/>
      <c r="M8" s="215">
        <f>-SUMIF(T_BS!$D:$D,'8.0'!D8,T_BS!AA:AA)</f>
        <v>0</v>
      </c>
    </row>
    <row r="9" spans="3:13" ht="18" customHeight="1">
      <c r="D9" s="214">
        <v>320300</v>
      </c>
      <c r="E9" s="36" t="s">
        <v>194</v>
      </c>
      <c r="F9" s="36">
        <v>-562575670</v>
      </c>
      <c r="G9" s="36">
        <f t="shared" si="1"/>
        <v>-562575670</v>
      </c>
      <c r="H9" s="36">
        <f t="shared" si="0"/>
        <v>0</v>
      </c>
      <c r="I9" s="36"/>
      <c r="J9" s="36">
        <v>-562575670</v>
      </c>
      <c r="K9" s="38"/>
      <c r="M9" s="215">
        <f>-SUMIF(T_BS!$D:$D,'8.0'!D9,T_BS!AA:AA)</f>
        <v>-562575670</v>
      </c>
    </row>
    <row r="10" spans="3:13" ht="18" customHeight="1">
      <c r="D10" s="214">
        <v>350300</v>
      </c>
      <c r="E10" s="36" t="s">
        <v>196</v>
      </c>
      <c r="F10" s="36">
        <v>4240000</v>
      </c>
      <c r="G10" s="36">
        <f t="shared" si="1"/>
        <v>4240000</v>
      </c>
      <c r="H10" s="36">
        <f t="shared" si="0"/>
        <v>0</v>
      </c>
      <c r="I10" s="36"/>
      <c r="J10" s="36">
        <f>-T_BS!H212</f>
        <v>4240000</v>
      </c>
      <c r="K10" s="38"/>
      <c r="M10" s="215">
        <f>-SUMIF(T_BS!$D:$D,'8.0'!D10,T_BS!AA:AA)</f>
        <v>4240000</v>
      </c>
    </row>
    <row r="11" spans="3:13" ht="18" customHeight="1">
      <c r="D11" s="214">
        <v>350350</v>
      </c>
      <c r="E11" s="36" t="s">
        <v>197</v>
      </c>
      <c r="F11" s="36">
        <v>1292039719</v>
      </c>
      <c r="G11" s="36">
        <f t="shared" si="1"/>
        <v>1292039719</v>
      </c>
      <c r="H11" s="36">
        <f t="shared" si="0"/>
        <v>0</v>
      </c>
      <c r="I11" s="36"/>
      <c r="J11" s="36">
        <f>-T_BS!H213</f>
        <v>1292039719</v>
      </c>
      <c r="K11" s="38"/>
      <c r="M11" s="215">
        <f>-SUMIF(T_BS!$D:$D,'8.0'!D11,T_BS!AA:AA)</f>
        <v>1292039719</v>
      </c>
    </row>
    <row r="12" spans="3:13" ht="18" customHeight="1">
      <c r="D12" s="214" t="s">
        <v>1357</v>
      </c>
      <c r="E12" s="36" t="s">
        <v>226</v>
      </c>
      <c r="F12" s="36">
        <v>0</v>
      </c>
      <c r="G12" s="36">
        <f t="shared" si="1"/>
        <v>0</v>
      </c>
      <c r="H12" s="36">
        <f t="shared" si="0"/>
        <v>0</v>
      </c>
      <c r="I12" s="36"/>
      <c r="J12" s="36">
        <f>-T_BS!H214</f>
        <v>0</v>
      </c>
      <c r="K12" s="38"/>
      <c r="M12" s="215">
        <f>-SUMIF(T_BS!$D:$D,'8.0'!D12,T_BS!AA:AA)</f>
        <v>0</v>
      </c>
    </row>
    <row r="13" spans="3:13" ht="18" customHeight="1">
      <c r="D13" s="214">
        <v>350400</v>
      </c>
      <c r="E13" s="36" t="s">
        <v>198</v>
      </c>
      <c r="F13" s="36">
        <v>-674683389</v>
      </c>
      <c r="G13" s="36">
        <f t="shared" si="1"/>
        <v>-674683389</v>
      </c>
      <c r="H13" s="36">
        <f t="shared" si="0"/>
        <v>0</v>
      </c>
      <c r="I13" s="36"/>
      <c r="J13" s="36">
        <f>-T_BS!H215</f>
        <v>-674683389</v>
      </c>
      <c r="K13" s="38"/>
      <c r="M13" s="215">
        <f>-SUMIF(T_BS!$D:$D,'8.0'!D13,T_BS!AA:AA)</f>
        <v>-674683389</v>
      </c>
    </row>
    <row r="14" spans="3:13" ht="18" customHeight="1">
      <c r="C14" s="206" t="s">
        <v>561</v>
      </c>
      <c r="D14" s="214">
        <v>350210</v>
      </c>
      <c r="E14" s="36" t="s">
        <v>199</v>
      </c>
      <c r="F14" s="36">
        <v>8498363093</v>
      </c>
      <c r="G14" s="36">
        <f t="shared" si="1"/>
        <v>2731869088</v>
      </c>
      <c r="H14" s="36">
        <f t="shared" si="0"/>
        <v>-5766494005</v>
      </c>
      <c r="I14" s="36"/>
      <c r="J14" s="36">
        <f>-E28</f>
        <v>2731869088</v>
      </c>
      <c r="K14" s="38"/>
      <c r="M14" s="215">
        <f>-SUMIF(T_BS!$D:$D,'8.0'!D14,T_BS!AA:AA)</f>
        <v>2731869088</v>
      </c>
    </row>
    <row r="15" spans="3:13" ht="18" customHeight="1">
      <c r="D15" s="214" t="s">
        <v>1360</v>
      </c>
      <c r="E15" s="36" t="s">
        <v>201</v>
      </c>
      <c r="F15" s="36">
        <v>0</v>
      </c>
      <c r="G15" s="36">
        <f t="shared" si="1"/>
        <v>0</v>
      </c>
      <c r="H15" s="36">
        <f t="shared" si="0"/>
        <v>0</v>
      </c>
      <c r="I15" s="36"/>
      <c r="J15" s="36">
        <v>0</v>
      </c>
      <c r="K15" s="38"/>
      <c r="M15" s="215">
        <f>-SUMIF(T_BS!$D:$D,'8.0'!D15,T_BS!AA:AA)</f>
        <v>0</v>
      </c>
    </row>
    <row r="16" spans="3:13" ht="18" customHeight="1">
      <c r="D16" s="214" t="s">
        <v>1361</v>
      </c>
      <c r="E16" s="36" t="s">
        <v>203</v>
      </c>
      <c r="F16" s="36">
        <v>0</v>
      </c>
      <c r="G16" s="36">
        <f t="shared" si="1"/>
        <v>0</v>
      </c>
      <c r="H16" s="36">
        <f t="shared" si="0"/>
        <v>0</v>
      </c>
      <c r="I16" s="36"/>
      <c r="J16" s="36">
        <v>0</v>
      </c>
      <c r="K16" s="38"/>
      <c r="M16" s="215">
        <f>-SUMIF(T_BS!$D:$D,'8.0'!D16,T_BS!AA:AA)</f>
        <v>0</v>
      </c>
    </row>
    <row r="17" spans="3:13" ht="18" customHeight="1">
      <c r="D17" s="214" t="s">
        <v>1362</v>
      </c>
      <c r="E17" s="36" t="s">
        <v>1358</v>
      </c>
      <c r="F17" s="36">
        <v>-1781663115</v>
      </c>
      <c r="G17" s="36">
        <f t="shared" si="1"/>
        <v>-1918747164</v>
      </c>
      <c r="H17" s="36">
        <f>G17-F17-133216504</f>
        <v>-270300553</v>
      </c>
      <c r="I17" s="36"/>
      <c r="J17" s="36">
        <v>-1251351411</v>
      </c>
      <c r="K17" s="38">
        <f>-OCI!Q12</f>
        <v>-667395753</v>
      </c>
      <c r="M17" s="215">
        <f>-SUMIF(T_BS!$D:$D,'8.0'!D17,T_BS!AA:AA)</f>
        <v>-2051963668</v>
      </c>
    </row>
    <row r="18" spans="3:13" ht="18" customHeight="1">
      <c r="D18" s="214" t="s">
        <v>1363</v>
      </c>
      <c r="E18" s="36" t="s">
        <v>1359</v>
      </c>
      <c r="F18" s="36">
        <v>0</v>
      </c>
      <c r="G18" s="36"/>
      <c r="H18" s="36">
        <f t="shared" si="0"/>
        <v>0</v>
      </c>
      <c r="I18" s="36"/>
      <c r="J18" s="36"/>
      <c r="K18" s="38"/>
      <c r="M18" s="215">
        <f>-SUMIF(T_BS!$D:$D,'8.0'!D18,T_BS!AA:AA)</f>
        <v>0</v>
      </c>
    </row>
    <row r="19" spans="3:13" ht="18" customHeight="1">
      <c r="D19" s="214">
        <v>350951</v>
      </c>
      <c r="E19" s="36" t="s">
        <v>206</v>
      </c>
      <c r="F19" s="36">
        <v>240559000</v>
      </c>
      <c r="G19" s="36">
        <f t="shared" si="1"/>
        <v>240559000</v>
      </c>
      <c r="H19" s="36">
        <f t="shared" si="0"/>
        <v>0</v>
      </c>
      <c r="I19" s="36"/>
      <c r="J19" s="36">
        <v>-525952518</v>
      </c>
      <c r="K19" s="38">
        <f>-OCI!W12</f>
        <v>766511518</v>
      </c>
      <c r="M19" s="215">
        <f>-SUMIF(T_BS!$D:$D,'8.0'!D19,T_BS!AA:AA)</f>
        <v>240559000</v>
      </c>
    </row>
    <row r="20" spans="3:13" ht="18" customHeight="1">
      <c r="D20" s="214" t="s">
        <v>1364</v>
      </c>
      <c r="E20" s="36" t="s">
        <v>208</v>
      </c>
      <c r="F20" s="36">
        <v>66305790303</v>
      </c>
      <c r="G20" s="36">
        <v>39524878621</v>
      </c>
      <c r="H20" s="36">
        <f t="shared" si="0"/>
        <v>-26780911682</v>
      </c>
      <c r="I20" s="36"/>
      <c r="J20" s="36">
        <v>-39524878621</v>
      </c>
      <c r="K20" s="38"/>
      <c r="M20" s="215">
        <f>-SUMIF(T_BS!$D:$D,'8.0'!D20,T_BS!AA:AA)</f>
        <v>39524878621</v>
      </c>
    </row>
    <row r="21" spans="3:13" ht="18" customHeight="1">
      <c r="D21" s="214" t="s">
        <v>1365</v>
      </c>
      <c r="E21" s="36" t="s">
        <v>210</v>
      </c>
      <c r="F21" s="36">
        <v>45363282985</v>
      </c>
      <c r="G21" s="36">
        <f t="shared" si="1"/>
        <v>48627525337</v>
      </c>
      <c r="H21" s="36">
        <f t="shared" si="0"/>
        <v>3264242352</v>
      </c>
      <c r="I21" s="36"/>
      <c r="J21" s="36">
        <f>-NCI!F32</f>
        <v>48627525337</v>
      </c>
      <c r="K21" s="38"/>
      <c r="M21" s="215">
        <f>-SUMIF(T_BS!$D:$D,'8.0'!D21,T_BS!AA:AA)</f>
        <v>48005522146</v>
      </c>
    </row>
    <row r="22" spans="3:13" ht="18" customHeight="1" thickBot="1">
      <c r="D22" s="216" t="s">
        <v>212</v>
      </c>
      <c r="E22" s="217" t="s">
        <v>211</v>
      </c>
      <c r="F22" s="217"/>
      <c r="G22" s="217">
        <f t="shared" si="1"/>
        <v>0</v>
      </c>
      <c r="H22" s="36"/>
      <c r="I22" s="217"/>
      <c r="J22" s="217"/>
      <c r="K22" s="218"/>
      <c r="M22" s="215">
        <f>-SUMIF(T_BS!$D:$D,'8.0'!D22,T_BS!AA:AA)</f>
        <v>0</v>
      </c>
    </row>
    <row r="23" spans="3:13" s="206" customFormat="1" ht="18" customHeight="1" thickBot="1">
      <c r="D23" s="219"/>
      <c r="E23" s="220"/>
      <c r="F23" s="220">
        <v>0</v>
      </c>
      <c r="G23" s="220"/>
      <c r="H23" s="220">
        <f>SUM(H5:H22)</f>
        <v>0</v>
      </c>
      <c r="I23" s="220"/>
      <c r="J23" s="220"/>
      <c r="K23" s="221"/>
      <c r="M23" s="222"/>
    </row>
    <row r="25" spans="3:13" s="206" customFormat="1" ht="18" customHeight="1">
      <c r="C25" s="206" t="s">
        <v>561</v>
      </c>
      <c r="D25" s="223" t="s">
        <v>199</v>
      </c>
    </row>
    <row r="26" spans="3:13" s="206" customFormat="1" ht="18" customHeight="1">
      <c r="D26" s="223" t="s">
        <v>462</v>
      </c>
      <c r="E26" s="206">
        <v>-2731869088</v>
      </c>
    </row>
    <row r="27" spans="3:13" s="206" customFormat="1" ht="18" customHeight="1">
      <c r="D27" s="223" t="s">
        <v>1627</v>
      </c>
      <c r="E27" s="206">
        <v>0</v>
      </c>
    </row>
    <row r="28" spans="3:13" s="206" customFormat="1" ht="18" customHeight="1" thickBot="1">
      <c r="D28" s="224" t="s">
        <v>562</v>
      </c>
      <c r="E28" s="225">
        <f>SUM(E26:E27)</f>
        <v>-2731869088</v>
      </c>
    </row>
    <row r="29" spans="3:13" ht="18" customHeight="1" thickTop="1"/>
  </sheetData>
  <phoneticPr fontId="18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223055"/>
  </sheetPr>
  <dimension ref="D4:W18"/>
  <sheetViews>
    <sheetView zoomScaleNormal="100" workbookViewId="0">
      <pane xSplit="6" ySplit="5" topLeftCell="G6" activePane="bottomRight" state="frozen"/>
      <selection sqref="A1:XFD1048576"/>
      <selection pane="topRight" sqref="A1:XFD1048576"/>
      <selection pane="bottomLeft" sqref="A1:XFD1048576"/>
      <selection pane="bottomRight" activeCell="R26" sqref="R26"/>
    </sheetView>
  </sheetViews>
  <sheetFormatPr defaultColWidth="8.75" defaultRowHeight="18" customHeight="1"/>
  <cols>
    <col min="1" max="3" width="2.375" style="28" customWidth="1"/>
    <col min="4" max="11" width="16.375" style="28" customWidth="1"/>
    <col min="12" max="12" width="1.125" style="28" customWidth="1"/>
    <col min="13" max="23" width="14" style="28" customWidth="1"/>
    <col min="24" max="16384" width="8.75" style="28"/>
  </cols>
  <sheetData>
    <row r="4" spans="4:23" ht="18" customHeight="1">
      <c r="D4" s="825" t="s">
        <v>416</v>
      </c>
      <c r="E4" s="825" t="s">
        <v>507</v>
      </c>
      <c r="F4" s="825" t="s">
        <v>508</v>
      </c>
      <c r="G4" s="826" t="s">
        <v>1715</v>
      </c>
      <c r="H4" s="826"/>
      <c r="I4" s="826"/>
      <c r="J4" s="826"/>
      <c r="K4" s="826"/>
      <c r="M4" s="826" t="s">
        <v>527</v>
      </c>
      <c r="N4" s="826"/>
      <c r="O4" s="826"/>
      <c r="P4" s="826"/>
      <c r="Q4" s="826"/>
      <c r="R4" s="826"/>
      <c r="S4" s="826"/>
      <c r="T4" s="826"/>
      <c r="U4" s="826"/>
      <c r="V4" s="826"/>
      <c r="W4" s="826"/>
    </row>
    <row r="5" spans="4:23" s="196" customFormat="1" ht="18" customHeight="1">
      <c r="D5" s="825"/>
      <c r="E5" s="825"/>
      <c r="F5" s="825"/>
      <c r="G5" s="174" t="s">
        <v>1713</v>
      </c>
      <c r="H5" s="174" t="s">
        <v>1711</v>
      </c>
      <c r="I5" s="174" t="s">
        <v>1712</v>
      </c>
      <c r="J5" s="174" t="s">
        <v>1899</v>
      </c>
      <c r="K5" s="174" t="s">
        <v>1910</v>
      </c>
      <c r="M5" s="197" t="s">
        <v>1716</v>
      </c>
      <c r="N5" s="197" t="s">
        <v>1717</v>
      </c>
      <c r="O5" s="197" t="s">
        <v>1718</v>
      </c>
      <c r="P5" s="197" t="s">
        <v>1719</v>
      </c>
      <c r="Q5" s="197" t="s">
        <v>1720</v>
      </c>
      <c r="R5" s="197" t="s">
        <v>530</v>
      </c>
      <c r="S5" s="197" t="s">
        <v>1721</v>
      </c>
      <c r="T5" s="197" t="s">
        <v>1722</v>
      </c>
      <c r="U5" s="197" t="s">
        <v>1723</v>
      </c>
      <c r="V5" s="197" t="s">
        <v>1724</v>
      </c>
      <c r="W5" s="197" t="s">
        <v>1725</v>
      </c>
    </row>
    <row r="6" spans="4:23" ht="18" customHeight="1">
      <c r="D6" s="36" t="s">
        <v>527</v>
      </c>
      <c r="E6" s="36" t="s">
        <v>15</v>
      </c>
      <c r="F6" s="36" t="s">
        <v>218</v>
      </c>
      <c r="G6" s="36">
        <v>3443881577</v>
      </c>
      <c r="H6" s="36">
        <v>0</v>
      </c>
      <c r="I6" s="36">
        <v>0</v>
      </c>
      <c r="J6" s="36">
        <v>-1401634023</v>
      </c>
      <c r="K6" s="36">
        <f>SUM(G6:J6)</f>
        <v>2042247554</v>
      </c>
      <c r="W6" s="28">
        <f>-K6</f>
        <v>-2042247554</v>
      </c>
    </row>
    <row r="7" spans="4:23" ht="18" customHeight="1">
      <c r="D7" s="36" t="s">
        <v>527</v>
      </c>
      <c r="E7" s="36" t="s">
        <v>15</v>
      </c>
      <c r="F7" s="36" t="s">
        <v>214</v>
      </c>
      <c r="G7" s="36">
        <v>0</v>
      </c>
      <c r="H7" s="36">
        <v>0</v>
      </c>
      <c r="I7" s="36">
        <v>0</v>
      </c>
      <c r="J7" s="36">
        <v>0</v>
      </c>
      <c r="K7" s="36">
        <f t="shared" ref="K7:K11" si="0">SUM(G7:J7)</f>
        <v>0</v>
      </c>
      <c r="W7" s="28">
        <f t="shared" ref="W7:W11" si="1">-K7</f>
        <v>0</v>
      </c>
    </row>
    <row r="8" spans="4:23" ht="18" customHeight="1">
      <c r="D8" s="36" t="s">
        <v>527</v>
      </c>
      <c r="E8" s="36" t="s">
        <v>15</v>
      </c>
      <c r="F8" s="36" t="s">
        <v>215</v>
      </c>
      <c r="G8" s="36">
        <v>0</v>
      </c>
      <c r="H8" s="36">
        <v>0</v>
      </c>
      <c r="I8" s="36">
        <v>0</v>
      </c>
      <c r="J8" s="36">
        <v>0</v>
      </c>
      <c r="K8" s="36">
        <f t="shared" si="0"/>
        <v>0</v>
      </c>
      <c r="W8" s="28">
        <f t="shared" si="1"/>
        <v>0</v>
      </c>
    </row>
    <row r="9" spans="4:23" ht="18" customHeight="1">
      <c r="D9" s="36" t="s">
        <v>527</v>
      </c>
      <c r="E9" s="36" t="s">
        <v>15</v>
      </c>
      <c r="F9" s="36" t="s">
        <v>216</v>
      </c>
      <c r="G9" s="36">
        <v>29999999995</v>
      </c>
      <c r="H9" s="36">
        <v>0</v>
      </c>
      <c r="I9" s="36">
        <v>0</v>
      </c>
      <c r="J9" s="36">
        <v>-24070963937</v>
      </c>
      <c r="K9" s="36">
        <f t="shared" si="0"/>
        <v>5929036058</v>
      </c>
      <c r="W9" s="28">
        <f t="shared" si="1"/>
        <v>-5929036058</v>
      </c>
    </row>
    <row r="10" spans="4:23" ht="18" customHeight="1">
      <c r="D10" s="36" t="s">
        <v>527</v>
      </c>
      <c r="E10" s="36" t="s">
        <v>15</v>
      </c>
      <c r="F10" s="36" t="s">
        <v>534</v>
      </c>
      <c r="G10" s="36"/>
      <c r="H10" s="36">
        <v>0</v>
      </c>
      <c r="I10" s="36">
        <v>0</v>
      </c>
      <c r="J10" s="36">
        <v>0</v>
      </c>
      <c r="K10" s="36">
        <f t="shared" si="0"/>
        <v>0</v>
      </c>
      <c r="W10" s="28">
        <f t="shared" si="1"/>
        <v>0</v>
      </c>
    </row>
    <row r="11" spans="4:23" ht="18" customHeight="1" thickBot="1">
      <c r="D11" s="209" t="s">
        <v>527</v>
      </c>
      <c r="E11" s="209" t="s">
        <v>15</v>
      </c>
      <c r="F11" s="209" t="s">
        <v>217</v>
      </c>
      <c r="G11" s="209">
        <v>13268496000</v>
      </c>
      <c r="H11" s="209"/>
      <c r="I11" s="209">
        <f>-G11</f>
        <v>-13268496000</v>
      </c>
      <c r="J11" s="209"/>
      <c r="K11" s="209">
        <f t="shared" si="0"/>
        <v>0</v>
      </c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>
        <f t="shared" si="1"/>
        <v>0</v>
      </c>
    </row>
    <row r="12" spans="4:23" s="206" customFormat="1" ht="18" customHeight="1" thickTop="1">
      <c r="G12" s="206">
        <f>SUM(G6:G11)</f>
        <v>46712377572</v>
      </c>
      <c r="H12" s="206">
        <f t="shared" ref="H12:K12" si="2">SUM(H6:H11)</f>
        <v>0</v>
      </c>
      <c r="I12" s="206">
        <f t="shared" si="2"/>
        <v>-13268496000</v>
      </c>
      <c r="J12" s="206">
        <f t="shared" si="2"/>
        <v>-25472597960</v>
      </c>
      <c r="K12" s="206">
        <f t="shared" si="2"/>
        <v>7971283612</v>
      </c>
      <c r="M12" s="206">
        <f t="shared" ref="M12" si="3">SUM(M6:M11)</f>
        <v>0</v>
      </c>
      <c r="N12" s="206">
        <f t="shared" ref="N12" si="4">SUM(N6:N11)</f>
        <v>0</v>
      </c>
      <c r="O12" s="206">
        <f t="shared" ref="O12" si="5">SUM(O6:O11)</f>
        <v>0</v>
      </c>
      <c r="P12" s="206">
        <f t="shared" ref="P12" si="6">SUM(P6:P11)</f>
        <v>0</v>
      </c>
      <c r="Q12" s="206">
        <f t="shared" ref="Q12" si="7">SUM(Q6:Q11)</f>
        <v>0</v>
      </c>
      <c r="R12" s="206">
        <f t="shared" ref="R12" si="8">SUM(R6:R11)</f>
        <v>0</v>
      </c>
      <c r="S12" s="206">
        <f t="shared" ref="S12" si="9">SUM(S6:S11)</f>
        <v>0</v>
      </c>
      <c r="T12" s="206">
        <f t="shared" ref="T12" si="10">SUM(T6:T11)</f>
        <v>0</v>
      </c>
      <c r="U12" s="206">
        <f t="shared" ref="U12" si="11">SUM(U6:U11)</f>
        <v>0</v>
      </c>
      <c r="V12" s="206">
        <f t="shared" ref="V12" si="12">SUM(V6:V11)</f>
        <v>0</v>
      </c>
      <c r="W12" s="206">
        <f t="shared" ref="W12" si="13">SUM(W6:W11)</f>
        <v>-7971283612</v>
      </c>
    </row>
    <row r="13" spans="4:23" s="206" customFormat="1" ht="18" customHeight="1">
      <c r="J13" s="206">
        <f>T_IS!Q114</f>
        <v>-25472597960</v>
      </c>
      <c r="K13" s="206" t="b">
        <f>T_BS!H83=K12</f>
        <v>1</v>
      </c>
    </row>
    <row r="14" spans="4:23" ht="18" customHeight="1">
      <c r="J14" s="28">
        <f>J13-J12</f>
        <v>0</v>
      </c>
    </row>
    <row r="15" spans="4:23" s="206" customFormat="1" ht="18" customHeight="1"/>
    <row r="18" spans="4:5" s="212" customFormat="1" ht="18" customHeight="1">
      <c r="D18" s="210"/>
      <c r="E18" s="211"/>
    </row>
  </sheetData>
  <mergeCells count="5">
    <mergeCell ref="G4:K4"/>
    <mergeCell ref="F4:F5"/>
    <mergeCell ref="E4:E5"/>
    <mergeCell ref="D4:D5"/>
    <mergeCell ref="M4:W4"/>
  </mergeCells>
  <phoneticPr fontId="18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D2:AD16"/>
  <sheetViews>
    <sheetView zoomScale="90" zoomScaleNormal="90" workbookViewId="0">
      <pane xSplit="5" ySplit="4" topLeftCell="L5" activePane="bottomRight" state="frozen"/>
      <selection sqref="A1:XFD1048576"/>
      <selection pane="topRight" sqref="A1:XFD1048576"/>
      <selection pane="bottomLeft" sqref="A1:XFD1048576"/>
      <selection pane="bottomRight" activeCell="P15" sqref="P15"/>
    </sheetView>
  </sheetViews>
  <sheetFormatPr defaultColWidth="8.75" defaultRowHeight="18" customHeight="1"/>
  <cols>
    <col min="1" max="3" width="2.375" style="28" customWidth="1"/>
    <col min="4" max="4" width="20.375" style="28" customWidth="1"/>
    <col min="5" max="5" width="31.375" style="28" bestFit="1" customWidth="1"/>
    <col min="6" max="6" width="3.375" style="194" customWidth="1"/>
    <col min="7" max="11" width="20.375" style="28" hidden="1" customWidth="1"/>
    <col min="12" max="12" width="3.375" style="194" customWidth="1"/>
    <col min="13" max="18" width="20.375" style="28" customWidth="1"/>
    <col min="19" max="19" width="3.375" style="194" customWidth="1"/>
    <col min="20" max="24" width="20.375" style="28" customWidth="1"/>
    <col min="25" max="25" width="3.375" style="194" customWidth="1"/>
    <col min="26" max="30" width="20.375" style="28" customWidth="1"/>
    <col min="31" max="16384" width="8.75" style="28"/>
  </cols>
  <sheetData>
    <row r="2" spans="4:30" ht="18" customHeight="1" thickBot="1"/>
    <row r="3" spans="4:30" s="196" customFormat="1" ht="18" customHeight="1">
      <c r="D3" s="827" t="s">
        <v>504</v>
      </c>
      <c r="E3" s="831" t="s">
        <v>503</v>
      </c>
      <c r="F3" s="195"/>
      <c r="G3" s="829" t="s">
        <v>529</v>
      </c>
      <c r="H3" s="829"/>
      <c r="I3" s="829"/>
      <c r="J3" s="829"/>
      <c r="K3" s="829"/>
      <c r="L3" s="195"/>
      <c r="M3" s="827" t="s">
        <v>1684</v>
      </c>
      <c r="N3" s="830"/>
      <c r="O3" s="830"/>
      <c r="P3" s="830"/>
      <c r="Q3" s="830"/>
      <c r="R3" s="831"/>
      <c r="S3" s="195"/>
      <c r="T3" s="827" t="s">
        <v>531</v>
      </c>
      <c r="U3" s="830"/>
      <c r="V3" s="830"/>
      <c r="W3" s="830"/>
      <c r="X3" s="831"/>
      <c r="Y3" s="195"/>
      <c r="Z3" s="827" t="s">
        <v>530</v>
      </c>
      <c r="AA3" s="830"/>
      <c r="AB3" s="830"/>
      <c r="AC3" s="830"/>
      <c r="AD3" s="831"/>
    </row>
    <row r="4" spans="4:30" s="196" customFormat="1" ht="18" customHeight="1">
      <c r="D4" s="828"/>
      <c r="E4" s="832"/>
      <c r="F4" s="195"/>
      <c r="G4" s="197" t="s">
        <v>228</v>
      </c>
      <c r="H4" s="197" t="s">
        <v>465</v>
      </c>
      <c r="I4" s="197" t="s">
        <v>527</v>
      </c>
      <c r="J4" s="197" t="s">
        <v>528</v>
      </c>
      <c r="K4" s="197" t="s">
        <v>496</v>
      </c>
      <c r="L4" s="195"/>
      <c r="M4" s="198" t="s">
        <v>228</v>
      </c>
      <c r="N4" s="174" t="s">
        <v>540</v>
      </c>
      <c r="O4" s="174" t="s">
        <v>541</v>
      </c>
      <c r="P4" s="174" t="s">
        <v>527</v>
      </c>
      <c r="Q4" s="174" t="s">
        <v>528</v>
      </c>
      <c r="R4" s="199" t="s">
        <v>496</v>
      </c>
      <c r="S4" s="195"/>
      <c r="T4" s="198" t="s">
        <v>228</v>
      </c>
      <c r="U4" s="174" t="s">
        <v>465</v>
      </c>
      <c r="V4" s="174" t="s">
        <v>527</v>
      </c>
      <c r="W4" s="174" t="s">
        <v>528</v>
      </c>
      <c r="X4" s="199" t="s">
        <v>496</v>
      </c>
      <c r="Y4" s="195"/>
      <c r="Z4" s="198" t="s">
        <v>228</v>
      </c>
      <c r="AA4" s="174" t="s">
        <v>465</v>
      </c>
      <c r="AB4" s="174" t="s">
        <v>527</v>
      </c>
      <c r="AC4" s="174" t="s">
        <v>528</v>
      </c>
      <c r="AD4" s="199" t="s">
        <v>496</v>
      </c>
    </row>
    <row r="5" spans="4:30" ht="18" customHeight="1">
      <c r="D5" s="200">
        <v>1</v>
      </c>
      <c r="E5" s="201" t="s">
        <v>15</v>
      </c>
      <c r="M5" s="202">
        <f>자본변동!F74</f>
        <v>0</v>
      </c>
      <c r="N5" s="36"/>
      <c r="O5" s="36">
        <v>0</v>
      </c>
      <c r="P5" s="36">
        <f>SUM(M5:O5)</f>
        <v>0</v>
      </c>
      <c r="Q5" s="36">
        <f>ROUND(P5*D5,0)</f>
        <v>0</v>
      </c>
      <c r="R5" s="201">
        <f>P5-Q5</f>
        <v>0</v>
      </c>
      <c r="T5" s="202">
        <f>자본변동!F76</f>
        <v>-766511518</v>
      </c>
      <c r="U5" s="36"/>
      <c r="V5" s="36">
        <f>SUM(T5:U5)</f>
        <v>-766511518</v>
      </c>
      <c r="W5" s="36">
        <f>ROUND(V5*D5,0)</f>
        <v>-766511518</v>
      </c>
      <c r="X5" s="201">
        <f>V5-W5</f>
        <v>0</v>
      </c>
      <c r="Z5" s="202"/>
      <c r="AA5" s="36"/>
      <c r="AB5" s="36"/>
      <c r="AC5" s="36"/>
      <c r="AD5" s="201"/>
    </row>
    <row r="6" spans="4:30" ht="18" customHeight="1">
      <c r="D6" s="200">
        <v>1</v>
      </c>
      <c r="E6" s="201" t="s">
        <v>513</v>
      </c>
      <c r="M6" s="202">
        <f>자본변동!G74</f>
        <v>-622288388</v>
      </c>
      <c r="N6" s="36"/>
      <c r="O6" s="36"/>
      <c r="P6" s="36">
        <f t="shared" ref="P6:P11" si="0">SUM(M6:O6)</f>
        <v>-622288388</v>
      </c>
      <c r="Q6" s="36">
        <f t="shared" ref="Q6:Q11" si="1">ROUND(P6*D6,0)</f>
        <v>-622288388</v>
      </c>
      <c r="R6" s="201">
        <f t="shared" ref="R6:R12" si="2">P6-Q6</f>
        <v>0</v>
      </c>
      <c r="T6" s="202">
        <f>-자본변동!G76</f>
        <v>0</v>
      </c>
      <c r="U6" s="36"/>
      <c r="V6" s="36">
        <f t="shared" ref="V6:V11" si="3">SUM(T6:U6)</f>
        <v>0</v>
      </c>
      <c r="W6" s="36">
        <f t="shared" ref="W6:W11" si="4">ROUND(V6*D6,0)</f>
        <v>0</v>
      </c>
      <c r="X6" s="201">
        <f t="shared" ref="X6:X11" si="5">V6-W6</f>
        <v>0</v>
      </c>
      <c r="Z6" s="202"/>
      <c r="AA6" s="36"/>
      <c r="AB6" s="36"/>
      <c r="AC6" s="36"/>
      <c r="AD6" s="201"/>
    </row>
    <row r="7" spans="4:30" ht="18" customHeight="1">
      <c r="D7" s="200">
        <v>1</v>
      </c>
      <c r="E7" s="201" t="s">
        <v>515</v>
      </c>
      <c r="M7" s="202">
        <f>자본변동!H74</f>
        <v>-78765534</v>
      </c>
      <c r="N7" s="36"/>
      <c r="O7" s="36">
        <f>-'2.1'!E8</f>
        <v>148309663</v>
      </c>
      <c r="P7" s="36">
        <f t="shared" si="0"/>
        <v>69544129</v>
      </c>
      <c r="Q7" s="36">
        <f t="shared" si="1"/>
        <v>69544129</v>
      </c>
      <c r="R7" s="201">
        <f t="shared" si="2"/>
        <v>0</v>
      </c>
      <c r="T7" s="202">
        <f>-자본변동!H76</f>
        <v>0</v>
      </c>
      <c r="U7" s="36"/>
      <c r="V7" s="36">
        <f t="shared" si="3"/>
        <v>0</v>
      </c>
      <c r="W7" s="36">
        <f t="shared" si="4"/>
        <v>0</v>
      </c>
      <c r="X7" s="201">
        <f t="shared" si="5"/>
        <v>0</v>
      </c>
      <c r="Z7" s="202"/>
      <c r="AA7" s="36"/>
      <c r="AB7" s="36"/>
      <c r="AC7" s="36"/>
      <c r="AD7" s="201"/>
    </row>
    <row r="8" spans="4:30" ht="18" customHeight="1">
      <c r="D8" s="200">
        <v>1</v>
      </c>
      <c r="E8" s="201" t="s">
        <v>517</v>
      </c>
      <c r="M8" s="202">
        <f>자본변동!I74</f>
        <v>-238055993</v>
      </c>
      <c r="N8" s="36"/>
      <c r="O8" s="36"/>
      <c r="P8" s="36">
        <f t="shared" si="0"/>
        <v>-238055993</v>
      </c>
      <c r="Q8" s="36">
        <f t="shared" si="1"/>
        <v>-238055993</v>
      </c>
      <c r="R8" s="201">
        <f t="shared" si="2"/>
        <v>0</v>
      </c>
      <c r="T8" s="202">
        <f>-자본변동!I76</f>
        <v>0</v>
      </c>
      <c r="U8" s="36"/>
      <c r="V8" s="36">
        <f t="shared" si="3"/>
        <v>0</v>
      </c>
      <c r="W8" s="36">
        <f t="shared" si="4"/>
        <v>0</v>
      </c>
      <c r="X8" s="201">
        <f t="shared" si="5"/>
        <v>0</v>
      </c>
      <c r="Z8" s="202"/>
      <c r="AA8" s="36"/>
      <c r="AB8" s="36"/>
      <c r="AC8" s="36"/>
      <c r="AD8" s="201"/>
    </row>
    <row r="9" spans="4:30" ht="18" customHeight="1">
      <c r="D9" s="200">
        <v>1</v>
      </c>
      <c r="E9" s="201" t="s">
        <v>519</v>
      </c>
      <c r="M9" s="202">
        <f>자본변동!J74</f>
        <v>213954410</v>
      </c>
      <c r="N9" s="36">
        <f>-'5.0'!L23</f>
        <v>1069187616</v>
      </c>
      <c r="O9" s="36">
        <f>-'5.0'!L11</f>
        <v>175053979</v>
      </c>
      <c r="P9" s="36">
        <f t="shared" si="0"/>
        <v>1458196005</v>
      </c>
      <c r="Q9" s="36">
        <f t="shared" si="1"/>
        <v>1458196005</v>
      </c>
      <c r="R9" s="201">
        <f t="shared" si="2"/>
        <v>0</v>
      </c>
      <c r="T9" s="202">
        <f>-자본변동!J76</f>
        <v>0</v>
      </c>
      <c r="U9" s="36"/>
      <c r="V9" s="36">
        <f t="shared" si="3"/>
        <v>0</v>
      </c>
      <c r="W9" s="36">
        <f t="shared" si="4"/>
        <v>0</v>
      </c>
      <c r="X9" s="201">
        <f t="shared" si="5"/>
        <v>0</v>
      </c>
      <c r="Z9" s="202"/>
      <c r="AA9" s="36"/>
      <c r="AB9" s="36"/>
      <c r="AC9" s="36"/>
      <c r="AD9" s="201"/>
    </row>
    <row r="10" spans="4:30" ht="18" customHeight="1">
      <c r="D10" s="200">
        <v>1</v>
      </c>
      <c r="E10" s="201" t="s">
        <v>520</v>
      </c>
      <c r="M10" s="202">
        <f>자본변동!K74</f>
        <v>0</v>
      </c>
      <c r="N10" s="36">
        <v>0</v>
      </c>
      <c r="O10" s="36"/>
      <c r="P10" s="36">
        <f t="shared" si="0"/>
        <v>0</v>
      </c>
      <c r="Q10" s="36">
        <f t="shared" si="1"/>
        <v>0</v>
      </c>
      <c r="R10" s="201">
        <f t="shared" si="2"/>
        <v>0</v>
      </c>
      <c r="T10" s="202">
        <f>-자본변동!K76</f>
        <v>0</v>
      </c>
      <c r="U10" s="36"/>
      <c r="V10" s="36">
        <f t="shared" si="3"/>
        <v>0</v>
      </c>
      <c r="W10" s="36">
        <f t="shared" si="4"/>
        <v>0</v>
      </c>
      <c r="X10" s="201">
        <f t="shared" si="5"/>
        <v>0</v>
      </c>
      <c r="Z10" s="202"/>
      <c r="AA10" s="36"/>
      <c r="AB10" s="36"/>
      <c r="AC10" s="36"/>
      <c r="AD10" s="201"/>
    </row>
    <row r="11" spans="4:30" ht="18" customHeight="1">
      <c r="D11" s="200">
        <v>1</v>
      </c>
      <c r="E11" s="201" t="s">
        <v>522</v>
      </c>
      <c r="M11" s="202">
        <f>자본변동!L74</f>
        <v>0</v>
      </c>
      <c r="N11" s="36"/>
      <c r="O11" s="36"/>
      <c r="P11" s="36">
        <f t="shared" si="0"/>
        <v>0</v>
      </c>
      <c r="Q11" s="36">
        <f t="shared" si="1"/>
        <v>0</v>
      </c>
      <c r="R11" s="201">
        <f t="shared" si="2"/>
        <v>0</v>
      </c>
      <c r="T11" s="202">
        <v>0</v>
      </c>
      <c r="U11" s="36"/>
      <c r="V11" s="36">
        <f t="shared" si="3"/>
        <v>0</v>
      </c>
      <c r="W11" s="36">
        <f t="shared" si="4"/>
        <v>0</v>
      </c>
      <c r="X11" s="201">
        <f t="shared" si="5"/>
        <v>0</v>
      </c>
      <c r="Z11" s="202"/>
      <c r="AA11" s="36"/>
      <c r="AB11" s="36"/>
      <c r="AC11" s="36"/>
      <c r="AD11" s="201"/>
    </row>
    <row r="12" spans="4:30" s="206" customFormat="1" ht="18" customHeight="1" thickBot="1">
      <c r="D12" s="203"/>
      <c r="E12" s="204"/>
      <c r="F12" s="205"/>
      <c r="L12" s="205"/>
      <c r="M12" s="203">
        <f t="shared" ref="M12" si="6">SUM(M5:M11)</f>
        <v>-725155505</v>
      </c>
      <c r="N12" s="207">
        <f>SUM(N5:N11)</f>
        <v>1069187616</v>
      </c>
      <c r="O12" s="207">
        <f t="shared" ref="O12" si="7">SUM(O5:O11)</f>
        <v>323363642</v>
      </c>
      <c r="P12" s="207">
        <f t="shared" ref="P12:Q12" si="8">SUM(P5:P11)</f>
        <v>667395753</v>
      </c>
      <c r="Q12" s="207">
        <f t="shared" si="8"/>
        <v>667395753</v>
      </c>
      <c r="R12" s="208">
        <f t="shared" si="2"/>
        <v>0</v>
      </c>
      <c r="S12" s="205"/>
      <c r="T12" s="203">
        <f>SUM(T5:T11)</f>
        <v>-766511518</v>
      </c>
      <c r="U12" s="207">
        <f t="shared" ref="U12" si="9">SUM(U5:U11)</f>
        <v>0</v>
      </c>
      <c r="V12" s="207">
        <f t="shared" ref="V12" si="10">SUM(V5:V11)</f>
        <v>-766511518</v>
      </c>
      <c r="W12" s="207">
        <f t="shared" ref="W12:X12" si="11">SUM(W5:W11)</f>
        <v>-766511518</v>
      </c>
      <c r="X12" s="204">
        <f t="shared" si="11"/>
        <v>0</v>
      </c>
      <c r="Y12" s="205"/>
      <c r="Z12" s="203"/>
      <c r="AA12" s="207"/>
      <c r="AB12" s="207"/>
      <c r="AC12" s="207"/>
      <c r="AD12" s="204"/>
    </row>
    <row r="13" spans="4:30" s="206" customFormat="1" ht="18" customHeight="1">
      <c r="F13" s="205"/>
      <c r="L13" s="205"/>
      <c r="S13" s="205"/>
      <c r="Y13" s="205"/>
    </row>
    <row r="14" spans="4:30" s="206" customFormat="1" ht="18" customHeight="1">
      <c r="F14" s="205"/>
      <c r="L14" s="205"/>
      <c r="P14" s="206" t="s">
        <v>528</v>
      </c>
      <c r="Q14" s="206">
        <f>T_CE!L22</f>
        <v>800612257</v>
      </c>
      <c r="R14" s="196"/>
      <c r="S14" s="205"/>
      <c r="Y14" s="205"/>
    </row>
    <row r="15" spans="4:30" s="206" customFormat="1" ht="18" customHeight="1">
      <c r="F15" s="205"/>
      <c r="L15" s="205"/>
      <c r="P15" s="206" t="s">
        <v>1919</v>
      </c>
      <c r="Q15" s="206">
        <f>Q14-Q12</f>
        <v>133216504</v>
      </c>
      <c r="S15" s="205"/>
      <c r="Y15" s="205"/>
    </row>
    <row r="16" spans="4:30" s="206" customFormat="1" ht="18" customHeight="1">
      <c r="F16" s="205"/>
      <c r="L16" s="205"/>
      <c r="S16" s="205"/>
      <c r="Y16" s="205"/>
    </row>
  </sheetData>
  <mergeCells count="6">
    <mergeCell ref="D3:D4"/>
    <mergeCell ref="G3:K3"/>
    <mergeCell ref="M3:R3"/>
    <mergeCell ref="T3:X3"/>
    <mergeCell ref="Z3:AD3"/>
    <mergeCell ref="E3:E4"/>
  </mergeCells>
  <phoneticPr fontId="18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D3:U24"/>
  <sheetViews>
    <sheetView workbookViewId="0">
      <pane xSplit="6" ySplit="4" topLeftCell="G5" activePane="bottomRight" state="frozen"/>
      <selection sqref="A1:XFD1048576"/>
      <selection pane="topRight" sqref="A1:XFD1048576"/>
      <selection pane="bottomLeft" sqref="A1:XFD1048576"/>
      <selection pane="bottomRight" activeCell="S30" sqref="S30"/>
    </sheetView>
  </sheetViews>
  <sheetFormatPr defaultColWidth="8.75" defaultRowHeight="18" customHeight="1"/>
  <cols>
    <col min="1" max="3" width="2.375" style="31" customWidth="1"/>
    <col min="4" max="21" width="16" style="31" customWidth="1"/>
    <col min="22" max="16384" width="8.75" style="31"/>
  </cols>
  <sheetData>
    <row r="3" spans="4:21" ht="18" customHeight="1" thickBot="1"/>
    <row r="4" spans="4:21" ht="30.95" customHeight="1">
      <c r="D4" s="32" t="s">
        <v>563</v>
      </c>
      <c r="E4" s="33" t="s">
        <v>564</v>
      </c>
      <c r="F4" s="33" t="s">
        <v>565</v>
      </c>
      <c r="G4" s="33" t="s">
        <v>566</v>
      </c>
      <c r="H4" s="33" t="s">
        <v>567</v>
      </c>
      <c r="I4" s="33" t="s">
        <v>568</v>
      </c>
      <c r="J4" s="33" t="s">
        <v>569</v>
      </c>
      <c r="K4" s="33" t="s">
        <v>570</v>
      </c>
      <c r="L4" s="33" t="s">
        <v>571</v>
      </c>
      <c r="M4" s="33" t="s">
        <v>572</v>
      </c>
      <c r="N4" s="33" t="s">
        <v>573</v>
      </c>
      <c r="O4" s="33" t="s">
        <v>574</v>
      </c>
      <c r="P4" s="33" t="s">
        <v>575</v>
      </c>
      <c r="Q4" s="33" t="s">
        <v>576</v>
      </c>
      <c r="R4" s="33" t="s">
        <v>577</v>
      </c>
      <c r="S4" s="33" t="s">
        <v>578</v>
      </c>
      <c r="T4" s="33" t="s">
        <v>579</v>
      </c>
      <c r="U4" s="34" t="s">
        <v>580</v>
      </c>
    </row>
    <row r="5" spans="4:21" ht="18" customHeight="1">
      <c r="D5" s="35" t="s">
        <v>581</v>
      </c>
      <c r="E5" s="36" t="s">
        <v>582</v>
      </c>
      <c r="F5" s="36">
        <f>T_BS!H204</f>
        <v>114560798939</v>
      </c>
      <c r="G5" s="36">
        <v>0</v>
      </c>
      <c r="H5" s="36">
        <v>0</v>
      </c>
      <c r="I5" s="36">
        <v>0</v>
      </c>
      <c r="J5" s="36">
        <v>0</v>
      </c>
      <c r="K5" s="36">
        <f>SUM(F5:J5)</f>
        <v>114560798939</v>
      </c>
      <c r="L5" s="37">
        <v>0</v>
      </c>
      <c r="M5" s="36">
        <f>K5*L5</f>
        <v>0</v>
      </c>
      <c r="N5" s="36"/>
      <c r="O5" s="36"/>
      <c r="P5" s="36">
        <f>N5-O5</f>
        <v>0</v>
      </c>
      <c r="Q5" s="36"/>
      <c r="R5" s="36">
        <f>P5*Q5</f>
        <v>0</v>
      </c>
      <c r="S5" s="36">
        <f>M5-R5</f>
        <v>0</v>
      </c>
      <c r="T5" s="36">
        <f>T_BS!H225</f>
        <v>0</v>
      </c>
      <c r="U5" s="38">
        <f>S5+T5</f>
        <v>0</v>
      </c>
    </row>
    <row r="6" spans="4:21" ht="18" customHeight="1">
      <c r="D6" s="35" t="s">
        <v>15</v>
      </c>
      <c r="E6" s="36" t="s">
        <v>218</v>
      </c>
      <c r="F6" s="36">
        <f>T_BS!I204</f>
        <v>1502323625</v>
      </c>
      <c r="G6" s="36">
        <v>0</v>
      </c>
      <c r="H6" s="36">
        <v>0</v>
      </c>
      <c r="I6" s="36">
        <v>0</v>
      </c>
      <c r="J6" s="36">
        <v>0</v>
      </c>
      <c r="K6" s="36">
        <f t="shared" ref="K6:K11" si="0">SUM(F6:J6)</f>
        <v>1502323625</v>
      </c>
      <c r="L6" s="37">
        <f>1-SCOPE!K5</f>
        <v>0</v>
      </c>
      <c r="M6" s="36">
        <f>K6*L6</f>
        <v>0</v>
      </c>
      <c r="N6" s="36">
        <v>3443881577</v>
      </c>
      <c r="O6" s="36"/>
      <c r="P6" s="36">
        <f>N6-O6</f>
        <v>3443881577</v>
      </c>
      <c r="Q6" s="36">
        <f>$L$5</f>
        <v>0</v>
      </c>
      <c r="R6" s="36">
        <f t="shared" ref="R6:R11" si="1">P6*Q6</f>
        <v>0</v>
      </c>
      <c r="S6" s="36">
        <f t="shared" ref="S6:S11" si="2">M6-R6</f>
        <v>0</v>
      </c>
      <c r="T6" s="36">
        <f>T_BS!I225</f>
        <v>0</v>
      </c>
      <c r="U6" s="38">
        <f t="shared" ref="U6:U11" si="3">S6+T6</f>
        <v>0</v>
      </c>
    </row>
    <row r="7" spans="4:21" ht="18" customHeight="1">
      <c r="D7" s="35" t="s">
        <v>15</v>
      </c>
      <c r="E7" s="36" t="s">
        <v>214</v>
      </c>
      <c r="F7" s="36">
        <f>T_BS!J204</f>
        <v>0</v>
      </c>
      <c r="G7" s="36">
        <v>0</v>
      </c>
      <c r="H7" s="36">
        <v>0</v>
      </c>
      <c r="I7" s="36">
        <v>0</v>
      </c>
      <c r="J7" s="36">
        <v>0</v>
      </c>
      <c r="K7" s="36">
        <f t="shared" si="0"/>
        <v>0</v>
      </c>
      <c r="L7" s="37">
        <f>1-SCOPE!K6</f>
        <v>0</v>
      </c>
      <c r="M7" s="36">
        <f>K7*L7</f>
        <v>0</v>
      </c>
      <c r="N7" s="36">
        <v>0</v>
      </c>
      <c r="O7" s="36"/>
      <c r="P7" s="36">
        <f>N7-O7</f>
        <v>0</v>
      </c>
      <c r="Q7" s="36">
        <f t="shared" ref="Q7:Q11" si="4">$L$5</f>
        <v>0</v>
      </c>
      <c r="R7" s="36">
        <f t="shared" si="1"/>
        <v>0</v>
      </c>
      <c r="S7" s="36">
        <f t="shared" si="2"/>
        <v>0</v>
      </c>
      <c r="T7" s="36">
        <f>T_BS!J225</f>
        <v>0</v>
      </c>
      <c r="U7" s="38">
        <f t="shared" si="3"/>
        <v>0</v>
      </c>
    </row>
    <row r="8" spans="4:21" ht="18" customHeight="1">
      <c r="D8" s="35" t="s">
        <v>15</v>
      </c>
      <c r="E8" s="36" t="s">
        <v>215</v>
      </c>
      <c r="F8" s="36">
        <f>T_BS!K204</f>
        <v>0</v>
      </c>
      <c r="G8" s="36">
        <v>0</v>
      </c>
      <c r="H8" s="36">
        <v>0</v>
      </c>
      <c r="I8" s="36">
        <v>0</v>
      </c>
      <c r="J8" s="36">
        <v>0</v>
      </c>
      <c r="K8" s="36">
        <f t="shared" si="0"/>
        <v>0</v>
      </c>
      <c r="L8" s="37">
        <f>1-SCOPE!K7</f>
        <v>0</v>
      </c>
      <c r="M8" s="36">
        <f>K8*L8</f>
        <v>0</v>
      </c>
      <c r="N8" s="36">
        <v>5278089200</v>
      </c>
      <c r="O8" s="36"/>
      <c r="P8" s="36">
        <f>N8-O8</f>
        <v>5278089200</v>
      </c>
      <c r="Q8" s="36">
        <f t="shared" si="4"/>
        <v>0</v>
      </c>
      <c r="R8" s="36">
        <f t="shared" si="1"/>
        <v>0</v>
      </c>
      <c r="S8" s="36">
        <f t="shared" si="2"/>
        <v>0</v>
      </c>
      <c r="T8" s="36">
        <f>T_BS!K225</f>
        <v>0</v>
      </c>
      <c r="U8" s="38">
        <f t="shared" si="3"/>
        <v>0</v>
      </c>
    </row>
    <row r="9" spans="4:21" ht="18" customHeight="1">
      <c r="D9" s="35" t="s">
        <v>15</v>
      </c>
      <c r="E9" s="36" t="s">
        <v>216</v>
      </c>
      <c r="F9" s="36">
        <f>T_BS!L204</f>
        <v>4323552557</v>
      </c>
      <c r="G9" s="36">
        <v>0</v>
      </c>
      <c r="H9" s="36">
        <v>0</v>
      </c>
      <c r="I9" s="36">
        <v>0</v>
      </c>
      <c r="J9" s="36">
        <v>0</v>
      </c>
      <c r="K9" s="36">
        <f t="shared" si="0"/>
        <v>4323552557</v>
      </c>
      <c r="L9" s="37">
        <f>1-SCOPE!K8</f>
        <v>0</v>
      </c>
      <c r="M9" s="36">
        <f t="shared" ref="M9:M10" si="5">K9*L9</f>
        <v>0</v>
      </c>
      <c r="N9" s="36">
        <v>29999999995</v>
      </c>
      <c r="O9" s="36">
        <f>'5.2'!AT18</f>
        <v>2016154733</v>
      </c>
      <c r="P9" s="36">
        <f t="shared" ref="P9:P10" si="6">N9-O9</f>
        <v>27983845262</v>
      </c>
      <c r="Q9" s="36">
        <f t="shared" si="4"/>
        <v>0</v>
      </c>
      <c r="R9" s="36">
        <f t="shared" si="1"/>
        <v>0</v>
      </c>
      <c r="S9" s="36">
        <f t="shared" si="2"/>
        <v>0</v>
      </c>
      <c r="T9" s="36">
        <f>T_BS!L225</f>
        <v>0</v>
      </c>
      <c r="U9" s="38">
        <f t="shared" si="3"/>
        <v>0</v>
      </c>
    </row>
    <row r="10" spans="4:21" ht="18" customHeight="1">
      <c r="D10" s="35" t="s">
        <v>15</v>
      </c>
      <c r="E10" s="36" t="s">
        <v>534</v>
      </c>
      <c r="F10" s="36">
        <f>T_BS!M204</f>
        <v>0</v>
      </c>
      <c r="G10" s="36">
        <v>0</v>
      </c>
      <c r="H10" s="36">
        <v>0</v>
      </c>
      <c r="I10" s="36">
        <v>0</v>
      </c>
      <c r="J10" s="36">
        <v>0</v>
      </c>
      <c r="K10" s="36">
        <f t="shared" si="0"/>
        <v>0</v>
      </c>
      <c r="L10" s="37">
        <f>1-SCOPE!K9</f>
        <v>1</v>
      </c>
      <c r="M10" s="36">
        <f t="shared" si="5"/>
        <v>0</v>
      </c>
      <c r="N10" s="36"/>
      <c r="O10" s="36"/>
      <c r="P10" s="36">
        <f t="shared" si="6"/>
        <v>0</v>
      </c>
      <c r="Q10" s="36">
        <f t="shared" si="4"/>
        <v>0</v>
      </c>
      <c r="R10" s="36">
        <f t="shared" si="1"/>
        <v>0</v>
      </c>
      <c r="S10" s="36">
        <f t="shared" si="2"/>
        <v>0</v>
      </c>
      <c r="T10" s="36">
        <f>T_BS!M225</f>
        <v>0</v>
      </c>
      <c r="U10" s="38">
        <f t="shared" si="3"/>
        <v>0</v>
      </c>
    </row>
    <row r="11" spans="4:21" ht="18" customHeight="1" thickBot="1">
      <c r="D11" s="35" t="s">
        <v>15</v>
      </c>
      <c r="E11" s="36" t="s">
        <v>217</v>
      </c>
      <c r="F11" s="36">
        <f>T_BS!N204</f>
        <v>0</v>
      </c>
      <c r="G11" s="36">
        <v>0</v>
      </c>
      <c r="H11" s="36">
        <v>0</v>
      </c>
      <c r="I11" s="36">
        <v>0</v>
      </c>
      <c r="J11" s="36">
        <v>0</v>
      </c>
      <c r="K11" s="36">
        <f t="shared" si="0"/>
        <v>0</v>
      </c>
      <c r="L11" s="37">
        <f>1-SCOPE!K10</f>
        <v>0</v>
      </c>
      <c r="M11" s="36"/>
      <c r="N11" s="36">
        <v>13268496000</v>
      </c>
      <c r="O11" s="36">
        <f>'5.2'!M21</f>
        <v>4096993217</v>
      </c>
      <c r="P11" s="36"/>
      <c r="Q11" s="36">
        <f t="shared" si="4"/>
        <v>0</v>
      </c>
      <c r="R11" s="36">
        <f t="shared" si="1"/>
        <v>0</v>
      </c>
      <c r="S11" s="36">
        <f t="shared" si="2"/>
        <v>0</v>
      </c>
      <c r="T11" s="36">
        <f>T_BS!N225</f>
        <v>0</v>
      </c>
      <c r="U11" s="38">
        <f t="shared" si="3"/>
        <v>0</v>
      </c>
    </row>
    <row r="12" spans="4:21" ht="18" customHeight="1" thickBot="1">
      <c r="D12" s="39"/>
      <c r="E12" s="40"/>
      <c r="F12" s="40">
        <f>SUM(F5:F11)</f>
        <v>120386675121</v>
      </c>
      <c r="G12" s="40">
        <f t="shared" ref="G12:U12" si="7">SUM(G5:G11)</f>
        <v>0</v>
      </c>
      <c r="H12" s="40">
        <f t="shared" si="7"/>
        <v>0</v>
      </c>
      <c r="I12" s="40">
        <f t="shared" si="7"/>
        <v>0</v>
      </c>
      <c r="J12" s="40">
        <f t="shared" si="7"/>
        <v>0</v>
      </c>
      <c r="K12" s="40">
        <f t="shared" si="7"/>
        <v>120386675121</v>
      </c>
      <c r="L12" s="40">
        <f t="shared" si="7"/>
        <v>1</v>
      </c>
      <c r="M12" s="40">
        <f t="shared" si="7"/>
        <v>0</v>
      </c>
      <c r="N12" s="40">
        <f t="shared" si="7"/>
        <v>51990466772</v>
      </c>
      <c r="O12" s="40">
        <f t="shared" si="7"/>
        <v>6113147950</v>
      </c>
      <c r="P12" s="40">
        <f t="shared" si="7"/>
        <v>36705816039</v>
      </c>
      <c r="Q12" s="40">
        <f t="shared" si="7"/>
        <v>0</v>
      </c>
      <c r="R12" s="40">
        <f t="shared" si="7"/>
        <v>0</v>
      </c>
      <c r="S12" s="40">
        <f t="shared" si="7"/>
        <v>0</v>
      </c>
      <c r="T12" s="40">
        <f t="shared" si="7"/>
        <v>0</v>
      </c>
      <c r="U12" s="41">
        <f t="shared" si="7"/>
        <v>0</v>
      </c>
    </row>
    <row r="14" spans="4:21" ht="18" customHeight="1">
      <c r="N14" s="169"/>
    </row>
    <row r="15" spans="4:21" ht="18" customHeight="1">
      <c r="N15" s="169"/>
    </row>
    <row r="23" spans="13:13" ht="18" customHeight="1">
      <c r="M23" s="169"/>
    </row>
    <row r="24" spans="13:13" ht="18" customHeight="1">
      <c r="M24" s="169"/>
    </row>
  </sheetData>
  <phoneticPr fontId="18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C4:Q32"/>
  <sheetViews>
    <sheetView zoomScale="90" zoomScaleNormal="90" workbookViewId="0">
      <selection activeCell="M29" sqref="M29"/>
    </sheetView>
  </sheetViews>
  <sheetFormatPr defaultColWidth="9" defaultRowHeight="18" customHeight="1"/>
  <cols>
    <col min="1" max="3" width="2.375" style="170" customWidth="1"/>
    <col min="4" max="4" width="4" style="170" customWidth="1"/>
    <col min="5" max="5" width="26.25" style="170" customWidth="1"/>
    <col min="6" max="17" width="16.375" style="170" customWidth="1"/>
    <col min="18" max="18" width="15.375" style="170" customWidth="1"/>
    <col min="19" max="19" width="15.125" style="170" customWidth="1"/>
    <col min="20" max="20" width="15.375" style="170" bestFit="1" customWidth="1"/>
    <col min="21" max="21" width="16.375" style="170" bestFit="1" customWidth="1"/>
    <col min="22" max="22" width="17.375" style="170" customWidth="1"/>
    <col min="23" max="16384" width="9" style="170"/>
  </cols>
  <sheetData>
    <row r="4" spans="3:14" ht="18" customHeight="1" thickBot="1">
      <c r="C4" s="170">
        <v>1</v>
      </c>
      <c r="D4" s="170" t="s">
        <v>584</v>
      </c>
    </row>
    <row r="5" spans="3:14" s="171" customFormat="1" ht="18" customHeight="1">
      <c r="E5" s="833" t="s">
        <v>585</v>
      </c>
      <c r="F5" s="835" t="s">
        <v>586</v>
      </c>
      <c r="G5" s="835" t="s">
        <v>587</v>
      </c>
      <c r="H5" s="835"/>
      <c r="I5" s="835"/>
      <c r="J5" s="172"/>
      <c r="K5" s="172"/>
      <c r="L5" s="835" t="s">
        <v>588</v>
      </c>
      <c r="M5" s="835"/>
      <c r="N5" s="173"/>
    </row>
    <row r="6" spans="3:14" s="171" customFormat="1" ht="18" customHeight="1">
      <c r="E6" s="834"/>
      <c r="F6" s="825"/>
      <c r="G6" s="174" t="s">
        <v>589</v>
      </c>
      <c r="H6" s="174" t="s">
        <v>590</v>
      </c>
      <c r="I6" s="174" t="s">
        <v>591</v>
      </c>
      <c r="J6" s="174" t="s">
        <v>592</v>
      </c>
      <c r="K6" s="174" t="s">
        <v>593</v>
      </c>
      <c r="L6" s="174" t="s">
        <v>594</v>
      </c>
      <c r="M6" s="174" t="s">
        <v>583</v>
      </c>
      <c r="N6" s="175" t="s">
        <v>595</v>
      </c>
    </row>
    <row r="7" spans="3:14" ht="18" customHeight="1">
      <c r="D7" s="176"/>
      <c r="E7" s="177" t="s">
        <v>582</v>
      </c>
      <c r="F7" s="178">
        <f>T_IS!H120</f>
        <v>-48581156076</v>
      </c>
      <c r="G7" s="178">
        <v>0</v>
      </c>
      <c r="H7" s="178">
        <v>0</v>
      </c>
      <c r="I7" s="178">
        <v>0</v>
      </c>
      <c r="J7" s="178">
        <f t="shared" ref="J7" si="0">SUM(F7:I7)</f>
        <v>-48581156076</v>
      </c>
      <c r="K7" s="179">
        <f>NCE!L5</f>
        <v>0</v>
      </c>
      <c r="L7" s="178">
        <v>0</v>
      </c>
      <c r="M7" s="178"/>
      <c r="N7" s="180">
        <f t="shared" ref="N7" si="1">ROUND(J7*(K7),)+ROUND(L7+M7,)</f>
        <v>0</v>
      </c>
    </row>
    <row r="8" spans="3:14" ht="18" customHeight="1">
      <c r="D8" s="176"/>
      <c r="E8" s="177" t="s">
        <v>218</v>
      </c>
      <c r="F8" s="178">
        <f>T_IS!I120</f>
        <v>-255705283</v>
      </c>
      <c r="G8" s="178">
        <v>0</v>
      </c>
      <c r="H8" s="178">
        <v>0</v>
      </c>
      <c r="I8" s="178">
        <v>0</v>
      </c>
      <c r="J8" s="178">
        <f>SUM(F8:I8)</f>
        <v>-255705283</v>
      </c>
      <c r="K8" s="179">
        <f>NCE!L6</f>
        <v>0</v>
      </c>
      <c r="L8" s="178">
        <v>0</v>
      </c>
      <c r="M8" s="178"/>
      <c r="N8" s="180">
        <f>ROUND(J8*(K8),)+ROUND(L8+M8,)</f>
        <v>0</v>
      </c>
    </row>
    <row r="9" spans="3:14" ht="18" customHeight="1">
      <c r="D9" s="176"/>
      <c r="E9" s="177" t="s">
        <v>214</v>
      </c>
      <c r="F9" s="178">
        <f>T_IS!J120</f>
        <v>3467979714</v>
      </c>
      <c r="G9" s="178">
        <v>0</v>
      </c>
      <c r="H9" s="178">
        <v>0</v>
      </c>
      <c r="I9" s="178">
        <v>0</v>
      </c>
      <c r="J9" s="178">
        <f t="shared" ref="J9:J13" si="2">SUM(F9:I9)</f>
        <v>3467979714</v>
      </c>
      <c r="K9" s="179">
        <f>NCE!L7</f>
        <v>0</v>
      </c>
      <c r="L9" s="178">
        <v>0</v>
      </c>
      <c r="M9" s="178"/>
      <c r="N9" s="180">
        <f t="shared" ref="N9:N13" si="3">ROUND(J9*(K9),)+ROUND(L9+M9,)</f>
        <v>0</v>
      </c>
    </row>
    <row r="10" spans="3:14" ht="18" customHeight="1">
      <c r="D10" s="176"/>
      <c r="E10" s="177" t="s">
        <v>215</v>
      </c>
      <c r="F10" s="178">
        <f>T_IS!K120</f>
        <v>-1424965015</v>
      </c>
      <c r="G10" s="178">
        <v>0</v>
      </c>
      <c r="H10" s="178">
        <v>0</v>
      </c>
      <c r="I10" s="178">
        <v>0</v>
      </c>
      <c r="J10" s="178">
        <f t="shared" si="2"/>
        <v>-1424965015</v>
      </c>
      <c r="K10" s="179">
        <f>NCE!L8</f>
        <v>0</v>
      </c>
      <c r="L10" s="178">
        <v>0</v>
      </c>
      <c r="M10" s="178"/>
      <c r="N10" s="180">
        <f t="shared" si="3"/>
        <v>0</v>
      </c>
    </row>
    <row r="11" spans="3:14" ht="18" customHeight="1">
      <c r="D11" s="176"/>
      <c r="E11" s="177" t="s">
        <v>216</v>
      </c>
      <c r="F11" s="178">
        <f>T_IS!L120</f>
        <v>516070419</v>
      </c>
      <c r="G11" s="178">
        <v>0</v>
      </c>
      <c r="H11" s="178">
        <v>0</v>
      </c>
      <c r="I11" s="178">
        <v>0</v>
      </c>
      <c r="J11" s="178">
        <f t="shared" si="2"/>
        <v>516070419</v>
      </c>
      <c r="K11" s="179">
        <f>NCE!L9</f>
        <v>0</v>
      </c>
      <c r="L11" s="178">
        <v>0</v>
      </c>
      <c r="M11" s="178"/>
      <c r="N11" s="180">
        <f t="shared" si="3"/>
        <v>0</v>
      </c>
    </row>
    <row r="12" spans="3:14" ht="18" customHeight="1">
      <c r="D12" s="176"/>
      <c r="E12" s="177" t="s">
        <v>534</v>
      </c>
      <c r="F12" s="178">
        <v>0</v>
      </c>
      <c r="G12" s="178">
        <f>'2.0'!F32</f>
        <v>0</v>
      </c>
      <c r="H12" s="178">
        <v>0</v>
      </c>
      <c r="I12" s="178">
        <v>0</v>
      </c>
      <c r="J12" s="178">
        <f>SUM(G12:I12)</f>
        <v>0</v>
      </c>
      <c r="K12" s="179">
        <v>0</v>
      </c>
      <c r="L12" s="178">
        <v>0</v>
      </c>
      <c r="M12" s="178"/>
      <c r="N12" s="180">
        <f t="shared" si="3"/>
        <v>0</v>
      </c>
    </row>
    <row r="13" spans="3:14" ht="18" customHeight="1" thickBot="1">
      <c r="D13" s="176"/>
      <c r="E13" s="177" t="s">
        <v>217</v>
      </c>
      <c r="F13" s="178">
        <f>T_IS!N120</f>
        <v>-4508613933</v>
      </c>
      <c r="G13" s="178">
        <v>0</v>
      </c>
      <c r="H13" s="178">
        <v>0</v>
      </c>
      <c r="I13" s="178">
        <v>0</v>
      </c>
      <c r="J13" s="178">
        <f t="shared" si="2"/>
        <v>-4508613933</v>
      </c>
      <c r="K13" s="179">
        <f>NCE!L11</f>
        <v>0</v>
      </c>
      <c r="L13" s="178">
        <v>0</v>
      </c>
      <c r="M13" s="178"/>
      <c r="N13" s="180">
        <f t="shared" si="3"/>
        <v>0</v>
      </c>
    </row>
    <row r="14" spans="3:14" ht="18" customHeight="1" thickBot="1">
      <c r="E14" s="181" t="s">
        <v>596</v>
      </c>
      <c r="F14" s="182">
        <f>SUM(F7:F13)</f>
        <v>-50786390174</v>
      </c>
      <c r="G14" s="182">
        <f t="shared" ref="G14:J14" si="4">SUM(G7:G13)</f>
        <v>0</v>
      </c>
      <c r="H14" s="182">
        <f t="shared" si="4"/>
        <v>0</v>
      </c>
      <c r="I14" s="182">
        <f t="shared" si="4"/>
        <v>0</v>
      </c>
      <c r="J14" s="182">
        <f t="shared" si="4"/>
        <v>-50786390174</v>
      </c>
      <c r="K14" s="182"/>
      <c r="L14" s="182"/>
      <c r="M14" s="182"/>
      <c r="N14" s="183">
        <f t="shared" ref="N14" si="5">SUM(N7:N13)</f>
        <v>0</v>
      </c>
    </row>
    <row r="15" spans="3:14" ht="18" customHeight="1">
      <c r="E15" s="184" t="s">
        <v>597</v>
      </c>
      <c r="F15" s="170">
        <f>T_IS!O120</f>
        <v>-50786390174</v>
      </c>
      <c r="L15" s="170">
        <v>0</v>
      </c>
    </row>
    <row r="16" spans="3:14" ht="18" customHeight="1">
      <c r="E16" s="184" t="s">
        <v>598</v>
      </c>
      <c r="F16" s="170">
        <f>F14-F15</f>
        <v>0</v>
      </c>
      <c r="L16" s="170">
        <f>L14-L15</f>
        <v>0</v>
      </c>
    </row>
    <row r="18" spans="3:17" ht="18" customHeight="1" thickBot="1">
      <c r="C18" s="170">
        <v>2</v>
      </c>
      <c r="D18" s="170" t="s">
        <v>599</v>
      </c>
    </row>
    <row r="19" spans="3:17" ht="18" customHeight="1" thickBot="1">
      <c r="E19" s="185" t="s">
        <v>585</v>
      </c>
      <c r="F19" s="186" t="s">
        <v>600</v>
      </c>
      <c r="G19" s="186" t="s">
        <v>601</v>
      </c>
      <c r="H19" s="186" t="s">
        <v>602</v>
      </c>
      <c r="I19" s="186" t="s">
        <v>603</v>
      </c>
      <c r="J19" s="186" t="s">
        <v>604</v>
      </c>
      <c r="K19" s="186" t="s">
        <v>605</v>
      </c>
      <c r="L19" s="186" t="s">
        <v>606</v>
      </c>
      <c r="M19" s="186" t="s">
        <v>607</v>
      </c>
      <c r="N19" s="186" t="s">
        <v>608</v>
      </c>
      <c r="O19" s="186" t="s">
        <v>609</v>
      </c>
      <c r="P19" s="186" t="s">
        <v>610</v>
      </c>
      <c r="Q19" s="187" t="s">
        <v>611</v>
      </c>
    </row>
    <row r="20" spans="3:17" ht="18" customHeight="1">
      <c r="E20" s="177" t="s">
        <v>582</v>
      </c>
      <c r="F20" s="178">
        <v>0</v>
      </c>
      <c r="G20" s="178">
        <f t="shared" ref="G20" si="6">N7</f>
        <v>0</v>
      </c>
      <c r="H20" s="178">
        <v>0</v>
      </c>
      <c r="I20" s="178">
        <v>0</v>
      </c>
      <c r="J20" s="178">
        <v>0</v>
      </c>
      <c r="K20" s="178">
        <v>0</v>
      </c>
      <c r="L20" s="178">
        <v>0</v>
      </c>
      <c r="M20" s="178">
        <v>0</v>
      </c>
      <c r="N20" s="178">
        <v>0</v>
      </c>
      <c r="O20" s="178">
        <v>0</v>
      </c>
      <c r="P20" s="178">
        <f t="shared" ref="P20:P26" si="7">SUM(F20:O20)</f>
        <v>0</v>
      </c>
      <c r="Q20" s="180">
        <f>NCE!U5</f>
        <v>0</v>
      </c>
    </row>
    <row r="21" spans="3:17" ht="18" customHeight="1">
      <c r="E21" s="177" t="s">
        <v>218</v>
      </c>
      <c r="F21" s="178">
        <v>0</v>
      </c>
      <c r="G21" s="178">
        <f>N8</f>
        <v>0</v>
      </c>
      <c r="H21" s="178">
        <v>0</v>
      </c>
      <c r="I21" s="178">
        <v>0</v>
      </c>
      <c r="J21" s="178">
        <v>0</v>
      </c>
      <c r="K21" s="178">
        <v>0</v>
      </c>
      <c r="L21" s="178">
        <v>0</v>
      </c>
      <c r="M21" s="178">
        <v>0</v>
      </c>
      <c r="N21" s="178">
        <v>0</v>
      </c>
      <c r="O21" s="178">
        <v>0</v>
      </c>
      <c r="P21" s="178">
        <f t="shared" si="7"/>
        <v>0</v>
      </c>
      <c r="Q21" s="180">
        <f>NCE!U6</f>
        <v>0</v>
      </c>
    </row>
    <row r="22" spans="3:17" ht="18" customHeight="1">
      <c r="E22" s="177" t="s">
        <v>214</v>
      </c>
      <c r="F22" s="178">
        <v>0</v>
      </c>
      <c r="G22" s="178">
        <f t="shared" ref="G22:G26" si="8">N9</f>
        <v>0</v>
      </c>
      <c r="H22" s="178">
        <v>0</v>
      </c>
      <c r="I22" s="178">
        <v>0</v>
      </c>
      <c r="J22" s="178">
        <v>0</v>
      </c>
      <c r="K22" s="178">
        <v>0</v>
      </c>
      <c r="L22" s="178">
        <v>0</v>
      </c>
      <c r="M22" s="178">
        <v>0</v>
      </c>
      <c r="N22" s="178">
        <v>0</v>
      </c>
      <c r="O22" s="178">
        <v>0</v>
      </c>
      <c r="P22" s="178">
        <f t="shared" si="7"/>
        <v>0</v>
      </c>
      <c r="Q22" s="180">
        <f>NCE!U7</f>
        <v>0</v>
      </c>
    </row>
    <row r="23" spans="3:17" ht="18" customHeight="1">
      <c r="E23" s="177" t="s">
        <v>215</v>
      </c>
      <c r="F23" s="178">
        <v>0</v>
      </c>
      <c r="G23" s="178">
        <f t="shared" si="8"/>
        <v>0</v>
      </c>
      <c r="H23" s="178">
        <v>0</v>
      </c>
      <c r="I23" s="178">
        <v>0</v>
      </c>
      <c r="J23" s="178">
        <v>0</v>
      </c>
      <c r="K23" s="178">
        <v>0</v>
      </c>
      <c r="L23" s="178">
        <v>0</v>
      </c>
      <c r="M23" s="178">
        <v>0</v>
      </c>
      <c r="N23" s="178">
        <v>0</v>
      </c>
      <c r="O23" s="178">
        <v>0</v>
      </c>
      <c r="P23" s="178">
        <f t="shared" si="7"/>
        <v>0</v>
      </c>
      <c r="Q23" s="180">
        <f>NCE!U8</f>
        <v>0</v>
      </c>
    </row>
    <row r="24" spans="3:17" ht="18" customHeight="1">
      <c r="E24" s="177" t="s">
        <v>216</v>
      </c>
      <c r="F24" s="178">
        <v>0</v>
      </c>
      <c r="G24" s="178">
        <f t="shared" si="8"/>
        <v>0</v>
      </c>
      <c r="H24" s="178">
        <v>0</v>
      </c>
      <c r="I24" s="178">
        <v>0</v>
      </c>
      <c r="J24" s="178">
        <v>0</v>
      </c>
      <c r="K24" s="178">
        <v>0</v>
      </c>
      <c r="L24" s="178">
        <v>0</v>
      </c>
      <c r="M24" s="178">
        <v>0</v>
      </c>
      <c r="N24" s="178">
        <v>0</v>
      </c>
      <c r="O24" s="178">
        <v>0</v>
      </c>
      <c r="P24" s="178">
        <f t="shared" si="7"/>
        <v>0</v>
      </c>
      <c r="Q24" s="180">
        <f>NCE!U9</f>
        <v>0</v>
      </c>
    </row>
    <row r="25" spans="3:17" ht="18" customHeight="1">
      <c r="E25" s="177" t="s">
        <v>534</v>
      </c>
      <c r="F25" s="178">
        <v>0</v>
      </c>
      <c r="G25" s="178">
        <f t="shared" si="8"/>
        <v>0</v>
      </c>
      <c r="H25" s="178">
        <v>0</v>
      </c>
      <c r="I25" s="178">
        <v>0</v>
      </c>
      <c r="J25" s="178">
        <v>0</v>
      </c>
      <c r="K25" s="178">
        <v>0</v>
      </c>
      <c r="L25" s="178">
        <v>0</v>
      </c>
      <c r="M25" s="178">
        <v>0</v>
      </c>
      <c r="N25" s="178">
        <v>0</v>
      </c>
      <c r="O25" s="178">
        <v>0</v>
      </c>
      <c r="P25" s="178">
        <f t="shared" si="7"/>
        <v>0</v>
      </c>
      <c r="Q25" s="180">
        <f>NCE!U10</f>
        <v>0</v>
      </c>
    </row>
    <row r="26" spans="3:17" ht="18" customHeight="1" thickBot="1">
      <c r="E26" s="188" t="s">
        <v>217</v>
      </c>
      <c r="F26" s="189">
        <v>0</v>
      </c>
      <c r="G26" s="178">
        <f t="shared" si="8"/>
        <v>0</v>
      </c>
      <c r="H26" s="189">
        <v>0</v>
      </c>
      <c r="I26" s="189">
        <v>0</v>
      </c>
      <c r="J26" s="189">
        <v>0</v>
      </c>
      <c r="K26" s="189">
        <v>0</v>
      </c>
      <c r="L26" s="189">
        <v>0</v>
      </c>
      <c r="M26" s="189">
        <v>0</v>
      </c>
      <c r="N26" s="189">
        <v>0</v>
      </c>
      <c r="O26" s="189">
        <v>0</v>
      </c>
      <c r="P26" s="178">
        <f t="shared" si="7"/>
        <v>0</v>
      </c>
      <c r="Q26" s="180">
        <f>NCE!U11</f>
        <v>0</v>
      </c>
    </row>
    <row r="27" spans="3:17" ht="18" customHeight="1" thickBot="1">
      <c r="E27" s="190"/>
      <c r="F27" s="182">
        <f t="shared" ref="F27:Q27" si="9">SUM(F20:F26)</f>
        <v>0</v>
      </c>
      <c r="G27" s="182">
        <f t="shared" si="9"/>
        <v>0</v>
      </c>
      <c r="H27" s="182">
        <f t="shared" si="9"/>
        <v>0</v>
      </c>
      <c r="I27" s="182">
        <f t="shared" si="9"/>
        <v>0</v>
      </c>
      <c r="J27" s="182">
        <f>SUM(J20:J26)</f>
        <v>0</v>
      </c>
      <c r="K27" s="182">
        <f>SUM(K20:K26)</f>
        <v>0</v>
      </c>
      <c r="L27" s="182">
        <f t="shared" si="9"/>
        <v>0</v>
      </c>
      <c r="M27" s="182">
        <f t="shared" si="9"/>
        <v>0</v>
      </c>
      <c r="N27" s="182">
        <f t="shared" si="9"/>
        <v>0</v>
      </c>
      <c r="O27" s="182">
        <f t="shared" si="9"/>
        <v>0</v>
      </c>
      <c r="P27" s="182">
        <f t="shared" si="9"/>
        <v>0</v>
      </c>
      <c r="Q27" s="183">
        <f t="shared" si="9"/>
        <v>0</v>
      </c>
    </row>
    <row r="28" spans="3:17" ht="18" customHeight="1">
      <c r="H28" s="191"/>
      <c r="J28" s="191"/>
      <c r="K28" s="191"/>
      <c r="M28" s="184"/>
    </row>
    <row r="29" spans="3:17" ht="18" customHeight="1">
      <c r="E29" s="170" t="s">
        <v>612</v>
      </c>
      <c r="F29" s="170">
        <v>-48627525337</v>
      </c>
    </row>
    <row r="30" spans="3:17" ht="18" customHeight="1">
      <c r="E30" s="170" t="s">
        <v>613</v>
      </c>
      <c r="F30" s="170">
        <f>F29-G27</f>
        <v>-48627525337</v>
      </c>
    </row>
    <row r="31" spans="3:17" ht="18" customHeight="1" thickBot="1">
      <c r="E31" s="170" t="s">
        <v>614</v>
      </c>
    </row>
    <row r="32" spans="3:17" ht="18" customHeight="1" thickBot="1">
      <c r="E32" s="192"/>
      <c r="F32" s="193">
        <f>SUM(F30:F31)</f>
        <v>-48627525337</v>
      </c>
    </row>
  </sheetData>
  <mergeCells count="4">
    <mergeCell ref="E5:E6"/>
    <mergeCell ref="F5:F6"/>
    <mergeCell ref="G5:I5"/>
    <mergeCell ref="L5:M5"/>
  </mergeCells>
  <phoneticPr fontId="18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D4:N15"/>
  <sheetViews>
    <sheetView showGridLines="0" workbookViewId="0">
      <selection activeCell="E5" sqref="A5:XFD5"/>
    </sheetView>
  </sheetViews>
  <sheetFormatPr defaultColWidth="8.75" defaultRowHeight="18" customHeight="1"/>
  <cols>
    <col min="1" max="3" width="2.375" style="3" customWidth="1"/>
    <col min="4" max="9" width="20.375" style="3" customWidth="1"/>
    <col min="10" max="14" width="20.375" style="5" customWidth="1"/>
    <col min="15" max="16" width="20.375" style="3" customWidth="1"/>
    <col min="17" max="16384" width="8.75" style="3"/>
  </cols>
  <sheetData>
    <row r="4" spans="4:14" s="2" customFormat="1" ht="18" customHeight="1" thickBot="1">
      <c r="D4" s="2" t="s">
        <v>1596</v>
      </c>
      <c r="E4" s="2" t="s">
        <v>1597</v>
      </c>
      <c r="J4" s="4"/>
      <c r="K4" s="4"/>
      <c r="L4" s="4"/>
      <c r="M4" s="4"/>
      <c r="N4" s="4"/>
    </row>
    <row r="5" spans="4:14" s="1" customFormat="1" ht="18" customHeight="1" thickBot="1">
      <c r="D5" s="21" t="s">
        <v>1598</v>
      </c>
      <c r="E5" s="22" t="s">
        <v>1599</v>
      </c>
      <c r="F5" s="22" t="s">
        <v>1600</v>
      </c>
      <c r="G5" s="22" t="s">
        <v>1601</v>
      </c>
      <c r="H5" s="22" t="s">
        <v>1602</v>
      </c>
      <c r="I5" s="22" t="s">
        <v>1603</v>
      </c>
      <c r="J5" s="23" t="s">
        <v>1604</v>
      </c>
      <c r="K5" s="23" t="s">
        <v>1605</v>
      </c>
      <c r="L5" s="24" t="s">
        <v>1606</v>
      </c>
      <c r="M5" s="8"/>
      <c r="N5" s="8"/>
    </row>
    <row r="6" spans="4:14" ht="18" customHeight="1">
      <c r="D6" s="19" t="s">
        <v>1607</v>
      </c>
      <c r="E6" s="25" t="s">
        <v>1622</v>
      </c>
      <c r="F6" s="6" t="s">
        <v>637</v>
      </c>
      <c r="G6" s="6" t="s">
        <v>1608</v>
      </c>
      <c r="H6" s="6" t="s">
        <v>49</v>
      </c>
      <c r="I6" s="6" t="s">
        <v>475</v>
      </c>
      <c r="J6" s="7"/>
      <c r="K6" s="7"/>
      <c r="L6" s="15"/>
    </row>
    <row r="7" spans="4:14" ht="18" customHeight="1">
      <c r="D7" s="19" t="s">
        <v>1607</v>
      </c>
      <c r="E7" s="25" t="s">
        <v>1622</v>
      </c>
      <c r="F7" s="6" t="s">
        <v>637</v>
      </c>
      <c r="G7" s="6" t="s">
        <v>1609</v>
      </c>
      <c r="H7" s="6" t="s">
        <v>1610</v>
      </c>
      <c r="I7" s="6" t="s">
        <v>475</v>
      </c>
      <c r="J7" s="7"/>
      <c r="K7" s="7"/>
      <c r="L7" s="15"/>
    </row>
    <row r="8" spans="4:14" ht="18" customHeight="1">
      <c r="D8" s="19" t="s">
        <v>1607</v>
      </c>
      <c r="E8" s="25" t="s">
        <v>1622</v>
      </c>
      <c r="F8" s="6" t="s">
        <v>637</v>
      </c>
      <c r="G8" s="6" t="s">
        <v>1611</v>
      </c>
      <c r="H8" s="6" t="s">
        <v>1612</v>
      </c>
      <c r="I8" s="6" t="s">
        <v>475</v>
      </c>
      <c r="J8" s="7"/>
      <c r="K8" s="7"/>
      <c r="L8" s="15"/>
    </row>
    <row r="9" spans="4:14" ht="18" customHeight="1">
      <c r="D9" s="19" t="s">
        <v>1607</v>
      </c>
      <c r="E9" s="25" t="s">
        <v>1622</v>
      </c>
      <c r="F9" s="6" t="s">
        <v>637</v>
      </c>
      <c r="G9" s="6" t="s">
        <v>1613</v>
      </c>
      <c r="H9" s="6" t="s">
        <v>1614</v>
      </c>
      <c r="I9" s="6" t="s">
        <v>475</v>
      </c>
      <c r="J9" s="7"/>
      <c r="K9" s="7"/>
      <c r="L9" s="15"/>
    </row>
    <row r="10" spans="4:14" ht="18" customHeight="1">
      <c r="D10" s="19" t="s">
        <v>1607</v>
      </c>
      <c r="E10" s="25" t="s">
        <v>1622</v>
      </c>
      <c r="F10" s="6" t="s">
        <v>637</v>
      </c>
      <c r="G10" s="6" t="s">
        <v>1615</v>
      </c>
      <c r="H10" s="6" t="s">
        <v>47</v>
      </c>
      <c r="I10" s="6" t="s">
        <v>475</v>
      </c>
      <c r="J10" s="7"/>
      <c r="K10" s="7"/>
      <c r="L10" s="15"/>
    </row>
    <row r="11" spans="4:14" ht="18" customHeight="1">
      <c r="D11" s="19" t="s">
        <v>1607</v>
      </c>
      <c r="E11" s="25" t="s">
        <v>1622</v>
      </c>
      <c r="F11" s="6" t="s">
        <v>637</v>
      </c>
      <c r="G11" s="6" t="s">
        <v>1616</v>
      </c>
      <c r="H11" s="6" t="s">
        <v>45</v>
      </c>
      <c r="I11" s="6" t="s">
        <v>475</v>
      </c>
      <c r="J11" s="7"/>
      <c r="K11" s="7"/>
      <c r="L11" s="15"/>
    </row>
    <row r="12" spans="4:14" ht="18" customHeight="1">
      <c r="D12" s="19" t="s">
        <v>1607</v>
      </c>
      <c r="E12" s="25" t="s">
        <v>1622</v>
      </c>
      <c r="F12" s="6" t="s">
        <v>637</v>
      </c>
      <c r="G12" s="6" t="s">
        <v>1617</v>
      </c>
      <c r="H12" s="6" t="s">
        <v>43</v>
      </c>
      <c r="I12" s="6" t="s">
        <v>475</v>
      </c>
      <c r="J12" s="7" t="e">
        <f>T_BS!#REF!</f>
        <v>#REF!</v>
      </c>
      <c r="K12" s="7">
        <f>SUM(T_BS!AA38:AA39)</f>
        <v>1770919474</v>
      </c>
      <c r="L12" s="15" t="e">
        <f>J12-K12</f>
        <v>#REF!</v>
      </c>
    </row>
    <row r="13" spans="4:14" ht="18" customHeight="1">
      <c r="D13" s="19" t="s">
        <v>1607</v>
      </c>
      <c r="E13" s="25" t="s">
        <v>1622</v>
      </c>
      <c r="F13" s="6" t="s">
        <v>637</v>
      </c>
      <c r="G13" s="6" t="s">
        <v>1618</v>
      </c>
      <c r="H13" s="6" t="s">
        <v>1619</v>
      </c>
      <c r="I13" s="6" t="s">
        <v>475</v>
      </c>
      <c r="J13" s="7"/>
      <c r="K13" s="7"/>
      <c r="L13" s="15">
        <v>0</v>
      </c>
    </row>
    <row r="14" spans="4:14" ht="18" customHeight="1">
      <c r="D14" s="19" t="s">
        <v>1607</v>
      </c>
      <c r="E14" s="25" t="s">
        <v>1622</v>
      </c>
      <c r="F14" s="6" t="s">
        <v>637</v>
      </c>
      <c r="G14" s="6" t="s">
        <v>1620</v>
      </c>
      <c r="H14" s="6" t="s">
        <v>51</v>
      </c>
      <c r="I14" s="6" t="s">
        <v>475</v>
      </c>
      <c r="J14" s="7"/>
      <c r="K14" s="7"/>
      <c r="L14" s="15">
        <v>0</v>
      </c>
    </row>
    <row r="15" spans="4:14" ht="18" customHeight="1" thickBot="1">
      <c r="D15" s="20" t="s">
        <v>1607</v>
      </c>
      <c r="E15" s="26" t="s">
        <v>1622</v>
      </c>
      <c r="F15" s="18" t="s">
        <v>637</v>
      </c>
      <c r="G15" s="18" t="s">
        <v>1621</v>
      </c>
      <c r="H15" s="18" t="s">
        <v>542</v>
      </c>
      <c r="I15" s="18" t="s">
        <v>475</v>
      </c>
      <c r="J15" s="16"/>
      <c r="K15" s="16"/>
      <c r="L15" s="17">
        <v>0</v>
      </c>
    </row>
  </sheetData>
  <phoneticPr fontId="18" type="noConversion"/>
  <pageMargins left="0.7" right="0.7" top="0.75" bottom="0.75" header="0.3" footer="0.3"/>
  <pageSetup paperSize="9" orientation="portrait" r:id="rId1"/>
  <ignoredErrors>
    <ignoredError sqref="D6:D15 E6:E1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D229"/>
  <sheetViews>
    <sheetView showGridLines="0" zoomScale="85" zoomScaleNormal="85" workbookViewId="0">
      <pane xSplit="7" ySplit="6" topLeftCell="S76" activePane="bottomRight" state="frozen"/>
      <selection sqref="A1:XFD1048576"/>
      <selection pane="topRight" sqref="A1:XFD1048576"/>
      <selection pane="bottomLeft" sqref="A1:XFD1048576"/>
      <selection pane="bottomRight" activeCell="AA132" sqref="AA132"/>
    </sheetView>
  </sheetViews>
  <sheetFormatPr defaultColWidth="8.75" defaultRowHeight="18" customHeight="1" outlineLevelCol="1"/>
  <cols>
    <col min="1" max="1" width="2.75" style="30" customWidth="1"/>
    <col min="2" max="3" width="2.75" style="164" customWidth="1"/>
    <col min="4" max="4" width="20.125" style="158" customWidth="1"/>
    <col min="5" max="5" width="20.125" style="30" customWidth="1"/>
    <col min="6" max="6" width="20.125" style="158" customWidth="1"/>
    <col min="7" max="7" width="20.125" style="30" customWidth="1"/>
    <col min="8" max="14" width="19.125" style="28" customWidth="1" outlineLevel="1"/>
    <col min="15" max="15" width="19.125" style="28" customWidth="1"/>
    <col min="16" max="16" width="2.25" style="233" customWidth="1"/>
    <col min="17" max="24" width="18.25" style="28" customWidth="1" outlineLevel="1"/>
    <col min="25" max="25" width="18.25" style="28" customWidth="1"/>
    <col min="26" max="26" width="2.125" style="30" customWidth="1"/>
    <col min="27" max="27" width="18.25" style="28" customWidth="1"/>
    <col min="28" max="28" width="1.875" style="30" customWidth="1"/>
    <col min="29" max="29" width="15.75" style="619" customWidth="1"/>
    <col min="30" max="30" width="13.875" style="30" bestFit="1" customWidth="1"/>
    <col min="31" max="16384" width="8.75" style="30"/>
  </cols>
  <sheetData>
    <row r="1" spans="1:29" ht="17.100000000000001" customHeight="1">
      <c r="P1" s="28"/>
      <c r="Z1" s="28"/>
    </row>
    <row r="2" spans="1:29" ht="17.100000000000001" customHeight="1">
      <c r="P2" s="28"/>
      <c r="Z2" s="28"/>
    </row>
    <row r="3" spans="1:29" s="620" customFormat="1" ht="17.100000000000001" customHeight="1">
      <c r="B3" s="471"/>
      <c r="C3" s="471"/>
      <c r="D3" s="621"/>
      <c r="F3" s="621"/>
      <c r="H3" s="27"/>
      <c r="I3" s="27"/>
      <c r="J3" s="595"/>
      <c r="K3" s="27"/>
      <c r="L3" s="27"/>
      <c r="M3" s="27"/>
      <c r="N3" s="27"/>
      <c r="O3" s="27"/>
      <c r="P3" s="622"/>
      <c r="Q3" s="27"/>
      <c r="R3" s="27"/>
      <c r="S3" s="27"/>
      <c r="T3" s="27"/>
      <c r="U3" s="27"/>
      <c r="V3" s="27"/>
      <c r="W3" s="682"/>
      <c r="X3" s="27"/>
      <c r="Y3" s="27"/>
      <c r="AA3" s="27"/>
    </row>
    <row r="4" spans="1:29" s="621" customFormat="1" ht="17.100000000000001" customHeight="1">
      <c r="B4" s="595"/>
      <c r="C4" s="595"/>
      <c r="F4" s="623"/>
      <c r="H4" s="536" t="s">
        <v>1636</v>
      </c>
      <c r="I4" s="536" t="s">
        <v>1636</v>
      </c>
      <c r="J4" s="624" t="s">
        <v>535</v>
      </c>
      <c r="K4" s="624" t="s">
        <v>535</v>
      </c>
      <c r="L4" s="536" t="s">
        <v>1636</v>
      </c>
      <c r="M4" s="536" t="s">
        <v>535</v>
      </c>
      <c r="N4" s="624" t="s">
        <v>535</v>
      </c>
      <c r="O4" s="536"/>
      <c r="P4" s="625"/>
      <c r="Q4" s="536"/>
      <c r="R4" s="536"/>
      <c r="S4" s="536"/>
      <c r="T4" s="536"/>
      <c r="U4" s="626"/>
      <c r="V4" s="536"/>
      <c r="W4" s="536"/>
      <c r="X4" s="536"/>
      <c r="Y4" s="536"/>
      <c r="AA4" s="536"/>
    </row>
    <row r="5" spans="1:29" s="621" customFormat="1" ht="18" customHeight="1" thickBot="1">
      <c r="B5" s="595"/>
      <c r="C5" s="595"/>
      <c r="F5" s="623"/>
      <c r="H5" s="536" t="b">
        <f>H7-H227=0</f>
        <v>1</v>
      </c>
      <c r="I5" s="536" t="b">
        <f>I7=I227</f>
        <v>1</v>
      </c>
      <c r="J5" s="624" t="s">
        <v>1907</v>
      </c>
      <c r="K5" s="624" t="s">
        <v>1908</v>
      </c>
      <c r="L5" s="536">
        <f>L7-L227</f>
        <v>0</v>
      </c>
      <c r="M5" s="536">
        <f>M7-M227</f>
        <v>0</v>
      </c>
      <c r="N5" s="624" t="s">
        <v>1909</v>
      </c>
      <c r="O5" s="536">
        <f>O7-O227</f>
        <v>0</v>
      </c>
      <c r="P5" s="625"/>
      <c r="Q5" s="536">
        <f t="shared" ref="Q5:Y5" si="0">Q7-Q227</f>
        <v>0</v>
      </c>
      <c r="R5" s="536">
        <f t="shared" si="0"/>
        <v>0</v>
      </c>
      <c r="S5" s="536">
        <f t="shared" si="0"/>
        <v>0</v>
      </c>
      <c r="T5" s="536">
        <f t="shared" si="0"/>
        <v>0</v>
      </c>
      <c r="U5" s="536">
        <f t="shared" si="0"/>
        <v>0</v>
      </c>
      <c r="V5" s="536">
        <f t="shared" si="0"/>
        <v>0</v>
      </c>
      <c r="W5" s="536">
        <f t="shared" si="0"/>
        <v>0</v>
      </c>
      <c r="X5" s="536">
        <f t="shared" si="0"/>
        <v>0</v>
      </c>
      <c r="Y5" s="536">
        <f t="shared" si="0"/>
        <v>0</v>
      </c>
      <c r="AA5" s="536">
        <f>AA7-AA227</f>
        <v>0</v>
      </c>
    </row>
    <row r="6" spans="1:29" s="627" customFormat="1" ht="30.95" customHeight="1">
      <c r="B6" s="628"/>
      <c r="C6" s="628"/>
      <c r="D6" s="493" t="s">
        <v>16</v>
      </c>
      <c r="E6" s="494" t="s">
        <v>17</v>
      </c>
      <c r="F6" s="494" t="s">
        <v>18</v>
      </c>
      <c r="G6" s="494" t="s">
        <v>19</v>
      </c>
      <c r="H6" s="322" t="s">
        <v>15</v>
      </c>
      <c r="I6" s="322" t="s">
        <v>218</v>
      </c>
      <c r="J6" s="322" t="s">
        <v>214</v>
      </c>
      <c r="K6" s="322" t="s">
        <v>215</v>
      </c>
      <c r="L6" s="322" t="s">
        <v>216</v>
      </c>
      <c r="M6" s="322" t="s">
        <v>534</v>
      </c>
      <c r="N6" s="322" t="s">
        <v>217</v>
      </c>
      <c r="O6" s="323" t="s">
        <v>228</v>
      </c>
      <c r="P6" s="629"/>
      <c r="Q6" s="630" t="s">
        <v>392</v>
      </c>
      <c r="R6" s="322" t="s">
        <v>404</v>
      </c>
      <c r="S6" s="322" t="s">
        <v>405</v>
      </c>
      <c r="T6" s="322" t="s">
        <v>411</v>
      </c>
      <c r="U6" s="322" t="s">
        <v>412</v>
      </c>
      <c r="V6" s="322" t="s">
        <v>491</v>
      </c>
      <c r="W6" s="322" t="s">
        <v>494</v>
      </c>
      <c r="X6" s="322" t="s">
        <v>495</v>
      </c>
      <c r="Y6" s="323" t="s">
        <v>493</v>
      </c>
      <c r="AA6" s="598" t="s">
        <v>502</v>
      </c>
      <c r="AC6" s="631"/>
    </row>
    <row r="7" spans="1:29" ht="18" customHeight="1">
      <c r="A7" s="28"/>
      <c r="D7" s="579"/>
      <c r="E7" s="580"/>
      <c r="F7" s="581"/>
      <c r="G7" s="580" t="s">
        <v>0</v>
      </c>
      <c r="H7" s="46">
        <f>SUM(H8,H68)</f>
        <v>164361524556</v>
      </c>
      <c r="I7" s="46">
        <f>SUM(I8,I68)</f>
        <v>2042247554</v>
      </c>
      <c r="J7" s="46">
        <f>SUM(J8,J68)</f>
        <v>0</v>
      </c>
      <c r="K7" s="46">
        <f>SUM(K8,K68)</f>
        <v>0</v>
      </c>
      <c r="L7" s="46">
        <f>SUM(L8,L68)</f>
        <v>7342109718</v>
      </c>
      <c r="M7" s="46"/>
      <c r="N7" s="46">
        <f>SUM(N8,N68)</f>
        <v>0</v>
      </c>
      <c r="O7" s="582">
        <f>SUM(O8,O68)</f>
        <v>173745881828</v>
      </c>
      <c r="Q7" s="632">
        <f t="shared" ref="Q7:Y7" si="1">SUM(Q8,Q68)</f>
        <v>19842800</v>
      </c>
      <c r="R7" s="46">
        <f t="shared" si="1"/>
        <v>0</v>
      </c>
      <c r="S7" s="46">
        <f t="shared" si="1"/>
        <v>-1543225326</v>
      </c>
      <c r="T7" s="46">
        <f t="shared" si="1"/>
        <v>-3658730</v>
      </c>
      <c r="U7" s="46">
        <f t="shared" si="1"/>
        <v>7337997894</v>
      </c>
      <c r="V7" s="46">
        <f t="shared" si="1"/>
        <v>0</v>
      </c>
      <c r="W7" s="46">
        <f t="shared" si="1"/>
        <v>0</v>
      </c>
      <c r="X7" s="46">
        <f t="shared" si="1"/>
        <v>-7971283612</v>
      </c>
      <c r="Y7" s="582">
        <f t="shared" si="1"/>
        <v>-2160326974</v>
      </c>
      <c r="AA7" s="633">
        <f>SUM(AA8,AA68)</f>
        <v>171585554854</v>
      </c>
    </row>
    <row r="8" spans="1:29" ht="18" customHeight="1">
      <c r="A8" s="28"/>
      <c r="D8" s="583"/>
      <c r="E8" s="584"/>
      <c r="F8" s="585"/>
      <c r="G8" s="584" t="s">
        <v>20</v>
      </c>
      <c r="H8" s="49">
        <f>SUM(H9,H14,H37,H47,H32,H52,)</f>
        <v>128956260767</v>
      </c>
      <c r="I8" s="49">
        <f>SUM(I9,I14,I37,I47,I32,I52,)</f>
        <v>1988939097</v>
      </c>
      <c r="J8" s="49">
        <f>SUM(J9,J14,J37,J47,J32,J52,)</f>
        <v>0</v>
      </c>
      <c r="K8" s="49">
        <f>SUM(K9,K14,K37,K47,K32,K52,)</f>
        <v>0</v>
      </c>
      <c r="L8" s="49">
        <f>SUM(L9,L14,L37,L47,L32,L52,)</f>
        <v>6870175019</v>
      </c>
      <c r="M8" s="49"/>
      <c r="N8" s="49">
        <f>SUM(N9,N14,N37,N47,N32,N52,)</f>
        <v>0</v>
      </c>
      <c r="O8" s="340">
        <f>SUM(O9,O14,O37,O47,O32,O52,)</f>
        <v>137815374883</v>
      </c>
      <c r="Q8" s="325">
        <f t="shared" ref="Q8:Y8" si="2">SUM(Q9,Q14,Q37,Q47,Q32,Q52,)</f>
        <v>0</v>
      </c>
      <c r="R8" s="49">
        <f t="shared" si="2"/>
        <v>0</v>
      </c>
      <c r="S8" s="49">
        <f t="shared" si="2"/>
        <v>-1543225326</v>
      </c>
      <c r="T8" s="49">
        <f t="shared" si="2"/>
        <v>-3658730</v>
      </c>
      <c r="U8" s="49">
        <f t="shared" si="2"/>
        <v>0</v>
      </c>
      <c r="V8" s="49">
        <f t="shared" si="2"/>
        <v>0</v>
      </c>
      <c r="W8" s="49">
        <f t="shared" si="2"/>
        <v>0</v>
      </c>
      <c r="X8" s="49">
        <f t="shared" si="2"/>
        <v>0</v>
      </c>
      <c r="Y8" s="340">
        <f t="shared" si="2"/>
        <v>-1546884056</v>
      </c>
      <c r="AA8" s="608">
        <f>SUM(AA9,AA14,AA37,AA47,AA32,AA52,)</f>
        <v>136268490827</v>
      </c>
    </row>
    <row r="9" spans="1:29" ht="18" customHeight="1">
      <c r="A9" s="28"/>
      <c r="D9" s="586"/>
      <c r="E9" s="587"/>
      <c r="F9" s="588"/>
      <c r="G9" s="587" t="s">
        <v>1</v>
      </c>
      <c r="H9" s="52">
        <f>SUM(H10:H13)</f>
        <v>83906422015</v>
      </c>
      <c r="I9" s="52">
        <f t="shared" ref="I9:O9" si="3">SUM(I10:I13)</f>
        <v>24842904</v>
      </c>
      <c r="J9" s="52">
        <f t="shared" si="3"/>
        <v>0</v>
      </c>
      <c r="K9" s="52">
        <f t="shared" si="3"/>
        <v>0</v>
      </c>
      <c r="L9" s="52">
        <f t="shared" si="3"/>
        <v>4970127757</v>
      </c>
      <c r="M9" s="52">
        <f t="shared" si="3"/>
        <v>0</v>
      </c>
      <c r="N9" s="52">
        <f t="shared" si="3"/>
        <v>0</v>
      </c>
      <c r="O9" s="589">
        <f t="shared" si="3"/>
        <v>88901392676</v>
      </c>
      <c r="Q9" s="634">
        <f t="shared" ref="Q9" si="4">SUM(Q10:Q13)</f>
        <v>0</v>
      </c>
      <c r="R9" s="52">
        <f t="shared" ref="R9" si="5">SUM(R10:R13)</f>
        <v>0</v>
      </c>
      <c r="S9" s="52">
        <f t="shared" ref="S9" si="6">SUM(S10:S13)</f>
        <v>0</v>
      </c>
      <c r="T9" s="52">
        <f t="shared" ref="T9" si="7">SUM(T10:T13)</f>
        <v>0</v>
      </c>
      <c r="U9" s="52">
        <f t="shared" ref="U9" si="8">SUM(U10:U13)</f>
        <v>0</v>
      </c>
      <c r="V9" s="52">
        <f t="shared" ref="V9" si="9">SUM(V10:V13)</f>
        <v>0</v>
      </c>
      <c r="W9" s="52">
        <f t="shared" ref="W9" si="10">SUM(W10:W13)</f>
        <v>0</v>
      </c>
      <c r="X9" s="52">
        <f t="shared" ref="X9" si="11">SUM(X10:X13)</f>
        <v>0</v>
      </c>
      <c r="Y9" s="589">
        <f t="shared" ref="Y9:AA9" si="12">SUM(Y10:Y13)</f>
        <v>0</v>
      </c>
      <c r="AA9" s="614">
        <f t="shared" si="12"/>
        <v>88901392676</v>
      </c>
    </row>
    <row r="10" spans="1:29" s="233" customFormat="1" ht="18" customHeight="1">
      <c r="A10" s="28"/>
      <c r="B10" s="519"/>
      <c r="C10" s="519"/>
      <c r="D10" s="590" t="s">
        <v>1350</v>
      </c>
      <c r="E10" s="635" t="s">
        <v>1</v>
      </c>
      <c r="F10" s="610">
        <v>1101</v>
      </c>
      <c r="G10" s="519" t="s">
        <v>1352</v>
      </c>
      <c r="H10" s="259">
        <v>0</v>
      </c>
      <c r="I10" s="272">
        <v>0</v>
      </c>
      <c r="J10" s="272"/>
      <c r="K10" s="272"/>
      <c r="L10" s="259">
        <v>0</v>
      </c>
      <c r="M10" s="272"/>
      <c r="N10" s="272"/>
      <c r="O10" s="201">
        <f>SUM(H10:N10)</f>
        <v>0</v>
      </c>
      <c r="Q10" s="636">
        <f>SUMIF('1.0'!$D:$D,T_BS!D10,'1.0'!$J:$J)</f>
        <v>0</v>
      </c>
      <c r="R10" s="259">
        <f>SUMIF('2.0'!$D:$D,T_BS!D10,'2.0'!$J:$J)</f>
        <v>0</v>
      </c>
      <c r="S10" s="272"/>
      <c r="T10" s="272">
        <f>ROUND(SUMIF('4.0'!$D:$D,T_BS!D10,'4.0'!$J:$J),0)</f>
        <v>0</v>
      </c>
      <c r="U10" s="36">
        <f>ROUND(SUMIF('5.0'!$D:$D,T_BS!D10,'5.0'!$J:$J),0)</f>
        <v>0</v>
      </c>
      <c r="V10" s="272">
        <f>ROUND(SUMIF('6.0'!$D:$D,T_BS!D10,'6.0'!$J:$J),0)</f>
        <v>0</v>
      </c>
      <c r="W10" s="272">
        <f>ROUND(SUMIF('7.0'!$D:$D,T_BS!D10,'7.0'!$I:$I),0)</f>
        <v>0</v>
      </c>
      <c r="X10" s="272">
        <f>ROUND(SUMIF('8.0'!$D:$D,T_BS!D10,'8.0'!$H:$H),0)</f>
        <v>0</v>
      </c>
      <c r="Y10" s="201">
        <f t="shared" ref="Y10:Y13" si="13">SUM(Q10:X10)</f>
        <v>0</v>
      </c>
      <c r="AA10" s="215">
        <f>Y10+O10</f>
        <v>0</v>
      </c>
      <c r="AC10" s="637"/>
    </row>
    <row r="11" spans="1:29" s="233" customFormat="1" ht="18" customHeight="1">
      <c r="A11" s="28"/>
      <c r="B11" s="519"/>
      <c r="C11" s="519"/>
      <c r="D11" s="590" t="s">
        <v>1353</v>
      </c>
      <c r="E11" s="635" t="s">
        <v>1</v>
      </c>
      <c r="F11" s="610">
        <v>1101</v>
      </c>
      <c r="G11" s="519" t="s">
        <v>1351</v>
      </c>
      <c r="H11" s="259">
        <v>0</v>
      </c>
      <c r="I11" s="272">
        <v>37227</v>
      </c>
      <c r="J11" s="272"/>
      <c r="K11" s="272"/>
      <c r="L11" s="259">
        <v>108612</v>
      </c>
      <c r="M11" s="272"/>
      <c r="N11" s="272"/>
      <c r="O11" s="201">
        <f t="shared" ref="O11:O13" si="14">SUM(H11:N11)</f>
        <v>145839</v>
      </c>
      <c r="Q11" s="636">
        <f>SUMIF('1.0'!$D:$D,T_BS!D11,'1.0'!$J:$J)</f>
        <v>0</v>
      </c>
      <c r="R11" s="259">
        <f>SUMIF('2.0'!$D:$D,T_BS!D11,'2.0'!$J:$J)</f>
        <v>0</v>
      </c>
      <c r="S11" s="272"/>
      <c r="T11" s="272">
        <f>ROUND(SUMIF('4.0'!$D:$D,T_BS!D11,'4.0'!$J:$J),0)</f>
        <v>0</v>
      </c>
      <c r="U11" s="36">
        <f>ROUND(SUMIF('5.0'!$D:$D,T_BS!D11,'5.0'!$J:$J),0)</f>
        <v>0</v>
      </c>
      <c r="V11" s="272"/>
      <c r="W11" s="272"/>
      <c r="X11" s="272">
        <f>ROUND(SUMIF('8.0'!$D:$D,T_BS!D11,'8.0'!$H:$H),0)</f>
        <v>0</v>
      </c>
      <c r="Y11" s="201">
        <f t="shared" si="13"/>
        <v>0</v>
      </c>
      <c r="AA11" s="215">
        <f t="shared" ref="AA11:AA13" si="15">Y11+O11</f>
        <v>145839</v>
      </c>
      <c r="AC11" s="637"/>
    </row>
    <row r="12" spans="1:29" ht="18" customHeight="1">
      <c r="A12" s="28"/>
      <c r="D12" s="590">
        <v>111151</v>
      </c>
      <c r="E12" s="164" t="s">
        <v>1</v>
      </c>
      <c r="F12" s="166">
        <v>1102</v>
      </c>
      <c r="G12" s="164" t="s">
        <v>21</v>
      </c>
      <c r="H12" s="259">
        <v>65423272185</v>
      </c>
      <c r="I12" s="272">
        <v>0</v>
      </c>
      <c r="J12" s="272"/>
      <c r="K12" s="272"/>
      <c r="L12" s="259">
        <v>0</v>
      </c>
      <c r="M12" s="36"/>
      <c r="N12" s="36"/>
      <c r="O12" s="201">
        <f t="shared" si="14"/>
        <v>65423272185</v>
      </c>
      <c r="Q12" s="636">
        <f>SUMIF('1.0'!$D:$D,T_BS!D12,'1.0'!$J:$J)</f>
        <v>0</v>
      </c>
      <c r="R12" s="259">
        <f>SUMIF('2.0'!$D:$D,T_BS!D12,'2.0'!$J:$J)</f>
        <v>0</v>
      </c>
      <c r="S12" s="36">
        <f>ROUND(SUMIF('3.0'!$D:$D,T_BS!D12,'3.0'!$H:$H),0)</f>
        <v>0</v>
      </c>
      <c r="T12" s="272">
        <f>ROUND(SUMIF('4.0'!$D:$D,T_BS!D12,'4.0'!$J:$J),0)</f>
        <v>0</v>
      </c>
      <c r="U12" s="36">
        <f>ROUND(SUMIF('5.0'!$D:$D,T_BS!D12,'5.0'!$J:$J),0)</f>
        <v>0</v>
      </c>
      <c r="V12" s="272">
        <f>ROUND(SUMIF('6.0'!$D:$D,T_BS!D12,'6.0'!$J:$J),0)</f>
        <v>0</v>
      </c>
      <c r="W12" s="272">
        <f>ROUND(SUMIF('7.0'!$D:$D,T_BS!D12,'7.0'!$I:$I),0)</f>
        <v>0</v>
      </c>
      <c r="X12" s="272">
        <f>ROUND(SUMIF('8.0'!$D:$D,T_BS!D12,'8.0'!$H:$H),0)</f>
        <v>0</v>
      </c>
      <c r="Y12" s="201">
        <f t="shared" si="13"/>
        <v>0</v>
      </c>
      <c r="AA12" s="215">
        <f t="shared" si="15"/>
        <v>65423272185</v>
      </c>
      <c r="AC12" s="637"/>
    </row>
    <row r="13" spans="1:29" ht="18" customHeight="1">
      <c r="A13" s="28"/>
      <c r="D13" s="590">
        <v>111171</v>
      </c>
      <c r="E13" s="164" t="s">
        <v>1</v>
      </c>
      <c r="F13" s="166">
        <v>1102</v>
      </c>
      <c r="G13" s="164" t="s">
        <v>22</v>
      </c>
      <c r="H13" s="259">
        <v>18483149830</v>
      </c>
      <c r="I13" s="272">
        <v>24805677</v>
      </c>
      <c r="J13" s="272"/>
      <c r="K13" s="272"/>
      <c r="L13" s="259">
        <v>4970019145</v>
      </c>
      <c r="M13" s="36"/>
      <c r="N13" s="36"/>
      <c r="O13" s="201">
        <f t="shared" si="14"/>
        <v>23477974652</v>
      </c>
      <c r="Q13" s="636">
        <f>SUMIF('1.0'!$D:$D,T_BS!D13,'1.0'!$J:$J)</f>
        <v>0</v>
      </c>
      <c r="R13" s="259">
        <f>SUMIF('2.0'!$D:$D,T_BS!D13,'2.0'!$J:$J)</f>
        <v>0</v>
      </c>
      <c r="S13" s="36">
        <f>ROUND(SUMIF('3.0'!$D:$D,T_BS!D13,'3.0'!$H:$H),0)</f>
        <v>0</v>
      </c>
      <c r="T13" s="272">
        <f>ROUND(SUMIF('4.0'!$D:$D,T_BS!D13,'4.0'!$J:$J),0)</f>
        <v>0</v>
      </c>
      <c r="U13" s="36">
        <f>ROUND(SUMIF('5.0'!$D:$D,T_BS!D13,'5.0'!$J:$J),0)</f>
        <v>0</v>
      </c>
      <c r="V13" s="272">
        <f>ROUND(SUMIF('6.0'!$D:$D,T_BS!D13,'6.0'!$J:$J),0)</f>
        <v>0</v>
      </c>
      <c r="W13" s="272">
        <f>ROUND(SUMIF('7.0'!$D:$D,T_BS!D13,'7.0'!$I:$I),0)</f>
        <v>0</v>
      </c>
      <c r="X13" s="272">
        <f>ROUND(SUMIF('8.0'!$D:$D,T_BS!D13,'8.0'!$H:$H),0)</f>
        <v>0</v>
      </c>
      <c r="Y13" s="201">
        <f t="shared" si="13"/>
        <v>0</v>
      </c>
      <c r="AA13" s="215">
        <f t="shared" si="15"/>
        <v>23477974652</v>
      </c>
      <c r="AC13" s="637"/>
    </row>
    <row r="14" spans="1:29" ht="18" customHeight="1">
      <c r="A14" s="28"/>
      <c r="D14" s="586"/>
      <c r="E14" s="587"/>
      <c r="F14" s="588"/>
      <c r="G14" s="587" t="s">
        <v>23</v>
      </c>
      <c r="H14" s="52">
        <f>SUM(H15:H31)</f>
        <v>35858439909</v>
      </c>
      <c r="I14" s="52">
        <f>SUM(I15:I31)</f>
        <v>1317421916</v>
      </c>
      <c r="J14" s="52">
        <f>SUM(J15:J31)</f>
        <v>0</v>
      </c>
      <c r="K14" s="52">
        <f>SUM(K15:K31)</f>
        <v>0</v>
      </c>
      <c r="L14" s="52">
        <f>SUM(L15:L31)</f>
        <v>1682212777</v>
      </c>
      <c r="M14" s="52"/>
      <c r="N14" s="52">
        <f>SUM(N15:N31)</f>
        <v>0</v>
      </c>
      <c r="O14" s="589">
        <f>SUM(O15:O31)</f>
        <v>38858074602</v>
      </c>
      <c r="Q14" s="634">
        <f t="shared" ref="Q14:Y14" si="16">SUM(Q15:Q31)</f>
        <v>0</v>
      </c>
      <c r="R14" s="52">
        <f t="shared" si="16"/>
        <v>0</v>
      </c>
      <c r="S14" s="52">
        <f t="shared" si="16"/>
        <v>-1543225326</v>
      </c>
      <c r="T14" s="52">
        <f t="shared" si="16"/>
        <v>0</v>
      </c>
      <c r="U14" s="52">
        <f t="shared" si="16"/>
        <v>0</v>
      </c>
      <c r="V14" s="52">
        <f t="shared" si="16"/>
        <v>0</v>
      </c>
      <c r="W14" s="52">
        <f t="shared" si="16"/>
        <v>0</v>
      </c>
      <c r="X14" s="52">
        <f t="shared" si="16"/>
        <v>0</v>
      </c>
      <c r="Y14" s="589">
        <f t="shared" si="16"/>
        <v>-1543225326</v>
      </c>
      <c r="AA14" s="614">
        <f>SUM(AA15:AA31)</f>
        <v>37314849276</v>
      </c>
      <c r="AC14" s="637"/>
    </row>
    <row r="15" spans="1:29" ht="18" customHeight="1">
      <c r="A15" s="28"/>
      <c r="D15" s="590">
        <v>111711</v>
      </c>
      <c r="E15" s="164" t="s">
        <v>1749</v>
      </c>
      <c r="F15" s="166">
        <v>1201</v>
      </c>
      <c r="G15" s="164" t="s">
        <v>24</v>
      </c>
      <c r="H15" s="259">
        <v>13129001430</v>
      </c>
      <c r="I15" s="272">
        <v>0</v>
      </c>
      <c r="J15" s="272"/>
      <c r="K15" s="272"/>
      <c r="L15" s="259">
        <v>0</v>
      </c>
      <c r="M15" s="36"/>
      <c r="N15" s="36"/>
      <c r="O15" s="201">
        <f t="shared" ref="O15:O67" si="17">SUM(H15:N15)</f>
        <v>13129001430</v>
      </c>
      <c r="Q15" s="636">
        <f>SUMIF('1.0'!$D:$D,T_BS!D15,'1.0'!$J:$J)</f>
        <v>0</v>
      </c>
      <c r="R15" s="259">
        <f>SUMIF('2.0'!$D:$D,T_BS!D15,'2.0'!$J:$J)</f>
        <v>0</v>
      </c>
      <c r="S15" s="36">
        <f>ROUND(SUMIF('3.0'!$D:$D,T_BS!D15,'3.0'!$H:$H),0)</f>
        <v>-57500000</v>
      </c>
      <c r="T15" s="272">
        <f>ROUND(SUMIF('4.0'!$D:$D,T_BS!D15,'4.0'!$J:$J),0)</f>
        <v>0</v>
      </c>
      <c r="U15" s="36">
        <f>ROUND(SUMIF('5.0'!$D:$D,T_BS!D15,'5.0'!$J:$J),0)</f>
        <v>0</v>
      </c>
      <c r="V15" s="272">
        <f>ROUND(SUMIF('6.0'!$D:$D,T_BS!D15,'6.0'!$J:$J),0)</f>
        <v>0</v>
      </c>
      <c r="W15" s="272">
        <f>ROUND(SUMIF('7.0'!$D:$D,T_BS!D15,'7.0'!$I:$I),0)</f>
        <v>0</v>
      </c>
      <c r="X15" s="272">
        <f>ROUND(SUMIF('8.0'!$D:$D,T_BS!D15,'8.0'!$H:$H),0)</f>
        <v>0</v>
      </c>
      <c r="Y15" s="201">
        <f t="shared" ref="Y15:Y67" si="18">SUM(Q15:X15)</f>
        <v>-57500000</v>
      </c>
      <c r="AA15" s="215">
        <f t="shared" ref="AA15:AA67" si="19">Y15+O15</f>
        <v>13071501430</v>
      </c>
      <c r="AC15" s="637"/>
    </row>
    <row r="16" spans="1:29" ht="18" customHeight="1">
      <c r="A16" s="28"/>
      <c r="D16" s="590">
        <v>111712</v>
      </c>
      <c r="E16" s="164" t="s">
        <v>1749</v>
      </c>
      <c r="F16" s="166">
        <v>1202</v>
      </c>
      <c r="G16" s="164" t="s">
        <v>25</v>
      </c>
      <c r="H16" s="259">
        <v>-948318052</v>
      </c>
      <c r="I16" s="272">
        <v>0</v>
      </c>
      <c r="J16" s="272"/>
      <c r="K16" s="272"/>
      <c r="L16" s="259">
        <v>0</v>
      </c>
      <c r="M16" s="36"/>
      <c r="N16" s="36"/>
      <c r="O16" s="201">
        <f t="shared" si="17"/>
        <v>-948318052</v>
      </c>
      <c r="Q16" s="636">
        <f>SUMIF('1.0'!$D:$D,T_BS!D16,'1.0'!$J:$J)</f>
        <v>0</v>
      </c>
      <c r="R16" s="259">
        <f>SUMIF('2.0'!$D:$D,T_BS!D16,'2.0'!$J:$J)</f>
        <v>0</v>
      </c>
      <c r="S16" s="36">
        <f>ROUND(SUMIF('3.0'!$D:$D,T_BS!D16,'3.0'!$H:$H),0)</f>
        <v>0</v>
      </c>
      <c r="T16" s="272">
        <f>ROUND(SUMIF('4.0'!$D:$D,T_BS!D16,'4.0'!$J:$J),0)</f>
        <v>0</v>
      </c>
      <c r="U16" s="36">
        <f>ROUND(SUMIF('5.0'!$D:$D,T_BS!D16,'5.0'!$J:$J),0)</f>
        <v>0</v>
      </c>
      <c r="V16" s="272">
        <f>ROUND(SUMIF('6.0'!$D:$D,T_BS!D16,'6.0'!$J:$J),0)</f>
        <v>0</v>
      </c>
      <c r="W16" s="272">
        <f>ROUND(SUMIF('7.0'!$D:$D,T_BS!D16,'7.0'!$I:$I),0)</f>
        <v>0</v>
      </c>
      <c r="X16" s="272">
        <f>ROUND(SUMIF('8.0'!$D:$D,T_BS!D16,'8.0'!$H:$H),0)</f>
        <v>0</v>
      </c>
      <c r="Y16" s="201">
        <f t="shared" si="18"/>
        <v>0</v>
      </c>
      <c r="AA16" s="215">
        <f t="shared" si="19"/>
        <v>-948318052</v>
      </c>
      <c r="AC16" s="637"/>
    </row>
    <row r="17" spans="1:29" ht="18" customHeight="1">
      <c r="A17" s="28"/>
      <c r="D17" s="590">
        <v>111731</v>
      </c>
      <c r="E17" s="164" t="s">
        <v>1749</v>
      </c>
      <c r="F17" s="166">
        <v>1203</v>
      </c>
      <c r="G17" s="164" t="s">
        <v>26</v>
      </c>
      <c r="H17" s="259">
        <v>5598060300</v>
      </c>
      <c r="I17" s="272">
        <v>1368828969</v>
      </c>
      <c r="J17" s="272"/>
      <c r="K17" s="272"/>
      <c r="L17" s="259">
        <v>1682211501</v>
      </c>
      <c r="M17" s="36"/>
      <c r="N17" s="36"/>
      <c r="O17" s="201">
        <f t="shared" si="17"/>
        <v>8649100770</v>
      </c>
      <c r="Q17" s="636">
        <f>SUMIF('1.0'!$D:$D,T_BS!D17,'1.0'!$J:$J)</f>
        <v>0</v>
      </c>
      <c r="R17" s="259">
        <f>SUMIF('2.0'!$D:$D,T_BS!D17,'2.0'!$J:$J)</f>
        <v>0</v>
      </c>
      <c r="S17" s="36">
        <f>ROUND(SUMIF('3.0'!$D:$D,T_BS!D17,'3.0'!$H:$H),0)</f>
        <v>-919969835</v>
      </c>
      <c r="T17" s="272">
        <f>ROUND(SUMIF('4.0'!$D:$D,T_BS!D17,'4.0'!$J:$J),0)</f>
        <v>0</v>
      </c>
      <c r="U17" s="36">
        <f>ROUND(SUMIF('5.0'!$D:$D,T_BS!D17,'5.0'!$J:$J),0)</f>
        <v>0</v>
      </c>
      <c r="V17" s="272">
        <f>ROUND(SUMIF('6.0'!$D:$D,T_BS!D17,'6.0'!$J:$J),0)</f>
        <v>-327031541</v>
      </c>
      <c r="W17" s="272">
        <f>ROUND(SUMIF('7.0'!$D:$D,T_BS!D17,'7.0'!$I:$I),0)</f>
        <v>0</v>
      </c>
      <c r="X17" s="272">
        <f>ROUND(SUMIF('8.0'!$D:$D,T_BS!D17,'8.0'!$H:$H),0)</f>
        <v>0</v>
      </c>
      <c r="Y17" s="201">
        <f t="shared" si="18"/>
        <v>-1247001376</v>
      </c>
      <c r="AA17" s="215">
        <f t="shared" si="19"/>
        <v>7402099394</v>
      </c>
      <c r="AC17" s="637"/>
    </row>
    <row r="18" spans="1:29" ht="18" customHeight="1">
      <c r="A18" s="28"/>
      <c r="D18" s="590">
        <v>111732</v>
      </c>
      <c r="E18" s="164" t="s">
        <v>1749</v>
      </c>
      <c r="F18" s="166">
        <v>1202</v>
      </c>
      <c r="G18" s="164" t="s">
        <v>27</v>
      </c>
      <c r="H18" s="259">
        <v>-548949412</v>
      </c>
      <c r="I18" s="272">
        <v>-349521364</v>
      </c>
      <c r="J18" s="272"/>
      <c r="K18" s="272"/>
      <c r="L18" s="259">
        <v>0</v>
      </c>
      <c r="M18" s="36"/>
      <c r="N18" s="36"/>
      <c r="O18" s="201">
        <f t="shared" si="17"/>
        <v>-898470776</v>
      </c>
      <c r="Q18" s="636">
        <f>SUMIF('1.0'!$D:$D,T_BS!D18,'1.0'!$J:$J)</f>
        <v>0</v>
      </c>
      <c r="R18" s="259">
        <f>SUMIF('2.0'!$D:$D,T_BS!D18,'2.0'!$J:$J)</f>
        <v>0</v>
      </c>
      <c r="S18" s="36">
        <f>ROUND(SUMIF('3.0'!$D:$D,T_BS!D18,'3.0'!$H:$H),0)</f>
        <v>0</v>
      </c>
      <c r="T18" s="272">
        <f>ROUND(SUMIF('4.0'!$D:$D,T_BS!D18,'4.0'!$J:$J),0)</f>
        <v>0</v>
      </c>
      <c r="U18" s="36">
        <f>ROUND(SUMIF('5.0'!$D:$D,T_BS!D18,'5.0'!$J:$J),0)</f>
        <v>0</v>
      </c>
      <c r="V18" s="272">
        <f>ROUND(SUMIF('6.0'!$D:$D,T_BS!D18,'6.0'!$J:$J),0)</f>
        <v>0</v>
      </c>
      <c r="W18" s="272">
        <f>ROUND(SUMIF('7.0'!$D:$D,T_BS!D18,'7.0'!$I:$I),0)</f>
        <v>0</v>
      </c>
      <c r="X18" s="272">
        <f>ROUND(SUMIF('8.0'!$D:$D,T_BS!D18,'8.0'!$H:$H),0)</f>
        <v>0</v>
      </c>
      <c r="Y18" s="201">
        <f t="shared" si="18"/>
        <v>0</v>
      </c>
      <c r="AA18" s="215">
        <f t="shared" si="19"/>
        <v>-898470776</v>
      </c>
      <c r="AC18" s="637"/>
    </row>
    <row r="19" spans="1:29" ht="18" customHeight="1">
      <c r="A19" s="28"/>
      <c r="D19" s="590">
        <v>111761</v>
      </c>
      <c r="E19" s="164" t="s">
        <v>1749</v>
      </c>
      <c r="F19" s="166">
        <v>1201</v>
      </c>
      <c r="G19" s="164" t="s">
        <v>28</v>
      </c>
      <c r="H19" s="259">
        <v>3814012528</v>
      </c>
      <c r="I19" s="272">
        <v>0</v>
      </c>
      <c r="J19" s="272"/>
      <c r="K19" s="272"/>
      <c r="L19" s="259">
        <v>0</v>
      </c>
      <c r="M19" s="36"/>
      <c r="N19" s="36"/>
      <c r="O19" s="201">
        <f t="shared" si="17"/>
        <v>3814012528</v>
      </c>
      <c r="Q19" s="636">
        <f>SUMIF('1.0'!$D:$D,T_BS!D19,'1.0'!$J:$J)</f>
        <v>0</v>
      </c>
      <c r="R19" s="259">
        <f>SUMIF('2.0'!$D:$D,T_BS!D19,'2.0'!$J:$J)</f>
        <v>0</v>
      </c>
      <c r="S19" s="36">
        <f>ROUND(SUMIF('3.0'!$D:$D,T_BS!D19,'3.0'!$H:$H),0)</f>
        <v>0</v>
      </c>
      <c r="T19" s="272">
        <f>ROUND(SUMIF('4.0'!$D:$D,T_BS!D19,'4.0'!$J:$J),0)</f>
        <v>0</v>
      </c>
      <c r="U19" s="36">
        <f>ROUND(SUMIF('5.0'!$D:$D,T_BS!D19,'5.0'!$J:$J),0)</f>
        <v>0</v>
      </c>
      <c r="V19" s="272">
        <f>ROUND(SUMIF('6.0'!$D:$D,T_BS!D19,'6.0'!$J:$J),0)</f>
        <v>0</v>
      </c>
      <c r="W19" s="272">
        <f>ROUND(SUMIF('7.0'!$D:$D,T_BS!D19,'7.0'!$I:$I),0)</f>
        <v>0</v>
      </c>
      <c r="X19" s="272">
        <f>ROUND(SUMIF('8.0'!$D:$D,T_BS!D19,'8.0'!$H:$H),0)</f>
        <v>0</v>
      </c>
      <c r="Y19" s="201">
        <f t="shared" si="18"/>
        <v>0</v>
      </c>
      <c r="AA19" s="215">
        <f t="shared" si="19"/>
        <v>3814012528</v>
      </c>
      <c r="AC19" s="637"/>
    </row>
    <row r="20" spans="1:29" ht="18" customHeight="1">
      <c r="A20" s="28"/>
      <c r="D20" s="590">
        <v>111762</v>
      </c>
      <c r="E20" s="164" t="s">
        <v>1749</v>
      </c>
      <c r="F20" s="166">
        <v>1201</v>
      </c>
      <c r="G20" s="164" t="s">
        <v>29</v>
      </c>
      <c r="H20" s="259">
        <v>2884075277</v>
      </c>
      <c r="I20" s="272">
        <v>0</v>
      </c>
      <c r="J20" s="272"/>
      <c r="K20" s="272"/>
      <c r="L20" s="259">
        <v>0</v>
      </c>
      <c r="M20" s="36"/>
      <c r="N20" s="36"/>
      <c r="O20" s="201">
        <f t="shared" si="17"/>
        <v>2884075277</v>
      </c>
      <c r="Q20" s="636">
        <f>SUMIF('1.0'!$D:$D,T_BS!D20,'1.0'!$J:$J)</f>
        <v>0</v>
      </c>
      <c r="R20" s="259">
        <f>SUMIF('2.0'!$D:$D,T_BS!D20,'2.0'!$J:$J)</f>
        <v>0</v>
      </c>
      <c r="S20" s="36">
        <f>ROUND(SUMIF('3.0'!$D:$D,T_BS!D20,'3.0'!$H:$H),0)</f>
        <v>0</v>
      </c>
      <c r="T20" s="272">
        <f>ROUND(SUMIF('4.0'!$D:$D,T_BS!D20,'4.0'!$J:$J),0)</f>
        <v>0</v>
      </c>
      <c r="U20" s="36">
        <f>ROUND(SUMIF('5.0'!$D:$D,T_BS!D20,'5.0'!$J:$J),0)</f>
        <v>0</v>
      </c>
      <c r="V20" s="272">
        <f>ROUND(SUMIF('6.0'!$D:$D,T_BS!D20,'6.0'!$J:$J),0)</f>
        <v>0</v>
      </c>
      <c r="W20" s="272">
        <f>ROUND(SUMIF('7.0'!$D:$D,T_BS!D20,'7.0'!$I:$I),0)</f>
        <v>0</v>
      </c>
      <c r="X20" s="272">
        <f>ROUND(SUMIF('8.0'!$D:$D,T_BS!D20,'8.0'!$H:$H),0)</f>
        <v>0</v>
      </c>
      <c r="Y20" s="201">
        <f t="shared" si="18"/>
        <v>0</v>
      </c>
      <c r="AA20" s="215">
        <f t="shared" si="19"/>
        <v>2884075277</v>
      </c>
      <c r="AC20" s="637"/>
    </row>
    <row r="21" spans="1:29" ht="18" customHeight="1">
      <c r="A21" s="28"/>
      <c r="D21" s="590">
        <v>111763</v>
      </c>
      <c r="E21" s="164" t="s">
        <v>1749</v>
      </c>
      <c r="F21" s="166">
        <v>1201</v>
      </c>
      <c r="G21" s="164" t="s">
        <v>30</v>
      </c>
      <c r="H21" s="259">
        <v>538305874</v>
      </c>
      <c r="I21" s="272">
        <v>0</v>
      </c>
      <c r="J21" s="272"/>
      <c r="K21" s="272"/>
      <c r="L21" s="259">
        <v>0</v>
      </c>
      <c r="M21" s="36"/>
      <c r="N21" s="36"/>
      <c r="O21" s="201">
        <f t="shared" si="17"/>
        <v>538305874</v>
      </c>
      <c r="Q21" s="636">
        <f>SUMIF('1.0'!$D:$D,T_BS!D21,'1.0'!$J:$J)</f>
        <v>0</v>
      </c>
      <c r="R21" s="259">
        <f>SUMIF('2.0'!$D:$D,T_BS!D21,'2.0'!$J:$J)</f>
        <v>0</v>
      </c>
      <c r="S21" s="36">
        <f>ROUND(SUMIF('3.0'!$D:$D,T_BS!D21,'3.0'!$H:$H),0)</f>
        <v>0</v>
      </c>
      <c r="T21" s="272">
        <f>ROUND(SUMIF('4.0'!$D:$D,T_BS!D21,'4.0'!$J:$J),0)</f>
        <v>0</v>
      </c>
      <c r="U21" s="36">
        <f>ROUND(SUMIF('5.0'!$D:$D,T_BS!D21,'5.0'!$J:$J),0)</f>
        <v>0</v>
      </c>
      <c r="V21" s="272">
        <f>ROUND(SUMIF('6.0'!$D:$D,T_BS!D21,'6.0'!$J:$J),0)</f>
        <v>0</v>
      </c>
      <c r="W21" s="272">
        <f>ROUND(SUMIF('7.0'!$D:$D,T_BS!D21,'7.0'!$I:$I),0)</f>
        <v>0</v>
      </c>
      <c r="X21" s="272">
        <f>ROUND(SUMIF('8.0'!$D:$D,T_BS!D21,'8.0'!$H:$H),0)</f>
        <v>0</v>
      </c>
      <c r="Y21" s="201">
        <f t="shared" si="18"/>
        <v>0</v>
      </c>
      <c r="AA21" s="215">
        <f t="shared" si="19"/>
        <v>538305874</v>
      </c>
    </row>
    <row r="22" spans="1:29" ht="18" customHeight="1">
      <c r="A22" s="28"/>
      <c r="D22" s="609">
        <v>111911</v>
      </c>
      <c r="E22" s="519" t="s">
        <v>1749</v>
      </c>
      <c r="F22" s="166" t="s">
        <v>616</v>
      </c>
      <c r="G22" s="164" t="s">
        <v>31</v>
      </c>
      <c r="H22" s="259">
        <v>0</v>
      </c>
      <c r="I22" s="272">
        <v>0</v>
      </c>
      <c r="J22" s="272"/>
      <c r="K22" s="272"/>
      <c r="L22" s="259">
        <v>0</v>
      </c>
      <c r="M22" s="36"/>
      <c r="N22" s="36"/>
      <c r="O22" s="201">
        <f t="shared" si="17"/>
        <v>0</v>
      </c>
      <c r="Q22" s="636">
        <f>SUMIF('1.0'!$D:$D,T_BS!D22,'1.0'!$J:$J)</f>
        <v>0</v>
      </c>
      <c r="R22" s="259">
        <f>SUMIF('2.0'!$D:$D,T_BS!D22,'2.0'!$J:$J)</f>
        <v>0</v>
      </c>
      <c r="S22" s="36">
        <f>ROUND(SUMIF('3.0'!$D:$D,T_BS!D22,'3.0'!$H:$H),0)</f>
        <v>0</v>
      </c>
      <c r="T22" s="272">
        <f>ROUND(SUMIF('4.0'!$D:$D,T_BS!D22,'4.0'!$J:$J),0)</f>
        <v>0</v>
      </c>
      <c r="U22" s="36">
        <f>ROUND(SUMIF('5.0'!$D:$D,T_BS!D22,'5.0'!$J:$J),0)</f>
        <v>0</v>
      </c>
      <c r="V22" s="272">
        <f>ROUND(SUMIF('6.0'!$D:$D,T_BS!D22,'6.0'!$J:$J),0)</f>
        <v>0</v>
      </c>
      <c r="W22" s="272">
        <f>ROUND(SUMIF('7.0'!$D:$D,T_BS!D22,'7.0'!$I:$I),0)</f>
        <v>0</v>
      </c>
      <c r="X22" s="272">
        <f>ROUND(SUMIF('8.0'!$D:$D,T_BS!D22,'8.0'!$H:$H),0)</f>
        <v>0</v>
      </c>
      <c r="Y22" s="201">
        <f t="shared" si="18"/>
        <v>0</v>
      </c>
      <c r="AA22" s="215">
        <f t="shared" si="19"/>
        <v>0</v>
      </c>
    </row>
    <row r="23" spans="1:29" ht="18" customHeight="1">
      <c r="A23" s="28"/>
      <c r="B23" s="471" t="s">
        <v>1628</v>
      </c>
      <c r="D23" s="609" t="s">
        <v>1832</v>
      </c>
      <c r="E23" s="519" t="s">
        <v>1749</v>
      </c>
      <c r="F23" s="166">
        <v>1221</v>
      </c>
      <c r="G23" s="164" t="s">
        <v>1645</v>
      </c>
      <c r="H23" s="259">
        <v>879075000</v>
      </c>
      <c r="I23" s="272">
        <v>0</v>
      </c>
      <c r="J23" s="272"/>
      <c r="K23" s="272"/>
      <c r="L23" s="259">
        <v>0</v>
      </c>
      <c r="M23" s="36"/>
      <c r="N23" s="36"/>
      <c r="O23" s="201">
        <f t="shared" si="17"/>
        <v>879075000</v>
      </c>
      <c r="Q23" s="636"/>
      <c r="R23" s="259"/>
      <c r="S23" s="36">
        <f>ROUND(SUMIF('3.0'!$D:$D,T_BS!D23,'3.0'!$H:$H),0)</f>
        <v>-531735000</v>
      </c>
      <c r="T23" s="272">
        <f>ROUND(SUMIF('4.0'!$D:$D,T_BS!D23,'4.0'!$J:$J),0)</f>
        <v>0</v>
      </c>
      <c r="U23" s="36">
        <f>ROUND(SUMIF('5.0'!$D:$D,T_BS!D23,'5.0'!$J:$J),0)</f>
        <v>0</v>
      </c>
      <c r="V23" s="272">
        <f>ROUND(SUMIF('6.0'!$D:$D,T_BS!D23,'6.0'!$J:$J),0)</f>
        <v>0</v>
      </c>
      <c r="W23" s="272">
        <f>ROUND(SUMIF('7.0'!$D:$D,T_BS!D23,'7.0'!$I:$I),0)</f>
        <v>0</v>
      </c>
      <c r="X23" s="272">
        <f>ROUND(SUMIF('8.0'!$D:$D,T_BS!D23,'8.0'!$H:$H),0)</f>
        <v>0</v>
      </c>
      <c r="Y23" s="201">
        <f t="shared" si="18"/>
        <v>-531735000</v>
      </c>
      <c r="AA23" s="215">
        <f t="shared" si="19"/>
        <v>347340000</v>
      </c>
    </row>
    <row r="24" spans="1:29" ht="18" customHeight="1">
      <c r="A24" s="28"/>
      <c r="D24" s="609">
        <v>112111</v>
      </c>
      <c r="E24" s="519" t="s">
        <v>1749</v>
      </c>
      <c r="F24" s="166">
        <v>1208</v>
      </c>
      <c r="G24" s="164" t="s">
        <v>32</v>
      </c>
      <c r="H24" s="259">
        <v>720956897</v>
      </c>
      <c r="I24" s="272">
        <v>0</v>
      </c>
      <c r="J24" s="272"/>
      <c r="K24" s="272"/>
      <c r="L24" s="259">
        <v>0</v>
      </c>
      <c r="M24" s="36"/>
      <c r="N24" s="36"/>
      <c r="O24" s="201">
        <f t="shared" si="17"/>
        <v>720956897</v>
      </c>
      <c r="Q24" s="636">
        <f>SUMIF('1.0'!$D:$D,T_BS!D24,'1.0'!$J:$J)</f>
        <v>0</v>
      </c>
      <c r="R24" s="259">
        <f>SUMIF('2.0'!$D:$D,T_BS!D24,'2.0'!$J:$J)</f>
        <v>0</v>
      </c>
      <c r="S24" s="36">
        <f>ROUND(SUMIF('3.0'!$D:$D,T_BS!D24,'3.0'!$H:$H),0)</f>
        <v>0</v>
      </c>
      <c r="T24" s="272">
        <f>ROUND(SUMIF('4.0'!$D:$D,T_BS!D24,'4.0'!$J:$J),0)</f>
        <v>0</v>
      </c>
      <c r="U24" s="36">
        <f>ROUND(SUMIF('5.0'!$D:$D,T_BS!D24,'5.0'!$J:$J),0)</f>
        <v>0</v>
      </c>
      <c r="V24" s="272">
        <f>ROUND(SUMIF('6.0'!$D:$D,T_BS!D24,'6.0'!$J:$J),0)</f>
        <v>0</v>
      </c>
      <c r="W24" s="272">
        <f>ROUND(SUMIF('7.0'!$D:$D,T_BS!D24,'7.0'!$I:$I),0)</f>
        <v>0</v>
      </c>
      <c r="X24" s="272">
        <f>ROUND(SUMIF('8.0'!$D:$D,T_BS!D24,'8.0'!$H:$H),0)</f>
        <v>0</v>
      </c>
      <c r="Y24" s="201">
        <f t="shared" si="18"/>
        <v>0</v>
      </c>
      <c r="AA24" s="215">
        <f t="shared" si="19"/>
        <v>720956897</v>
      </c>
      <c r="AC24" s="637"/>
    </row>
    <row r="25" spans="1:29" ht="18" customHeight="1">
      <c r="A25" s="28"/>
      <c r="D25" s="609">
        <v>112113</v>
      </c>
      <c r="E25" s="519" t="s">
        <v>1749</v>
      </c>
      <c r="F25" s="166">
        <v>1208</v>
      </c>
      <c r="G25" s="164" t="s">
        <v>33</v>
      </c>
      <c r="H25" s="259">
        <v>30474961</v>
      </c>
      <c r="I25" s="272">
        <v>298114311</v>
      </c>
      <c r="J25" s="272"/>
      <c r="K25" s="272"/>
      <c r="L25" s="259">
        <v>1276</v>
      </c>
      <c r="M25" s="36"/>
      <c r="N25" s="36"/>
      <c r="O25" s="201">
        <f t="shared" si="17"/>
        <v>328590548</v>
      </c>
      <c r="Q25" s="636">
        <f>SUMIF('1.0'!$D:$D,T_BS!D25,'1.0'!$J:$J)</f>
        <v>0</v>
      </c>
      <c r="R25" s="259">
        <f>SUMIF('2.0'!$D:$D,T_BS!D25,'2.0'!$J:$J)</f>
        <v>0</v>
      </c>
      <c r="S25" s="36">
        <f>ROUND(SUMIF('3.0'!$D:$D,T_BS!D25,'3.0'!$H:$H),0)</f>
        <v>-30087098</v>
      </c>
      <c r="T25" s="272">
        <f>ROUND(SUMIF('4.0'!$D:$D,T_BS!D25,'4.0'!$J:$J),0)</f>
        <v>0</v>
      </c>
      <c r="U25" s="36">
        <f>ROUND(SUMIF('5.0'!$D:$D,T_BS!D25,'5.0'!$J:$J),0)</f>
        <v>0</v>
      </c>
      <c r="V25" s="272">
        <f>ROUND(SUMIF('6.0'!$D:$D,T_BS!D25,'6.0'!$J:$J),0)</f>
        <v>327031541</v>
      </c>
      <c r="W25" s="272">
        <f>ROUND(SUMIF('7.0'!$D:$D,T_BS!D25,'7.0'!$I:$I),0)</f>
        <v>0</v>
      </c>
      <c r="X25" s="272">
        <f>ROUND(SUMIF('8.0'!$D:$D,T_BS!D25,'8.0'!$H:$H),0)</f>
        <v>0</v>
      </c>
      <c r="Y25" s="201">
        <f t="shared" si="18"/>
        <v>296944443</v>
      </c>
      <c r="AA25" s="215">
        <f t="shared" si="19"/>
        <v>625534991</v>
      </c>
      <c r="AC25" s="637"/>
    </row>
    <row r="26" spans="1:29" ht="18" customHeight="1">
      <c r="A26" s="28"/>
      <c r="D26" s="590">
        <v>112115</v>
      </c>
      <c r="E26" s="164" t="s">
        <v>1749</v>
      </c>
      <c r="F26" s="166">
        <v>1208</v>
      </c>
      <c r="G26" s="164" t="s">
        <v>34</v>
      </c>
      <c r="H26" s="259">
        <v>4160000000</v>
      </c>
      <c r="I26" s="272">
        <v>0</v>
      </c>
      <c r="J26" s="272"/>
      <c r="K26" s="272"/>
      <c r="L26" s="259">
        <v>0</v>
      </c>
      <c r="M26" s="36"/>
      <c r="N26" s="36"/>
      <c r="O26" s="201">
        <f t="shared" si="17"/>
        <v>4160000000</v>
      </c>
      <c r="Q26" s="636">
        <f>SUMIF('1.0'!$D:$D,T_BS!D26,'1.0'!$J:$J)</f>
        <v>0</v>
      </c>
      <c r="R26" s="259">
        <f>SUMIF('2.0'!$D:$D,T_BS!D26,'2.0'!$J:$J)</f>
        <v>0</v>
      </c>
      <c r="S26" s="36">
        <f>ROUND(SUMIF('3.0'!$D:$D,T_BS!D26,'3.0'!$H:$H),0)</f>
        <v>0</v>
      </c>
      <c r="T26" s="272">
        <f>ROUND(SUMIF('4.0'!$D:$D,T_BS!D26,'4.0'!$J:$J),0)</f>
        <v>0</v>
      </c>
      <c r="U26" s="36">
        <f>ROUND(SUMIF('5.0'!$D:$D,T_BS!D26,'5.0'!$J:$J),0)</f>
        <v>0</v>
      </c>
      <c r="V26" s="272">
        <f>ROUND(SUMIF('6.0'!$D:$D,T_BS!D26,'6.0'!$J:$J),0)</f>
        <v>0</v>
      </c>
      <c r="W26" s="272">
        <f>ROUND(SUMIF('7.0'!$D:$D,T_BS!D26,'7.0'!$I:$I),0)</f>
        <v>0</v>
      </c>
      <c r="X26" s="272">
        <f>ROUND(SUMIF('8.0'!$D:$D,T_BS!D26,'8.0'!$H:$H),0)</f>
        <v>0</v>
      </c>
      <c r="Y26" s="201">
        <f t="shared" si="18"/>
        <v>0</v>
      </c>
      <c r="AA26" s="215">
        <f t="shared" si="19"/>
        <v>4160000000</v>
      </c>
      <c r="AC26" s="637"/>
    </row>
    <row r="27" spans="1:29" ht="18" customHeight="1">
      <c r="A27" s="28"/>
      <c r="D27" s="590" t="s">
        <v>1900</v>
      </c>
      <c r="E27" s="164" t="s">
        <v>1749</v>
      </c>
      <c r="F27" s="166">
        <v>1209</v>
      </c>
      <c r="G27" s="164" t="s">
        <v>1901</v>
      </c>
      <c r="H27" s="259">
        <v>0</v>
      </c>
      <c r="I27" s="272"/>
      <c r="J27" s="272"/>
      <c r="K27" s="272"/>
      <c r="L27" s="259">
        <v>0</v>
      </c>
      <c r="M27" s="36"/>
      <c r="N27" s="36"/>
      <c r="O27" s="201">
        <f t="shared" si="17"/>
        <v>0</v>
      </c>
      <c r="Q27" s="636">
        <f>SUMIF('1.0'!$D:$D,T_BS!D27,'1.0'!$J:$J)</f>
        <v>0</v>
      </c>
      <c r="R27" s="259">
        <f>SUMIF('2.0'!$D:$D,T_BS!D27,'2.0'!$J:$J)</f>
        <v>0</v>
      </c>
      <c r="S27" s="36">
        <f>ROUND(SUMIF('3.0'!$D:$D,T_BS!D27,'3.0'!$H:$H),0)</f>
        <v>0</v>
      </c>
      <c r="T27" s="272">
        <f>ROUND(SUMIF('4.0'!$D:$D,T_BS!D27,'4.0'!$J:$J),0)</f>
        <v>0</v>
      </c>
      <c r="U27" s="36">
        <f>ROUND(SUMIF('5.0'!$D:$D,T_BS!D27,'5.0'!$J:$J),0)</f>
        <v>0</v>
      </c>
      <c r="V27" s="272">
        <f>ROUND(SUMIF('6.0'!$D:$D,T_BS!D27,'6.0'!$J:$J),0)</f>
        <v>0</v>
      </c>
      <c r="W27" s="272">
        <f>ROUND(SUMIF('7.0'!$D:$D,T_BS!D27,'7.0'!$I:$I),0)</f>
        <v>0</v>
      </c>
      <c r="X27" s="272">
        <f>ROUND(SUMIF('8.0'!$D:$D,T_BS!D27,'8.0'!$H:$H),0)</f>
        <v>0</v>
      </c>
      <c r="Y27" s="201">
        <f t="shared" ref="Y27:Y29" si="20">SUM(Q27:X27)</f>
        <v>0</v>
      </c>
      <c r="AA27" s="215">
        <f t="shared" si="19"/>
        <v>0</v>
      </c>
      <c r="AC27" s="637"/>
    </row>
    <row r="28" spans="1:29" ht="18" customHeight="1">
      <c r="A28" s="28"/>
      <c r="D28" s="590">
        <v>112116</v>
      </c>
      <c r="E28" s="164" t="s">
        <v>1749</v>
      </c>
      <c r="F28" s="166">
        <v>1208</v>
      </c>
      <c r="G28" s="164" t="s">
        <v>35</v>
      </c>
      <c r="H28" s="259">
        <v>0</v>
      </c>
      <c r="I28" s="272">
        <v>0</v>
      </c>
      <c r="J28" s="272"/>
      <c r="K28" s="272"/>
      <c r="L28" s="259">
        <v>0</v>
      </c>
      <c r="M28" s="36"/>
      <c r="N28" s="36"/>
      <c r="O28" s="201">
        <f t="shared" si="17"/>
        <v>0</v>
      </c>
      <c r="Q28" s="636">
        <f>SUMIF('1.0'!$D:$D,T_BS!D28,'1.0'!$J:$J)</f>
        <v>0</v>
      </c>
      <c r="R28" s="259">
        <f>SUMIF('2.0'!$D:$D,T_BS!D28,'2.0'!$J:$J)</f>
        <v>0</v>
      </c>
      <c r="S28" s="36">
        <f>ROUND(SUMIF('3.0'!$D:$D,T_BS!D28,'3.0'!$H:$H),0)</f>
        <v>0</v>
      </c>
      <c r="T28" s="272">
        <f>ROUND(SUMIF('4.0'!$D:$D,T_BS!D28,'4.0'!$J:$J),0)</f>
        <v>0</v>
      </c>
      <c r="U28" s="36">
        <f>ROUND(SUMIF('5.0'!$D:$D,T_BS!D28,'5.0'!$J:$J),0)</f>
        <v>0</v>
      </c>
      <c r="V28" s="272">
        <f>ROUND(SUMIF('6.0'!$D:$D,T_BS!D28,'6.0'!$J:$J),0)</f>
        <v>0</v>
      </c>
      <c r="W28" s="272">
        <f>ROUND(SUMIF('7.0'!$D:$D,T_BS!D28,'7.0'!$I:$I),0)</f>
        <v>0</v>
      </c>
      <c r="X28" s="272">
        <f>ROUND(SUMIF('8.0'!$D:$D,T_BS!D28,'8.0'!$H:$H),0)</f>
        <v>0</v>
      </c>
      <c r="Y28" s="201">
        <f t="shared" si="20"/>
        <v>0</v>
      </c>
      <c r="AA28" s="215">
        <f t="shared" si="19"/>
        <v>0</v>
      </c>
    </row>
    <row r="29" spans="1:29" s="233" customFormat="1" ht="18" customHeight="1">
      <c r="A29" s="194"/>
      <c r="B29" s="519"/>
      <c r="C29" s="519"/>
      <c r="D29" s="609">
        <v>112540</v>
      </c>
      <c r="E29" s="519" t="s">
        <v>1749</v>
      </c>
      <c r="F29" s="610">
        <v>1208</v>
      </c>
      <c r="G29" s="519" t="s">
        <v>1970</v>
      </c>
      <c r="H29" s="259">
        <v>5490092355</v>
      </c>
      <c r="I29" s="272"/>
      <c r="J29" s="272"/>
      <c r="K29" s="272"/>
      <c r="L29" s="259"/>
      <c r="M29" s="259"/>
      <c r="N29" s="259"/>
      <c r="O29" s="755">
        <f t="shared" si="17"/>
        <v>5490092355</v>
      </c>
      <c r="Q29" s="636">
        <f>SUMIF('1.0'!$D:$D,T_BS!D29,'1.0'!$J:$J)</f>
        <v>0</v>
      </c>
      <c r="R29" s="259">
        <f>SUMIF('2.0'!$D:$D,T_BS!D29,'2.0'!$J:$J)</f>
        <v>0</v>
      </c>
      <c r="S29" s="259">
        <f>ROUND(SUMIF('3.0'!$D:$D,T_BS!D29,'3.0'!$H:$H),0)</f>
        <v>0</v>
      </c>
      <c r="T29" s="272">
        <f>ROUND(SUMIF('4.0'!$D:$D,T_BS!D29,'4.0'!$J:$J),0)</f>
        <v>0</v>
      </c>
      <c r="U29" s="259">
        <f>ROUND(SUMIF('5.0'!$D:$D,T_BS!D29,'5.0'!$J:$J),0)</f>
        <v>0</v>
      </c>
      <c r="V29" s="272">
        <f>ROUND(SUMIF('6.0'!$D:$D,T_BS!D29,'6.0'!$J:$J),0)</f>
        <v>0</v>
      </c>
      <c r="W29" s="272">
        <f>ROUND(SUMIF('7.0'!$D:$D,T_BS!D29,'7.0'!$I:$I),0)</f>
        <v>0</v>
      </c>
      <c r="X29" s="272">
        <f>ROUND(SUMIF('8.0'!$D:$D,T_BS!D29,'8.0'!$H:$H),0)</f>
        <v>0</v>
      </c>
      <c r="Y29" s="755">
        <f t="shared" si="20"/>
        <v>0</v>
      </c>
      <c r="AA29" s="307">
        <f t="shared" si="19"/>
        <v>5490092355</v>
      </c>
      <c r="AC29" s="637"/>
    </row>
    <row r="30" spans="1:29" ht="18" customHeight="1">
      <c r="A30" s="28"/>
      <c r="D30" s="590">
        <v>112300</v>
      </c>
      <c r="E30" s="164" t="s">
        <v>1749</v>
      </c>
      <c r="F30" s="166">
        <v>1212</v>
      </c>
      <c r="G30" s="164" t="s">
        <v>36</v>
      </c>
      <c r="H30" s="259">
        <v>61652751</v>
      </c>
      <c r="I30" s="272">
        <v>0</v>
      </c>
      <c r="J30" s="272"/>
      <c r="K30" s="272"/>
      <c r="L30" s="259">
        <v>0</v>
      </c>
      <c r="M30" s="36"/>
      <c r="N30" s="36"/>
      <c r="O30" s="201">
        <f t="shared" si="17"/>
        <v>61652751</v>
      </c>
      <c r="Q30" s="636">
        <f>SUMIF('1.0'!$D:$D,T_BS!D30,'1.0'!$J:$J)</f>
        <v>0</v>
      </c>
      <c r="R30" s="259">
        <f>SUMIF('2.0'!$D:$D,T_BS!D30,'2.0'!$J:$J)</f>
        <v>0</v>
      </c>
      <c r="S30" s="36">
        <f>ROUND(SUMIF('3.0'!$D:$D,T_BS!D30,'3.0'!$H:$H),0)</f>
        <v>-3933393</v>
      </c>
      <c r="T30" s="272">
        <f>ROUND(SUMIF('4.0'!$D:$D,T_BS!D30,'4.0'!$J:$J),0)</f>
        <v>0</v>
      </c>
      <c r="U30" s="36">
        <f>ROUND(SUMIF('5.0'!$D:$D,T_BS!D30,'5.0'!$J:$J),0)</f>
        <v>0</v>
      </c>
      <c r="V30" s="272">
        <f>ROUND(SUMIF('6.0'!$D:$D,T_BS!D30,'6.0'!$J:$J),0)</f>
        <v>0</v>
      </c>
      <c r="W30" s="272">
        <f>ROUND(SUMIF('7.0'!$D:$D,T_BS!D30,'7.0'!$I:$I),0)</f>
        <v>0</v>
      </c>
      <c r="X30" s="272">
        <f>ROUND(SUMIF('8.0'!$D:$D,T_BS!D30,'8.0'!$H:$H),0)</f>
        <v>0</v>
      </c>
      <c r="Y30" s="201">
        <f t="shared" si="18"/>
        <v>-3933393</v>
      </c>
      <c r="AA30" s="215">
        <f t="shared" si="19"/>
        <v>57719358</v>
      </c>
      <c r="AC30" s="637"/>
    </row>
    <row r="31" spans="1:29" ht="18" customHeight="1">
      <c r="A31" s="28"/>
      <c r="D31" s="590">
        <v>113310</v>
      </c>
      <c r="E31" s="164" t="s">
        <v>1749</v>
      </c>
      <c r="F31" s="166">
        <v>1213</v>
      </c>
      <c r="G31" s="164" t="s">
        <v>37</v>
      </c>
      <c r="H31" s="259">
        <v>50000000</v>
      </c>
      <c r="I31" s="272">
        <v>0</v>
      </c>
      <c r="J31" s="272"/>
      <c r="K31" s="272"/>
      <c r="L31" s="259">
        <v>0</v>
      </c>
      <c r="M31" s="36"/>
      <c r="N31" s="36"/>
      <c r="O31" s="201">
        <f t="shared" si="17"/>
        <v>50000000</v>
      </c>
      <c r="Q31" s="636">
        <f>SUMIF('1.0'!$D:$D,T_BS!D31,'1.0'!$J:$J)</f>
        <v>0</v>
      </c>
      <c r="R31" s="259">
        <f>SUMIF('2.0'!$D:$D,T_BS!D31,'2.0'!$J:$J)</f>
        <v>0</v>
      </c>
      <c r="S31" s="36">
        <f>ROUND(SUMIF('3.0'!$D:$D,T_BS!D31,'3.0'!$H:$H),0)</f>
        <v>0</v>
      </c>
      <c r="T31" s="272">
        <f>ROUND(SUMIF('4.0'!$D:$D,T_BS!D31,'4.0'!$J:$J),0)</f>
        <v>0</v>
      </c>
      <c r="U31" s="36">
        <f>ROUND(SUMIF('5.0'!$D:$D,T_BS!D31,'5.0'!$J:$J),0)</f>
        <v>0</v>
      </c>
      <c r="V31" s="272">
        <f>ROUND(SUMIF('6.0'!$D:$D,T_BS!D31,'6.0'!$J:$J),0)</f>
        <v>0</v>
      </c>
      <c r="W31" s="272">
        <f>ROUND(SUMIF('7.0'!$D:$D,T_BS!D31,'7.0'!$I:$I),0)</f>
        <v>0</v>
      </c>
      <c r="X31" s="272">
        <f>ROUND(SUMIF('8.0'!$D:$D,T_BS!D31,'8.0'!$H:$H),0)</f>
        <v>0</v>
      </c>
      <c r="Y31" s="201">
        <f t="shared" si="18"/>
        <v>0</v>
      </c>
      <c r="AA31" s="215">
        <f t="shared" si="19"/>
        <v>50000000</v>
      </c>
    </row>
    <row r="32" spans="1:29" ht="18" customHeight="1">
      <c r="A32" s="28"/>
      <c r="D32" s="638"/>
      <c r="E32" s="587"/>
      <c r="F32" s="588"/>
      <c r="G32" s="639" t="s">
        <v>38</v>
      </c>
      <c r="H32" s="52">
        <v>0</v>
      </c>
      <c r="I32" s="52">
        <f t="shared" ref="I32:N32" si="21">SUM(I33:I36)</f>
        <v>0</v>
      </c>
      <c r="J32" s="52">
        <f t="shared" si="21"/>
        <v>0</v>
      </c>
      <c r="K32" s="52">
        <f t="shared" si="21"/>
        <v>0</v>
      </c>
      <c r="L32" s="52">
        <f t="shared" si="21"/>
        <v>0</v>
      </c>
      <c r="M32" s="52"/>
      <c r="N32" s="52">
        <f t="shared" si="21"/>
        <v>0</v>
      </c>
      <c r="O32" s="589">
        <f>SUM(O33:O36)</f>
        <v>0</v>
      </c>
      <c r="Q32" s="634">
        <f t="shared" ref="Q32:V32" si="22">SUM(Q33:Q36)</f>
        <v>0</v>
      </c>
      <c r="R32" s="52">
        <f t="shared" si="22"/>
        <v>0</v>
      </c>
      <c r="S32" s="52">
        <f t="shared" si="22"/>
        <v>0</v>
      </c>
      <c r="T32" s="52">
        <f t="shared" si="22"/>
        <v>0</v>
      </c>
      <c r="U32" s="52">
        <f t="shared" si="22"/>
        <v>0</v>
      </c>
      <c r="V32" s="52">
        <f t="shared" si="22"/>
        <v>0</v>
      </c>
      <c r="W32" s="52">
        <f t="shared" ref="W32:X32" si="23">SUM(W33:W36)</f>
        <v>0</v>
      </c>
      <c r="X32" s="52">
        <f t="shared" si="23"/>
        <v>0</v>
      </c>
      <c r="Y32" s="589">
        <f t="shared" ref="Y32:AA32" si="24">SUM(Y33:Y36)</f>
        <v>0</v>
      </c>
      <c r="AA32" s="614">
        <f t="shared" si="24"/>
        <v>0</v>
      </c>
    </row>
    <row r="33" spans="1:29" ht="18" customHeight="1">
      <c r="A33" s="28"/>
      <c r="D33" s="590">
        <v>111391</v>
      </c>
      <c r="E33" s="164" t="s">
        <v>38</v>
      </c>
      <c r="F33" s="166"/>
      <c r="G33" s="164" t="s">
        <v>39</v>
      </c>
      <c r="H33" s="259">
        <v>0</v>
      </c>
      <c r="I33" s="272">
        <v>0</v>
      </c>
      <c r="J33" s="272">
        <v>0</v>
      </c>
      <c r="K33" s="272">
        <v>0</v>
      </c>
      <c r="L33" s="259">
        <v>0</v>
      </c>
      <c r="M33" s="36"/>
      <c r="N33" s="36"/>
      <c r="O33" s="201">
        <f t="shared" si="17"/>
        <v>0</v>
      </c>
      <c r="Q33" s="636">
        <f>SUMIF('1.0'!$D:$D,T_BS!D33,'1.0'!$J:$J)</f>
        <v>0</v>
      </c>
      <c r="R33" s="259">
        <f>SUMIF('2.0'!$D:$D,T_BS!D33,'2.0'!$J:$J)</f>
        <v>0</v>
      </c>
      <c r="S33" s="36">
        <f>ROUND(SUMIF('3.0'!$D:$D,T_BS!D33,'3.0'!$H:$H),0)</f>
        <v>0</v>
      </c>
      <c r="T33" s="272">
        <f>ROUND(SUMIF('4.0'!$D:$D,T_BS!D33,'4.0'!$J:$J),0)</f>
        <v>0</v>
      </c>
      <c r="U33" s="36">
        <f>ROUND(SUMIF('5.0'!$D:$D,T_BS!D33,'5.0'!$J:$J),0)</f>
        <v>0</v>
      </c>
      <c r="V33" s="272">
        <f>ROUND(SUMIF('6.0'!$D:$D,T_BS!D33,'6.0'!$J:$J),0)</f>
        <v>0</v>
      </c>
      <c r="W33" s="272">
        <f>ROUND(SUMIF('7.0'!$D:$D,T_BS!D33,'7.0'!$I:$I),0)</f>
        <v>0</v>
      </c>
      <c r="X33" s="272">
        <f>ROUND(SUMIF('8.0'!$D:$D,T_BS!D33,'8.0'!$H:$H),0)</f>
        <v>0</v>
      </c>
      <c r="Y33" s="201">
        <f t="shared" si="18"/>
        <v>0</v>
      </c>
      <c r="AA33" s="215">
        <f t="shared" si="19"/>
        <v>0</v>
      </c>
    </row>
    <row r="34" spans="1:29" ht="18" customHeight="1">
      <c r="A34" s="28"/>
      <c r="D34" s="590">
        <v>111410</v>
      </c>
      <c r="E34" s="164" t="s">
        <v>38</v>
      </c>
      <c r="F34" s="166">
        <v>1501</v>
      </c>
      <c r="G34" s="164" t="s">
        <v>40</v>
      </c>
      <c r="H34" s="259">
        <v>0</v>
      </c>
      <c r="I34" s="272">
        <v>0</v>
      </c>
      <c r="J34" s="272"/>
      <c r="K34" s="272">
        <v>0</v>
      </c>
      <c r="L34" s="259">
        <v>0</v>
      </c>
      <c r="M34" s="36"/>
      <c r="N34" s="36"/>
      <c r="O34" s="201">
        <f t="shared" si="17"/>
        <v>0</v>
      </c>
      <c r="Q34" s="636">
        <f>SUMIF('1.0'!$D:$D,T_BS!D34,'1.0'!$J:$J)</f>
        <v>0</v>
      </c>
      <c r="R34" s="259">
        <f>SUMIF('2.0'!$D:$D,T_BS!D34,'2.0'!$J:$J)</f>
        <v>0</v>
      </c>
      <c r="S34" s="36">
        <f>ROUND(SUMIF('3.0'!$D:$D,T_BS!D34,'3.0'!$H:$H),0)</f>
        <v>0</v>
      </c>
      <c r="T34" s="272">
        <f>ROUND(SUMIF('4.0'!$D:$D,T_BS!D34,'4.0'!$J:$J),0)</f>
        <v>0</v>
      </c>
      <c r="U34" s="36">
        <f>ROUND(SUMIF('5.0'!$D:$D,T_BS!D34,'5.0'!$J:$J),0)</f>
        <v>0</v>
      </c>
      <c r="V34" s="272">
        <f>ROUND(SUMIF('6.0'!$D:$D,T_BS!D34,'6.0'!$J:$J),0)</f>
        <v>0</v>
      </c>
      <c r="W34" s="272">
        <f>ROUND(SUMIF('7.0'!$D:$D,T_BS!D34,'7.0'!$I:$I),0)</f>
        <v>0</v>
      </c>
      <c r="X34" s="272">
        <f>ROUND(SUMIF('8.0'!$D:$D,T_BS!D34,'8.0'!$H:$H),0)</f>
        <v>0</v>
      </c>
      <c r="Y34" s="201">
        <f t="shared" si="18"/>
        <v>0</v>
      </c>
      <c r="AA34" s="215">
        <f t="shared" si="19"/>
        <v>0</v>
      </c>
    </row>
    <row r="35" spans="1:29" ht="18" customHeight="1">
      <c r="A35" s="28"/>
      <c r="D35" s="591" t="s">
        <v>220</v>
      </c>
      <c r="E35" s="164" t="s">
        <v>38</v>
      </c>
      <c r="F35" s="166"/>
      <c r="G35" s="164" t="s">
        <v>41</v>
      </c>
      <c r="H35" s="259">
        <v>0</v>
      </c>
      <c r="I35" s="272">
        <v>0</v>
      </c>
      <c r="J35" s="272">
        <v>0</v>
      </c>
      <c r="K35" s="272">
        <v>0</v>
      </c>
      <c r="L35" s="259">
        <v>0</v>
      </c>
      <c r="M35" s="36"/>
      <c r="N35" s="36"/>
      <c r="O35" s="201">
        <f t="shared" si="17"/>
        <v>0</v>
      </c>
      <c r="Q35" s="636">
        <f>SUMIF('1.0'!$D:$D,T_BS!D35,'1.0'!$J:$J)</f>
        <v>0</v>
      </c>
      <c r="R35" s="259">
        <f>SUMIF('2.0'!$D:$D,T_BS!D35,'2.0'!$J:$J)</f>
        <v>0</v>
      </c>
      <c r="S35" s="36">
        <f>ROUND(SUMIF('3.0'!$D:$D,T_BS!D35,'3.0'!$H:$H),0)</f>
        <v>0</v>
      </c>
      <c r="T35" s="272">
        <f>ROUND(SUMIF('4.0'!$D:$D,T_BS!D35,'4.0'!$J:$J),0)</f>
        <v>0</v>
      </c>
      <c r="U35" s="36">
        <f>ROUND(SUMIF('5.0'!$D:$D,T_BS!D35,'5.0'!$J:$J),0)</f>
        <v>0</v>
      </c>
      <c r="V35" s="272">
        <f>ROUND(SUMIF('6.0'!$D:$D,T_BS!D35,'6.0'!$J:$J),0)</f>
        <v>0</v>
      </c>
      <c r="W35" s="272">
        <f>ROUND(SUMIF('7.0'!$D:$D,T_BS!D35,'7.0'!$I:$I),0)</f>
        <v>0</v>
      </c>
      <c r="X35" s="272">
        <f>ROUND(SUMIF('8.0'!$D:$D,T_BS!D35,'8.0'!$H:$H),0)</f>
        <v>0</v>
      </c>
      <c r="Y35" s="201">
        <f t="shared" si="18"/>
        <v>0</v>
      </c>
      <c r="AA35" s="215">
        <f t="shared" si="19"/>
        <v>0</v>
      </c>
    </row>
    <row r="36" spans="1:29" ht="18" customHeight="1">
      <c r="A36" s="28"/>
      <c r="D36" s="591" t="s">
        <v>221</v>
      </c>
      <c r="E36" s="164" t="s">
        <v>38</v>
      </c>
      <c r="F36" s="166"/>
      <c r="G36" s="164" t="s">
        <v>42</v>
      </c>
      <c r="H36" s="259">
        <v>0</v>
      </c>
      <c r="I36" s="272">
        <v>0</v>
      </c>
      <c r="J36" s="272">
        <v>0</v>
      </c>
      <c r="K36" s="272">
        <v>0</v>
      </c>
      <c r="L36" s="259">
        <v>0</v>
      </c>
      <c r="M36" s="36"/>
      <c r="N36" s="36"/>
      <c r="O36" s="201">
        <f t="shared" si="17"/>
        <v>0</v>
      </c>
      <c r="Q36" s="636">
        <f>SUMIF('1.0'!$D:$D,T_BS!D36,'1.0'!$J:$J)</f>
        <v>0</v>
      </c>
      <c r="R36" s="259">
        <f>SUMIF('2.0'!$D:$D,T_BS!D36,'2.0'!$J:$J)</f>
        <v>0</v>
      </c>
      <c r="S36" s="36">
        <f>ROUND(SUMIF('3.0'!$D:$D,T_BS!D36,'3.0'!$H:$H),0)</f>
        <v>0</v>
      </c>
      <c r="T36" s="272">
        <f>ROUND(SUMIF('4.0'!$D:$D,T_BS!D36,'4.0'!$J:$J),0)</f>
        <v>0</v>
      </c>
      <c r="U36" s="36">
        <f>ROUND(SUMIF('5.0'!$D:$D,T_BS!D36,'5.0'!$J:$J),0)</f>
        <v>0</v>
      </c>
      <c r="V36" s="272">
        <f>ROUND(SUMIF('6.0'!$D:$D,T_BS!D36,'6.0'!$J:$J),0)</f>
        <v>0</v>
      </c>
      <c r="W36" s="272">
        <f>ROUND(SUMIF('7.0'!$D:$D,T_BS!D36,'7.0'!$I:$I),0)</f>
        <v>0</v>
      </c>
      <c r="X36" s="272">
        <f>ROUND(SUMIF('8.0'!$D:$D,T_BS!D36,'8.0'!$H:$H),0)</f>
        <v>0</v>
      </c>
      <c r="Y36" s="201">
        <f t="shared" si="18"/>
        <v>0</v>
      </c>
      <c r="AA36" s="215">
        <f t="shared" si="19"/>
        <v>0</v>
      </c>
    </row>
    <row r="37" spans="1:29" ht="18" customHeight="1">
      <c r="A37" s="28"/>
      <c r="D37" s="586"/>
      <c r="E37" s="587"/>
      <c r="F37" s="588"/>
      <c r="G37" s="587" t="s">
        <v>2</v>
      </c>
      <c r="H37" s="52">
        <f>SUM(H38:H46)</f>
        <v>6813208109</v>
      </c>
      <c r="I37" s="52">
        <f t="shared" ref="I37:N37" si="25">SUM(I38:I46)</f>
        <v>216608968</v>
      </c>
      <c r="J37" s="52">
        <f t="shared" si="25"/>
        <v>0</v>
      </c>
      <c r="K37" s="52">
        <f t="shared" si="25"/>
        <v>0</v>
      </c>
      <c r="L37" s="52">
        <f t="shared" si="25"/>
        <v>104056339</v>
      </c>
      <c r="M37" s="52"/>
      <c r="N37" s="52">
        <f t="shared" si="25"/>
        <v>0</v>
      </c>
      <c r="O37" s="589">
        <f>SUM(O38:O46)</f>
        <v>7133873416</v>
      </c>
      <c r="Q37" s="634">
        <f t="shared" ref="Q37:V37" si="26">SUM(Q38:Q46)</f>
        <v>0</v>
      </c>
      <c r="R37" s="52">
        <f t="shared" si="26"/>
        <v>0</v>
      </c>
      <c r="S37" s="52">
        <f t="shared" si="26"/>
        <v>0</v>
      </c>
      <c r="T37" s="52">
        <f t="shared" si="26"/>
        <v>-3658730</v>
      </c>
      <c r="U37" s="52">
        <f t="shared" si="26"/>
        <v>0</v>
      </c>
      <c r="V37" s="52">
        <f t="shared" si="26"/>
        <v>0</v>
      </c>
      <c r="W37" s="52">
        <f t="shared" ref="W37:X37" si="27">SUM(W38:W46)</f>
        <v>0</v>
      </c>
      <c r="X37" s="52">
        <f t="shared" si="27"/>
        <v>0</v>
      </c>
      <c r="Y37" s="589">
        <f t="shared" ref="Y37:AA37" si="28">SUM(Y38:Y46)</f>
        <v>-3658730</v>
      </c>
      <c r="AA37" s="614">
        <f t="shared" si="28"/>
        <v>7130214686</v>
      </c>
      <c r="AC37" s="637"/>
    </row>
    <row r="38" spans="1:29" ht="18" customHeight="1">
      <c r="A38" s="28"/>
      <c r="D38" s="590">
        <v>115100</v>
      </c>
      <c r="E38" s="164" t="s">
        <v>2</v>
      </c>
      <c r="F38" s="166">
        <v>1301</v>
      </c>
      <c r="G38" s="164" t="s">
        <v>43</v>
      </c>
      <c r="H38" s="259">
        <v>6259309235</v>
      </c>
      <c r="I38" s="272">
        <v>168768306</v>
      </c>
      <c r="J38" s="259"/>
      <c r="K38" s="272"/>
      <c r="L38" s="259">
        <v>4303439074</v>
      </c>
      <c r="M38" s="36"/>
      <c r="N38" s="36"/>
      <c r="O38" s="201">
        <f t="shared" si="17"/>
        <v>10731516615</v>
      </c>
      <c r="Q38" s="636">
        <f>SUMIF('1.0'!$D:$D,T_BS!D38,'1.0'!$J:$J)</f>
        <v>0</v>
      </c>
      <c r="R38" s="259">
        <f>SUMIF('2.0'!$D:$D,T_BS!D38,'2.0'!$J:$J)</f>
        <v>0</v>
      </c>
      <c r="S38" s="36">
        <f>ROUND(SUMIF('3.0'!$D:$D,T_BS!D38,'3.0'!$H:$H),0)</f>
        <v>0</v>
      </c>
      <c r="T38" s="272">
        <f>ROUND(SUMIF('4.0'!$D:$D,T_BS!D38,'4.0'!$J:$J),0)</f>
        <v>0</v>
      </c>
      <c r="U38" s="36">
        <f>ROUND(SUMIF('5.0'!$D:$D,T_BS!D38,'5.0'!$J:$J),0)</f>
        <v>0</v>
      </c>
      <c r="V38" s="272">
        <f>ROUND(SUMIF('6.0'!$D:$D,T_BS!D38,'6.0'!$J:$J),0)</f>
        <v>0</v>
      </c>
      <c r="W38" s="272">
        <f>ROUND(SUMIF('7.0'!$D:$D,T_BS!D38,'7.0'!$I:$I),0)</f>
        <v>0</v>
      </c>
      <c r="X38" s="272">
        <f>ROUND(SUMIF('8.0'!$D:$D,T_BS!D38,'8.0'!$H:$H),0)</f>
        <v>0</v>
      </c>
      <c r="Y38" s="201">
        <f t="shared" si="18"/>
        <v>0</v>
      </c>
      <c r="AA38" s="215">
        <f t="shared" si="19"/>
        <v>10731516615</v>
      </c>
      <c r="AC38" s="637"/>
    </row>
    <row r="39" spans="1:29" ht="18" customHeight="1">
      <c r="A39" s="28"/>
      <c r="D39" s="590">
        <v>115170</v>
      </c>
      <c r="E39" s="164" t="s">
        <v>2</v>
      </c>
      <c r="F39" s="166">
        <v>1302</v>
      </c>
      <c r="G39" s="164" t="s">
        <v>44</v>
      </c>
      <c r="H39" s="259">
        <v>-4655147522</v>
      </c>
      <c r="I39" s="272">
        <v>-106066884</v>
      </c>
      <c r="J39" s="259"/>
      <c r="K39" s="272"/>
      <c r="L39" s="259">
        <v>-4199382735</v>
      </c>
      <c r="M39" s="36"/>
      <c r="N39" s="36"/>
      <c r="O39" s="201">
        <f t="shared" si="17"/>
        <v>-8960597141</v>
      </c>
      <c r="Q39" s="636">
        <f>SUMIF('1.0'!$D:$D,T_BS!D39,'1.0'!$J:$J)</f>
        <v>0</v>
      </c>
      <c r="R39" s="259">
        <f>SUMIF('2.0'!$D:$D,T_BS!D39,'2.0'!$J:$J)</f>
        <v>0</v>
      </c>
      <c r="S39" s="36">
        <f>ROUND(SUMIF('3.0'!$D:$D,T_BS!D39,'3.0'!$H:$H),0)</f>
        <v>0</v>
      </c>
      <c r="T39" s="272">
        <f>ROUND(SUMIF('4.0'!$D:$D,T_BS!D39,'4.0'!$J:$J),0)</f>
        <v>0</v>
      </c>
      <c r="U39" s="36">
        <f>ROUND(SUMIF('5.0'!$D:$D,T_BS!D39,'5.0'!$J:$J),0)</f>
        <v>0</v>
      </c>
      <c r="V39" s="272">
        <f>ROUND(SUMIF('6.0'!$D:$D,T_BS!D39,'6.0'!$J:$J),0)</f>
        <v>0</v>
      </c>
      <c r="W39" s="272">
        <f>ROUND(SUMIF('7.0'!$D:$D,T_BS!D39,'7.0'!$I:$I),0)</f>
        <v>0</v>
      </c>
      <c r="X39" s="272">
        <f>ROUND(SUMIF('8.0'!$D:$D,T_BS!D39,'8.0'!$H:$H),0)</f>
        <v>0</v>
      </c>
      <c r="Y39" s="201">
        <f t="shared" si="18"/>
        <v>0</v>
      </c>
      <c r="AA39" s="215">
        <f t="shared" si="19"/>
        <v>-8960597141</v>
      </c>
      <c r="AC39" s="637"/>
    </row>
    <row r="40" spans="1:29" ht="18" customHeight="1">
      <c r="A40" s="28"/>
      <c r="D40" s="590">
        <v>115200</v>
      </c>
      <c r="E40" s="164" t="s">
        <v>2</v>
      </c>
      <c r="F40" s="166">
        <v>1303</v>
      </c>
      <c r="G40" s="164" t="s">
        <v>45</v>
      </c>
      <c r="H40" s="259">
        <v>3184167899</v>
      </c>
      <c r="I40" s="272">
        <v>196109720</v>
      </c>
      <c r="J40" s="259"/>
      <c r="K40" s="272"/>
      <c r="L40" s="259">
        <v>0</v>
      </c>
      <c r="M40" s="36"/>
      <c r="N40" s="36"/>
      <c r="O40" s="201">
        <f t="shared" si="17"/>
        <v>3380277619</v>
      </c>
      <c r="Q40" s="636">
        <f>SUMIF('1.0'!$D:$D,T_BS!D40,'1.0'!$J:$J)</f>
        <v>0</v>
      </c>
      <c r="R40" s="259">
        <f>SUMIF('2.0'!$D:$D,T_BS!D40,'2.0'!$J:$J)</f>
        <v>0</v>
      </c>
      <c r="S40" s="36">
        <f>ROUND(SUMIF('3.0'!$D:$D,T_BS!D40,'3.0'!$H:$H),0)</f>
        <v>0</v>
      </c>
      <c r="T40" s="272">
        <f>ROUND(SUMIF('4.0'!$D:$D,T_BS!D40,'4.0'!$J:$J),0)</f>
        <v>-3658730</v>
      </c>
      <c r="U40" s="36">
        <f>ROUND(SUMIF('5.0'!$D:$D,T_BS!D40,'5.0'!$J:$J),0)</f>
        <v>0</v>
      </c>
      <c r="V40" s="272">
        <f>ROUND(SUMIF('6.0'!$D:$D,T_BS!D40,'6.0'!$J:$J),0)</f>
        <v>0</v>
      </c>
      <c r="W40" s="272">
        <f>ROUND(SUMIF('7.0'!$D:$D,T_BS!D40,'7.0'!$I:$I),0)</f>
        <v>0</v>
      </c>
      <c r="X40" s="272">
        <f>ROUND(SUMIF('8.0'!$D:$D,T_BS!D40,'8.0'!$H:$H),0)</f>
        <v>0</v>
      </c>
      <c r="Y40" s="201">
        <f t="shared" si="18"/>
        <v>-3658730</v>
      </c>
      <c r="AA40" s="215">
        <f t="shared" si="19"/>
        <v>3376618889</v>
      </c>
      <c r="AC40" s="637"/>
    </row>
    <row r="41" spans="1:29" ht="18" customHeight="1">
      <c r="A41" s="28"/>
      <c r="D41" s="590">
        <v>115270</v>
      </c>
      <c r="E41" s="164" t="s">
        <v>2</v>
      </c>
      <c r="F41" s="166">
        <v>1304</v>
      </c>
      <c r="G41" s="164" t="s">
        <v>46</v>
      </c>
      <c r="H41" s="259">
        <v>-2204325222</v>
      </c>
      <c r="I41" s="272">
        <v>-60634531</v>
      </c>
      <c r="J41" s="259"/>
      <c r="K41" s="272"/>
      <c r="L41" s="259">
        <v>0</v>
      </c>
      <c r="M41" s="36"/>
      <c r="N41" s="36"/>
      <c r="O41" s="201">
        <f t="shared" si="17"/>
        <v>-2264959753</v>
      </c>
      <c r="Q41" s="636">
        <f>SUMIF('1.0'!$D:$D,T_BS!D41,'1.0'!$J:$J)</f>
        <v>0</v>
      </c>
      <c r="R41" s="259">
        <f>SUMIF('2.0'!$D:$D,T_BS!D41,'2.0'!$J:$J)</f>
        <v>0</v>
      </c>
      <c r="S41" s="36">
        <f>ROUND(SUMIF('3.0'!$D:$D,T_BS!D41,'3.0'!$H:$H),0)</f>
        <v>0</v>
      </c>
      <c r="T41" s="272">
        <f>ROUND(SUMIF('4.0'!$D:$D,T_BS!D41,'4.0'!$J:$J),0)</f>
        <v>0</v>
      </c>
      <c r="U41" s="36">
        <f>ROUND(SUMIF('5.0'!$D:$D,T_BS!D41,'5.0'!$J:$J),0)</f>
        <v>0</v>
      </c>
      <c r="V41" s="272">
        <f>ROUND(SUMIF('6.0'!$D:$D,T_BS!D41,'6.0'!$J:$J),0)</f>
        <v>0</v>
      </c>
      <c r="W41" s="272">
        <f>ROUND(SUMIF('7.0'!$D:$D,T_BS!D41,'7.0'!$I:$I),0)</f>
        <v>0</v>
      </c>
      <c r="X41" s="272">
        <f>ROUND(SUMIF('8.0'!$D:$D,T_BS!D41,'8.0'!$H:$H),0)</f>
        <v>0</v>
      </c>
      <c r="Y41" s="201">
        <f t="shared" si="18"/>
        <v>0</v>
      </c>
      <c r="AA41" s="215">
        <f t="shared" si="19"/>
        <v>-2264959753</v>
      </c>
      <c r="AC41" s="637"/>
    </row>
    <row r="42" spans="1:29" ht="18" customHeight="1">
      <c r="A42" s="28"/>
      <c r="D42" s="590">
        <v>115300</v>
      </c>
      <c r="E42" s="164" t="s">
        <v>2</v>
      </c>
      <c r="F42" s="166">
        <v>1305</v>
      </c>
      <c r="G42" s="164" t="s">
        <v>47</v>
      </c>
      <c r="H42" s="259">
        <v>1545570816</v>
      </c>
      <c r="I42" s="272">
        <v>0</v>
      </c>
      <c r="J42" s="259"/>
      <c r="K42" s="272"/>
      <c r="L42" s="259">
        <v>0</v>
      </c>
      <c r="M42" s="36"/>
      <c r="N42" s="36"/>
      <c r="O42" s="201">
        <f t="shared" si="17"/>
        <v>1545570816</v>
      </c>
      <c r="Q42" s="636">
        <f>SUMIF('1.0'!$D:$D,T_BS!D42,'1.0'!$J:$J)</f>
        <v>0</v>
      </c>
      <c r="R42" s="259">
        <f>SUMIF('2.0'!$D:$D,T_BS!D42,'2.0'!$J:$J)</f>
        <v>0</v>
      </c>
      <c r="S42" s="36">
        <f>ROUND(SUMIF('3.0'!$D:$D,T_BS!D42,'3.0'!$H:$H),0)</f>
        <v>0</v>
      </c>
      <c r="T42" s="272">
        <f>ROUND(SUMIF('4.0'!$D:$D,T_BS!D42,'4.0'!$J:$J),0)</f>
        <v>0</v>
      </c>
      <c r="U42" s="36">
        <f>ROUND(SUMIF('5.0'!$D:$D,T_BS!D42,'5.0'!$J:$J),0)</f>
        <v>0</v>
      </c>
      <c r="V42" s="272">
        <f>ROUND(SUMIF('6.0'!$D:$D,T_BS!D42,'6.0'!$J:$J),0)</f>
        <v>0</v>
      </c>
      <c r="W42" s="272">
        <f>ROUND(SUMIF('7.0'!$D:$D,T_BS!D42,'7.0'!$I:$I),0)</f>
        <v>0</v>
      </c>
      <c r="X42" s="272">
        <f>ROUND(SUMIF('8.0'!$D:$D,T_BS!D42,'8.0'!$H:$H),0)</f>
        <v>0</v>
      </c>
      <c r="Y42" s="201">
        <f t="shared" si="18"/>
        <v>0</v>
      </c>
      <c r="AA42" s="215">
        <f t="shared" si="19"/>
        <v>1545570816</v>
      </c>
      <c r="AC42" s="637"/>
    </row>
    <row r="43" spans="1:29" ht="18" customHeight="1">
      <c r="A43" s="28"/>
      <c r="D43" s="590">
        <v>115350</v>
      </c>
      <c r="E43" s="164" t="s">
        <v>2</v>
      </c>
      <c r="F43" s="166">
        <v>1306</v>
      </c>
      <c r="G43" s="164" t="s">
        <v>48</v>
      </c>
      <c r="H43" s="259">
        <v>-539343650</v>
      </c>
      <c r="I43" s="272">
        <v>0</v>
      </c>
      <c r="J43" s="259"/>
      <c r="K43" s="272"/>
      <c r="L43" s="259">
        <v>0</v>
      </c>
      <c r="M43" s="36"/>
      <c r="N43" s="36"/>
      <c r="O43" s="201">
        <f t="shared" si="17"/>
        <v>-539343650</v>
      </c>
      <c r="Q43" s="636">
        <f>SUMIF('1.0'!$D:$D,T_BS!D43,'1.0'!$J:$J)</f>
        <v>0</v>
      </c>
      <c r="R43" s="259">
        <f>SUMIF('2.0'!$D:$D,T_BS!D43,'2.0'!$J:$J)</f>
        <v>0</v>
      </c>
      <c r="S43" s="36">
        <f>ROUND(SUMIF('3.0'!$D:$D,T_BS!D43,'3.0'!$H:$H),0)</f>
        <v>0</v>
      </c>
      <c r="T43" s="272">
        <f>ROUND(SUMIF('4.0'!$D:$D,T_BS!D43,'4.0'!$J:$J),0)</f>
        <v>0</v>
      </c>
      <c r="U43" s="36">
        <f>ROUND(SUMIF('5.0'!$D:$D,T_BS!D43,'5.0'!$J:$J),0)</f>
        <v>0</v>
      </c>
      <c r="V43" s="272">
        <f>ROUND(SUMIF('6.0'!$D:$D,T_BS!D43,'6.0'!$J:$J),0)</f>
        <v>0</v>
      </c>
      <c r="W43" s="272">
        <f>ROUND(SUMIF('7.0'!$D:$D,T_BS!D43,'7.0'!$I:$I),0)</f>
        <v>0</v>
      </c>
      <c r="X43" s="272">
        <f>ROUND(SUMIF('8.0'!$D:$D,T_BS!D43,'8.0'!$H:$H),0)</f>
        <v>0</v>
      </c>
      <c r="Y43" s="201">
        <f t="shared" si="18"/>
        <v>0</v>
      </c>
      <c r="AA43" s="215">
        <f t="shared" si="19"/>
        <v>-539343650</v>
      </c>
      <c r="AC43" s="637"/>
    </row>
    <row r="44" spans="1:29" ht="18" customHeight="1">
      <c r="A44" s="28"/>
      <c r="D44" s="590">
        <v>115400</v>
      </c>
      <c r="E44" s="164" t="s">
        <v>2</v>
      </c>
      <c r="F44" s="166">
        <v>1307</v>
      </c>
      <c r="G44" s="164" t="s">
        <v>49</v>
      </c>
      <c r="H44" s="259">
        <v>11141723532</v>
      </c>
      <c r="I44" s="272">
        <v>66861281</v>
      </c>
      <c r="J44" s="259"/>
      <c r="K44" s="272"/>
      <c r="L44" s="259">
        <v>0</v>
      </c>
      <c r="M44" s="36"/>
      <c r="N44" s="36"/>
      <c r="O44" s="201">
        <f t="shared" si="17"/>
        <v>11208584813</v>
      </c>
      <c r="Q44" s="636">
        <f>SUMIF('1.0'!$D:$D,T_BS!D44,'1.0'!$J:$J)</f>
        <v>0</v>
      </c>
      <c r="R44" s="259">
        <f>SUMIF('2.0'!$D:$D,T_BS!D44,'2.0'!$J:$J)</f>
        <v>0</v>
      </c>
      <c r="S44" s="36">
        <f>ROUND(SUMIF('3.0'!$D:$D,T_BS!D44,'3.0'!$H:$H),0)</f>
        <v>0</v>
      </c>
      <c r="T44" s="272">
        <f>ROUND(SUMIF('4.0'!$D:$D,T_BS!D44,'4.0'!$J:$J),0)</f>
        <v>0</v>
      </c>
      <c r="U44" s="36">
        <f>ROUND(SUMIF('5.0'!$D:$D,T_BS!D44,'5.0'!$J:$J),0)</f>
        <v>0</v>
      </c>
      <c r="V44" s="272">
        <f>ROUND(SUMIF('6.0'!$D:$D,T_BS!D44,'6.0'!$J:$J),0)</f>
        <v>0</v>
      </c>
      <c r="W44" s="272">
        <f>ROUND(SUMIF('7.0'!$D:$D,T_BS!D44,'7.0'!$I:$I),0)</f>
        <v>0</v>
      </c>
      <c r="X44" s="272">
        <f>ROUND(SUMIF('8.0'!$D:$D,T_BS!D44,'8.0'!$H:$H),0)</f>
        <v>0</v>
      </c>
      <c r="Y44" s="201">
        <f t="shared" si="18"/>
        <v>0</v>
      </c>
      <c r="AA44" s="215">
        <f t="shared" si="19"/>
        <v>11208584813</v>
      </c>
      <c r="AC44" s="637"/>
    </row>
    <row r="45" spans="1:29" ht="18" customHeight="1">
      <c r="A45" s="28"/>
      <c r="D45" s="590">
        <v>115470</v>
      </c>
      <c r="E45" s="164" t="s">
        <v>2</v>
      </c>
      <c r="F45" s="166">
        <v>1308</v>
      </c>
      <c r="G45" s="164" t="s">
        <v>50</v>
      </c>
      <c r="H45" s="259">
        <v>-7918746979</v>
      </c>
      <c r="I45" s="272">
        <v>-48428924</v>
      </c>
      <c r="J45" s="259"/>
      <c r="K45" s="272"/>
      <c r="L45" s="259">
        <v>0</v>
      </c>
      <c r="M45" s="36"/>
      <c r="N45" s="36"/>
      <c r="O45" s="201">
        <f t="shared" si="17"/>
        <v>-7967175903</v>
      </c>
      <c r="Q45" s="636">
        <f>SUMIF('1.0'!$D:$D,T_BS!D45,'1.0'!$J:$J)</f>
        <v>0</v>
      </c>
      <c r="R45" s="259">
        <f>SUMIF('2.0'!$D:$D,T_BS!D45,'2.0'!$J:$J)</f>
        <v>0</v>
      </c>
      <c r="S45" s="36">
        <f>ROUND(SUMIF('3.0'!$D:$D,T_BS!D45,'3.0'!$H:$H),0)</f>
        <v>0</v>
      </c>
      <c r="T45" s="272">
        <f>ROUND(SUMIF('4.0'!$D:$D,T_BS!D45,'4.0'!$J:$J),0)</f>
        <v>0</v>
      </c>
      <c r="U45" s="36">
        <f>ROUND(SUMIF('5.0'!$D:$D,T_BS!D45,'5.0'!$J:$J),0)</f>
        <v>0</v>
      </c>
      <c r="V45" s="272">
        <f>ROUND(SUMIF('6.0'!$D:$D,T_BS!D45,'6.0'!$J:$J),0)</f>
        <v>0</v>
      </c>
      <c r="W45" s="272">
        <f>ROUND(SUMIF('7.0'!$D:$D,T_BS!D45,'7.0'!$I:$I),0)</f>
        <v>0</v>
      </c>
      <c r="X45" s="272">
        <f>ROUND(SUMIF('8.0'!$D:$D,T_BS!D45,'8.0'!$H:$H),0)</f>
        <v>0</v>
      </c>
      <c r="Y45" s="201">
        <f t="shared" si="18"/>
        <v>0</v>
      </c>
      <c r="AA45" s="215">
        <f t="shared" si="19"/>
        <v>-7967175903</v>
      </c>
      <c r="AC45" s="637"/>
    </row>
    <row r="46" spans="1:29" ht="18" customHeight="1">
      <c r="A46" s="28"/>
      <c r="D46" s="590">
        <v>115800</v>
      </c>
      <c r="E46" s="164" t="s">
        <v>2</v>
      </c>
      <c r="F46" s="166" t="s">
        <v>616</v>
      </c>
      <c r="G46" s="164" t="s">
        <v>51</v>
      </c>
      <c r="H46" s="259">
        <v>0</v>
      </c>
      <c r="I46" s="272">
        <v>0</v>
      </c>
      <c r="J46" s="259"/>
      <c r="K46" s="272"/>
      <c r="L46" s="259">
        <v>0</v>
      </c>
      <c r="M46" s="36"/>
      <c r="N46" s="36"/>
      <c r="O46" s="201">
        <f t="shared" si="17"/>
        <v>0</v>
      </c>
      <c r="Q46" s="636">
        <f>SUMIF('1.0'!$D:$D,T_BS!D46,'1.0'!$J:$J)</f>
        <v>0</v>
      </c>
      <c r="R46" s="259">
        <f>SUMIF('2.0'!$D:$D,T_BS!D46,'2.0'!$J:$J)</f>
        <v>0</v>
      </c>
      <c r="S46" s="36">
        <f>ROUND(SUMIF('3.0'!$D:$D,T_BS!D46,'3.0'!$H:$H),0)</f>
        <v>0</v>
      </c>
      <c r="T46" s="272">
        <f>ROUND(SUMIF('4.0'!$D:$D,T_BS!D46,'4.0'!$J:$J),0)</f>
        <v>0</v>
      </c>
      <c r="U46" s="36">
        <f>ROUND(SUMIF('5.0'!$D:$D,T_BS!D46,'5.0'!$J:$J),0)</f>
        <v>0</v>
      </c>
      <c r="V46" s="272">
        <f>ROUND(SUMIF('6.0'!$D:$D,T_BS!D46,'6.0'!$J:$J),0)</f>
        <v>0</v>
      </c>
      <c r="W46" s="272">
        <f>ROUND(SUMIF('7.0'!$D:$D,T_BS!D46,'7.0'!$I:$I),0)</f>
        <v>0</v>
      </c>
      <c r="X46" s="272">
        <f>ROUND(SUMIF('8.0'!$D:$D,T_BS!D46,'8.0'!$H:$H),0)</f>
        <v>0</v>
      </c>
      <c r="Y46" s="201">
        <f t="shared" si="18"/>
        <v>0</v>
      </c>
      <c r="AA46" s="215">
        <f t="shared" si="19"/>
        <v>0</v>
      </c>
    </row>
    <row r="47" spans="1:29" ht="18" customHeight="1">
      <c r="A47" s="28"/>
      <c r="D47" s="586"/>
      <c r="E47" s="587"/>
      <c r="F47" s="588"/>
      <c r="G47" s="587" t="s">
        <v>3</v>
      </c>
      <c r="H47" s="52">
        <f>SUM(H48:H51)</f>
        <v>267417129</v>
      </c>
      <c r="I47" s="52">
        <f t="shared" ref="I47:N47" si="29">SUM(I48:I51)</f>
        <v>0</v>
      </c>
      <c r="J47" s="52">
        <f t="shared" si="29"/>
        <v>0</v>
      </c>
      <c r="K47" s="52">
        <f t="shared" si="29"/>
        <v>0</v>
      </c>
      <c r="L47" s="52">
        <f t="shared" si="29"/>
        <v>57524464</v>
      </c>
      <c r="M47" s="52"/>
      <c r="N47" s="52">
        <f t="shared" si="29"/>
        <v>0</v>
      </c>
      <c r="O47" s="589">
        <f t="shared" ref="O47" si="30">SUM(O48:O51)</f>
        <v>324941593</v>
      </c>
      <c r="Q47" s="634">
        <f t="shared" ref="Q47:V47" si="31">SUM(Q48:Q51)</f>
        <v>0</v>
      </c>
      <c r="R47" s="52">
        <f t="shared" si="31"/>
        <v>0</v>
      </c>
      <c r="S47" s="52">
        <f t="shared" si="31"/>
        <v>0</v>
      </c>
      <c r="T47" s="52">
        <f t="shared" si="31"/>
        <v>0</v>
      </c>
      <c r="U47" s="52">
        <f t="shared" si="31"/>
        <v>0</v>
      </c>
      <c r="V47" s="52">
        <f t="shared" si="31"/>
        <v>0</v>
      </c>
      <c r="W47" s="52">
        <f t="shared" ref="W47:X47" si="32">SUM(W48:W51)</f>
        <v>0</v>
      </c>
      <c r="X47" s="52">
        <f t="shared" si="32"/>
        <v>0</v>
      </c>
      <c r="Y47" s="589">
        <f t="shared" ref="Y47:AA47" si="33">SUM(Y48:Y51)</f>
        <v>0</v>
      </c>
      <c r="AA47" s="614">
        <f t="shared" si="33"/>
        <v>324941593</v>
      </c>
      <c r="AC47" s="637"/>
    </row>
    <row r="48" spans="1:29" ht="18" customHeight="1">
      <c r="A48" s="28"/>
      <c r="D48" s="590">
        <v>113100</v>
      </c>
      <c r="E48" s="164" t="s">
        <v>3</v>
      </c>
      <c r="F48" s="166">
        <v>1401</v>
      </c>
      <c r="G48" s="164" t="s">
        <v>52</v>
      </c>
      <c r="H48" s="259">
        <v>234108850</v>
      </c>
      <c r="I48" s="272">
        <v>0</v>
      </c>
      <c r="J48" s="272"/>
      <c r="K48" s="272"/>
      <c r="L48" s="259">
        <v>0</v>
      </c>
      <c r="M48" s="36"/>
      <c r="N48" s="36"/>
      <c r="O48" s="201">
        <f t="shared" si="17"/>
        <v>234108850</v>
      </c>
      <c r="Q48" s="636">
        <f>SUMIF('1.0'!$D:$D,T_BS!D48,'1.0'!$J:$J)</f>
        <v>0</v>
      </c>
      <c r="R48" s="259">
        <f>SUMIF('2.0'!$D:$D,T_BS!D48,'2.0'!$J:$J)</f>
        <v>0</v>
      </c>
      <c r="S48" s="36">
        <f>ROUND(SUMIF('3.0'!$D:$D,T_BS!D48,'3.0'!$H:$H),0)</f>
        <v>0</v>
      </c>
      <c r="T48" s="272">
        <f>ROUND(SUMIF('4.0'!$D:$D,T_BS!D48,'4.0'!$J:$J),0)</f>
        <v>0</v>
      </c>
      <c r="U48" s="36">
        <f>ROUND(SUMIF('5.0'!$D:$D,T_BS!D48,'5.0'!$J:$J),0)</f>
        <v>0</v>
      </c>
      <c r="V48" s="272">
        <f>ROUND(SUMIF('6.0'!$D:$D,T_BS!D48,'6.0'!$J:$J),0)</f>
        <v>0</v>
      </c>
      <c r="W48" s="272">
        <f>ROUND(SUMIF('7.0'!$D:$D,T_BS!D48,'7.0'!$I:$I),0)</f>
        <v>0</v>
      </c>
      <c r="X48" s="272">
        <f>ROUND(SUMIF('8.0'!$D:$D,T_BS!D48,'8.0'!$H:$H),0)</f>
        <v>0</v>
      </c>
      <c r="Y48" s="201">
        <f t="shared" si="18"/>
        <v>0</v>
      </c>
      <c r="AA48" s="215">
        <f t="shared" si="19"/>
        <v>234108850</v>
      </c>
      <c r="AC48" s="637"/>
    </row>
    <row r="49" spans="1:29" ht="18" customHeight="1">
      <c r="A49" s="28"/>
      <c r="D49" s="590">
        <v>113101</v>
      </c>
      <c r="E49" s="164" t="s">
        <v>3</v>
      </c>
      <c r="F49" s="166">
        <v>1401</v>
      </c>
      <c r="G49" s="164" t="s">
        <v>53</v>
      </c>
      <c r="H49" s="259">
        <v>22104300</v>
      </c>
      <c r="I49" s="272">
        <v>0</v>
      </c>
      <c r="J49" s="272"/>
      <c r="K49" s="272"/>
      <c r="L49" s="259">
        <v>0</v>
      </c>
      <c r="M49" s="36"/>
      <c r="N49" s="36"/>
      <c r="O49" s="201">
        <f t="shared" si="17"/>
        <v>22104300</v>
      </c>
      <c r="Q49" s="636">
        <f>SUMIF('1.0'!$D:$D,T_BS!D49,'1.0'!$J:$J)</f>
        <v>0</v>
      </c>
      <c r="R49" s="259">
        <f>SUMIF('2.0'!$D:$D,T_BS!D49,'2.0'!$J:$J)</f>
        <v>0</v>
      </c>
      <c r="S49" s="36">
        <f>ROUND(SUMIF('3.0'!$D:$D,T_BS!D49,'3.0'!$H:$H),0)</f>
        <v>0</v>
      </c>
      <c r="T49" s="272">
        <f>ROUND(SUMIF('4.0'!$D:$D,T_BS!D49,'4.0'!$J:$J),0)</f>
        <v>0</v>
      </c>
      <c r="U49" s="36">
        <f>ROUND(SUMIF('5.0'!$D:$D,T_BS!D49,'5.0'!$J:$J),0)</f>
        <v>0</v>
      </c>
      <c r="V49" s="272">
        <f>ROUND(SUMIF('6.0'!$D:$D,T_BS!D49,'6.0'!$J:$J),0)</f>
        <v>0</v>
      </c>
      <c r="W49" s="272">
        <f>ROUND(SUMIF('7.0'!$D:$D,T_BS!D49,'7.0'!$I:$I),0)</f>
        <v>0</v>
      </c>
      <c r="X49" s="272">
        <f>ROUND(SUMIF('8.0'!$D:$D,T_BS!D49,'8.0'!$H:$H),0)</f>
        <v>0</v>
      </c>
      <c r="Y49" s="201">
        <f t="shared" si="18"/>
        <v>0</v>
      </c>
      <c r="AA49" s="215">
        <f t="shared" si="19"/>
        <v>22104300</v>
      </c>
      <c r="AC49" s="637"/>
    </row>
    <row r="50" spans="1:29" ht="18" customHeight="1">
      <c r="A50" s="28"/>
      <c r="D50" s="590">
        <v>113160</v>
      </c>
      <c r="E50" s="164" t="s">
        <v>3</v>
      </c>
      <c r="F50" s="166">
        <v>1401</v>
      </c>
      <c r="G50" s="164" t="s">
        <v>54</v>
      </c>
      <c r="H50" s="259">
        <v>10647009</v>
      </c>
      <c r="I50" s="272">
        <v>0</v>
      </c>
      <c r="J50" s="272"/>
      <c r="K50" s="272"/>
      <c r="L50" s="259">
        <v>57524464</v>
      </c>
      <c r="M50" s="36"/>
      <c r="N50" s="36"/>
      <c r="O50" s="201">
        <f t="shared" si="17"/>
        <v>68171473</v>
      </c>
      <c r="Q50" s="636">
        <f>SUMIF('1.0'!$D:$D,T_BS!D50,'1.0'!$J:$J)</f>
        <v>0</v>
      </c>
      <c r="R50" s="259">
        <f>SUMIF('2.0'!$D:$D,T_BS!D50,'2.0'!$J:$J)</f>
        <v>0</v>
      </c>
      <c r="S50" s="36">
        <f>ROUND(SUMIF('3.0'!$D:$D,T_BS!D50,'3.0'!$H:$H),0)</f>
        <v>0</v>
      </c>
      <c r="T50" s="272">
        <f>ROUND(SUMIF('4.0'!$D:$D,T_BS!D50,'4.0'!$J:$J),0)</f>
        <v>0</v>
      </c>
      <c r="U50" s="36">
        <f>ROUND(SUMIF('5.0'!$D:$D,T_BS!D50,'5.0'!$J:$J),0)</f>
        <v>0</v>
      </c>
      <c r="V50" s="272">
        <f>ROUND(SUMIF('6.0'!$D:$D,T_BS!D50,'6.0'!$J:$J),0)</f>
        <v>0</v>
      </c>
      <c r="W50" s="272">
        <f>ROUND(SUMIF('7.0'!$D:$D,T_BS!D50,'7.0'!$I:$I),0)</f>
        <v>0</v>
      </c>
      <c r="X50" s="272">
        <f>ROUND(SUMIF('8.0'!$D:$D,T_BS!D50,'8.0'!$H:$H),0)</f>
        <v>0</v>
      </c>
      <c r="Y50" s="201">
        <f t="shared" si="18"/>
        <v>0</v>
      </c>
      <c r="AA50" s="215">
        <f t="shared" si="19"/>
        <v>68171473</v>
      </c>
      <c r="AC50" s="637"/>
    </row>
    <row r="51" spans="1:29" ht="18" customHeight="1">
      <c r="A51" s="28"/>
      <c r="D51" s="590">
        <v>113161</v>
      </c>
      <c r="E51" s="164" t="s">
        <v>3</v>
      </c>
      <c r="F51" s="166">
        <v>1401</v>
      </c>
      <c r="G51" s="164" t="s">
        <v>55</v>
      </c>
      <c r="H51" s="259">
        <v>556970</v>
      </c>
      <c r="I51" s="272">
        <v>0</v>
      </c>
      <c r="J51" s="272"/>
      <c r="K51" s="272"/>
      <c r="L51" s="259">
        <v>0</v>
      </c>
      <c r="M51" s="36"/>
      <c r="N51" s="36"/>
      <c r="O51" s="201">
        <f t="shared" si="17"/>
        <v>556970</v>
      </c>
      <c r="Q51" s="636">
        <f>SUMIF('1.0'!$D:$D,T_BS!D51,'1.0'!$J:$J)</f>
        <v>0</v>
      </c>
      <c r="R51" s="259">
        <f>SUMIF('2.0'!$D:$D,T_BS!D51,'2.0'!$J:$J)</f>
        <v>0</v>
      </c>
      <c r="S51" s="36">
        <f>ROUND(SUMIF('3.0'!$D:$D,T_BS!D51,'3.0'!$H:$H),0)</f>
        <v>0</v>
      </c>
      <c r="T51" s="272">
        <f>ROUND(SUMIF('4.0'!$D:$D,T_BS!D51,'4.0'!$J:$J),0)</f>
        <v>0</v>
      </c>
      <c r="U51" s="36">
        <f>ROUND(SUMIF('5.0'!$D:$D,T_BS!D51,'5.0'!$J:$J),0)</f>
        <v>0</v>
      </c>
      <c r="V51" s="272">
        <f>ROUND(SUMIF('6.0'!$D:$D,T_BS!D51,'6.0'!$J:$J),0)</f>
        <v>0</v>
      </c>
      <c r="W51" s="272">
        <f>ROUND(SUMIF('7.0'!$D:$D,T_BS!D51,'7.0'!$I:$I),0)</f>
        <v>0</v>
      </c>
      <c r="X51" s="272">
        <f>ROUND(SUMIF('8.0'!$D:$D,T_BS!D51,'8.0'!$H:$H),0)</f>
        <v>0</v>
      </c>
      <c r="Y51" s="201">
        <f t="shared" si="18"/>
        <v>0</v>
      </c>
      <c r="AA51" s="215">
        <f t="shared" si="19"/>
        <v>556970</v>
      </c>
      <c r="AC51" s="637"/>
    </row>
    <row r="52" spans="1:29" ht="18" customHeight="1">
      <c r="A52" s="28"/>
      <c r="D52" s="586"/>
      <c r="E52" s="587"/>
      <c r="F52" s="588"/>
      <c r="G52" s="587" t="s">
        <v>4</v>
      </c>
      <c r="H52" s="52">
        <f t="shared" ref="H52:O52" si="34">SUM(H53:H67)</f>
        <v>2110773605</v>
      </c>
      <c r="I52" s="52">
        <f t="shared" si="34"/>
        <v>430065309</v>
      </c>
      <c r="J52" s="52">
        <f t="shared" si="34"/>
        <v>0</v>
      </c>
      <c r="K52" s="52">
        <f t="shared" si="34"/>
        <v>0</v>
      </c>
      <c r="L52" s="52">
        <f t="shared" si="34"/>
        <v>56253682</v>
      </c>
      <c r="M52" s="52">
        <f t="shared" si="34"/>
        <v>0</v>
      </c>
      <c r="N52" s="52">
        <f t="shared" si="34"/>
        <v>0</v>
      </c>
      <c r="O52" s="589">
        <f t="shared" si="34"/>
        <v>2597092596</v>
      </c>
      <c r="Q52" s="634">
        <f t="shared" ref="Q52:Y52" si="35">SUM(Q53:Q67)</f>
        <v>0</v>
      </c>
      <c r="R52" s="52">
        <f t="shared" si="35"/>
        <v>0</v>
      </c>
      <c r="S52" s="52">
        <f t="shared" si="35"/>
        <v>0</v>
      </c>
      <c r="T52" s="52">
        <f t="shared" si="35"/>
        <v>0</v>
      </c>
      <c r="U52" s="52">
        <f t="shared" si="35"/>
        <v>0</v>
      </c>
      <c r="V52" s="52">
        <f t="shared" si="35"/>
        <v>0</v>
      </c>
      <c r="W52" s="52">
        <f t="shared" si="35"/>
        <v>0</v>
      </c>
      <c r="X52" s="52">
        <f t="shared" si="35"/>
        <v>0</v>
      </c>
      <c r="Y52" s="589">
        <f t="shared" si="35"/>
        <v>0</v>
      </c>
      <c r="AA52" s="614">
        <f>SUM(AA53:AA67)</f>
        <v>2597092596</v>
      </c>
      <c r="AC52" s="637"/>
    </row>
    <row r="53" spans="1:29" ht="18" customHeight="1">
      <c r="A53" s="28"/>
      <c r="D53" s="590">
        <v>112710</v>
      </c>
      <c r="E53" s="164" t="s">
        <v>4</v>
      </c>
      <c r="F53" s="166">
        <v>1605</v>
      </c>
      <c r="G53" s="164" t="s">
        <v>56</v>
      </c>
      <c r="H53" s="259">
        <v>365247561</v>
      </c>
      <c r="I53" s="272">
        <v>0</v>
      </c>
      <c r="J53" s="272"/>
      <c r="K53" s="272"/>
      <c r="L53" s="259">
        <v>4477209</v>
      </c>
      <c r="M53" s="36"/>
      <c r="N53" s="36"/>
      <c r="O53" s="201">
        <f t="shared" si="17"/>
        <v>369724770</v>
      </c>
      <c r="Q53" s="636">
        <f>SUMIF('1.0'!$D:$D,T_BS!D53,'1.0'!$J:$J)</f>
        <v>0</v>
      </c>
      <c r="R53" s="259">
        <f>SUMIF('2.0'!$D:$D,T_BS!D53,'2.0'!$J:$J)</f>
        <v>0</v>
      </c>
      <c r="S53" s="36">
        <f>ROUND(SUMIF('3.0'!$D:$D,T_BS!D53,'3.0'!$H:$H),0)</f>
        <v>0</v>
      </c>
      <c r="T53" s="272">
        <f>ROUND(SUMIF('4.0'!$D:$D,T_BS!D53,'4.0'!$J:$J),0)</f>
        <v>0</v>
      </c>
      <c r="U53" s="36">
        <f>ROUND(SUMIF('5.0'!$D:$D,T_BS!D53,'5.0'!$J:$J),0)</f>
        <v>0</v>
      </c>
      <c r="V53" s="272">
        <f>ROUND(SUMIF('6.0'!$D:$D,T_BS!D53,'6.0'!$J:$J),0)</f>
        <v>0</v>
      </c>
      <c r="W53" s="272">
        <f>ROUND(SUMIF('7.0'!$D:$D,T_BS!D53,'7.0'!$I:$I),0)</f>
        <v>0</v>
      </c>
      <c r="X53" s="272">
        <f>ROUND(SUMIF('8.0'!$D:$D,T_BS!D53,'8.0'!$H:$H),0)</f>
        <v>0</v>
      </c>
      <c r="Y53" s="201">
        <f t="shared" si="18"/>
        <v>0</v>
      </c>
      <c r="AA53" s="215">
        <f t="shared" si="19"/>
        <v>369724770</v>
      </c>
      <c r="AC53" s="637"/>
    </row>
    <row r="54" spans="1:29" ht="18" customHeight="1">
      <c r="A54" s="28"/>
      <c r="D54" s="590">
        <v>112720</v>
      </c>
      <c r="E54" s="164" t="s">
        <v>4</v>
      </c>
      <c r="F54" s="166">
        <v>1605</v>
      </c>
      <c r="G54" s="164" t="s">
        <v>57</v>
      </c>
      <c r="H54" s="259">
        <v>605065795</v>
      </c>
      <c r="I54" s="272">
        <v>0</v>
      </c>
      <c r="J54" s="272"/>
      <c r="K54" s="272"/>
      <c r="L54" s="259">
        <v>0</v>
      </c>
      <c r="M54" s="36"/>
      <c r="N54" s="36"/>
      <c r="O54" s="201">
        <f t="shared" si="17"/>
        <v>605065795</v>
      </c>
      <c r="Q54" s="636">
        <f>SUMIF('1.0'!$D:$D,T_BS!D54,'1.0'!$J:$J)</f>
        <v>0</v>
      </c>
      <c r="R54" s="259">
        <f>SUMIF('2.0'!$D:$D,T_BS!D54,'2.0'!$J:$J)</f>
        <v>0</v>
      </c>
      <c r="S54" s="36">
        <f>ROUND(SUMIF('3.0'!$D:$D,T_BS!D54,'3.0'!$H:$H),0)</f>
        <v>0</v>
      </c>
      <c r="T54" s="272">
        <f>ROUND(SUMIF('4.0'!$D:$D,T_BS!D54,'4.0'!$J:$J),0)</f>
        <v>0</v>
      </c>
      <c r="U54" s="36">
        <f>ROUND(SUMIF('5.0'!$D:$D,T_BS!D54,'5.0'!$J:$J),0)</f>
        <v>0</v>
      </c>
      <c r="V54" s="272">
        <f>ROUND(SUMIF('6.0'!$D:$D,T_BS!D54,'6.0'!$J:$J),0)</f>
        <v>0</v>
      </c>
      <c r="W54" s="272">
        <f>ROUND(SUMIF('7.0'!$D:$D,T_BS!D54,'7.0'!$I:$I),0)</f>
        <v>0</v>
      </c>
      <c r="X54" s="272">
        <f>ROUND(SUMIF('8.0'!$D:$D,T_BS!D54,'8.0'!$H:$H),0)</f>
        <v>0</v>
      </c>
      <c r="Y54" s="201">
        <f t="shared" si="18"/>
        <v>0</v>
      </c>
      <c r="AA54" s="215">
        <f t="shared" si="19"/>
        <v>605065795</v>
      </c>
      <c r="AC54" s="637"/>
    </row>
    <row r="55" spans="1:29" ht="18" customHeight="1">
      <c r="A55" s="28"/>
      <c r="D55" s="590">
        <v>112730</v>
      </c>
      <c r="E55" s="164" t="s">
        <v>4</v>
      </c>
      <c r="F55" s="166">
        <v>1605</v>
      </c>
      <c r="G55" s="164" t="s">
        <v>58</v>
      </c>
      <c r="H55" s="259">
        <v>48113134</v>
      </c>
      <c r="I55" s="272">
        <v>0</v>
      </c>
      <c r="J55" s="272"/>
      <c r="K55" s="272"/>
      <c r="L55" s="259">
        <v>0</v>
      </c>
      <c r="M55" s="36"/>
      <c r="N55" s="36"/>
      <c r="O55" s="201">
        <f t="shared" si="17"/>
        <v>48113134</v>
      </c>
      <c r="Q55" s="636">
        <f>SUMIF('1.0'!$D:$D,T_BS!D55,'1.0'!$J:$J)</f>
        <v>0</v>
      </c>
      <c r="R55" s="259">
        <f>SUMIF('2.0'!$D:$D,T_BS!D55,'2.0'!$J:$J)</f>
        <v>0</v>
      </c>
      <c r="S55" s="36">
        <f>ROUND(SUMIF('3.0'!$D:$D,T_BS!D55,'3.0'!$H:$H),0)</f>
        <v>0</v>
      </c>
      <c r="T55" s="272">
        <f>ROUND(SUMIF('4.0'!$D:$D,T_BS!D55,'4.0'!$J:$J),0)</f>
        <v>0</v>
      </c>
      <c r="U55" s="36">
        <f>ROUND(SUMIF('5.0'!$D:$D,T_BS!D55,'5.0'!$J:$J),0)</f>
        <v>0</v>
      </c>
      <c r="V55" s="272">
        <f>ROUND(SUMIF('6.0'!$D:$D,T_BS!D55,'6.0'!$J:$J),0)</f>
        <v>0</v>
      </c>
      <c r="W55" s="272">
        <f>ROUND(SUMIF('7.0'!$D:$D,T_BS!D55,'7.0'!$I:$I),0)</f>
        <v>0</v>
      </c>
      <c r="X55" s="272">
        <f>ROUND(SUMIF('8.0'!$D:$D,T_BS!D55,'8.0'!$H:$H),0)</f>
        <v>0</v>
      </c>
      <c r="Y55" s="201">
        <f t="shared" si="18"/>
        <v>0</v>
      </c>
      <c r="AA55" s="215">
        <f t="shared" si="19"/>
        <v>48113134</v>
      </c>
      <c r="AC55" s="637"/>
    </row>
    <row r="56" spans="1:29" ht="18" customHeight="1">
      <c r="A56" s="28"/>
      <c r="D56" s="590">
        <v>113340</v>
      </c>
      <c r="E56" s="164" t="s">
        <v>4</v>
      </c>
      <c r="F56" s="166">
        <v>1607</v>
      </c>
      <c r="G56" s="164" t="s">
        <v>59</v>
      </c>
      <c r="H56" s="259">
        <v>212955264</v>
      </c>
      <c r="I56" s="272">
        <v>0</v>
      </c>
      <c r="J56" s="272"/>
      <c r="K56" s="272"/>
      <c r="L56" s="259">
        <v>0</v>
      </c>
      <c r="M56" s="36"/>
      <c r="N56" s="36"/>
      <c r="O56" s="201">
        <f t="shared" si="17"/>
        <v>212955264</v>
      </c>
      <c r="Q56" s="636">
        <f>SUMIF('1.0'!$D:$D,T_BS!D56,'1.0'!$J:$J)</f>
        <v>0</v>
      </c>
      <c r="R56" s="259">
        <f>SUMIF('2.0'!$D:$D,T_BS!D56,'2.0'!$J:$J)</f>
        <v>0</v>
      </c>
      <c r="S56" s="36">
        <f>ROUND(SUMIF('3.0'!$D:$D,T_BS!D56,'3.0'!$H:$H),0)</f>
        <v>0</v>
      </c>
      <c r="T56" s="272">
        <f>ROUND(SUMIF('4.0'!$D:$D,T_BS!D56,'4.0'!$J:$J),0)</f>
        <v>0</v>
      </c>
      <c r="U56" s="36">
        <f>ROUND(SUMIF('5.0'!$D:$D,T_BS!D56,'5.0'!$J:$J),0)</f>
        <v>0</v>
      </c>
      <c r="V56" s="272">
        <f>ROUND(SUMIF('6.0'!$D:$D,T_BS!D56,'6.0'!$J:$J),0)</f>
        <v>0</v>
      </c>
      <c r="W56" s="272">
        <f>ROUND(SUMIF('7.0'!$D:$D,T_BS!D56,'7.0'!$I:$I),0)</f>
        <v>0</v>
      </c>
      <c r="X56" s="272">
        <f>ROUND(SUMIF('8.0'!$D:$D,T_BS!D56,'8.0'!$H:$H),0)</f>
        <v>0</v>
      </c>
      <c r="Y56" s="201">
        <f t="shared" si="18"/>
        <v>0</v>
      </c>
      <c r="AA56" s="215">
        <f t="shared" si="19"/>
        <v>212955264</v>
      </c>
      <c r="AC56" s="637"/>
    </row>
    <row r="57" spans="1:29" ht="18" customHeight="1">
      <c r="A57" s="28"/>
      <c r="D57" s="590">
        <v>112511</v>
      </c>
      <c r="E57" s="164" t="s">
        <v>4</v>
      </c>
      <c r="F57" s="166">
        <v>1601</v>
      </c>
      <c r="G57" s="164" t="s">
        <v>60</v>
      </c>
      <c r="H57" s="259">
        <v>447717159</v>
      </c>
      <c r="I57" s="272">
        <v>0</v>
      </c>
      <c r="J57" s="272"/>
      <c r="K57" s="272"/>
      <c r="L57" s="259">
        <v>0</v>
      </c>
      <c r="M57" s="36"/>
      <c r="N57" s="36"/>
      <c r="O57" s="201">
        <f t="shared" si="17"/>
        <v>447717159</v>
      </c>
      <c r="Q57" s="636">
        <f>SUMIF('1.0'!$D:$D,T_BS!D57,'1.0'!$J:$J)</f>
        <v>0</v>
      </c>
      <c r="R57" s="259">
        <f>SUMIF('2.0'!$D:$D,T_BS!D57,'2.0'!$J:$J)</f>
        <v>0</v>
      </c>
      <c r="S57" s="36">
        <f>ROUND(SUMIF('3.0'!$D:$D,T_BS!D57,'3.0'!$H:$H),0)</f>
        <v>0</v>
      </c>
      <c r="T57" s="272">
        <f>ROUND(SUMIF('4.0'!$D:$D,T_BS!D57,'4.0'!$J:$J),0)</f>
        <v>0</v>
      </c>
      <c r="U57" s="36">
        <f>ROUND(SUMIF('5.0'!$D:$D,T_BS!D57,'5.0'!$J:$J),0)</f>
        <v>0</v>
      </c>
      <c r="V57" s="272">
        <f>ROUND(SUMIF('6.0'!$D:$D,T_BS!D57,'6.0'!$J:$J),0)</f>
        <v>0</v>
      </c>
      <c r="W57" s="272">
        <f>ROUND(SUMIF('7.0'!$D:$D,T_BS!D57,'7.0'!$I:$I),0)</f>
        <v>0</v>
      </c>
      <c r="X57" s="272">
        <f>ROUND(SUMIF('8.0'!$D:$D,T_BS!D57,'8.0'!$H:$H),0)</f>
        <v>0</v>
      </c>
      <c r="Y57" s="201">
        <f t="shared" si="18"/>
        <v>0</v>
      </c>
      <c r="AA57" s="215">
        <f t="shared" si="19"/>
        <v>447717159</v>
      </c>
      <c r="AC57" s="637"/>
    </row>
    <row r="58" spans="1:29" ht="18" customHeight="1">
      <c r="A58" s="28"/>
      <c r="D58" s="590">
        <v>112521</v>
      </c>
      <c r="E58" s="164" t="s">
        <v>4</v>
      </c>
      <c r="F58" s="166">
        <v>1601</v>
      </c>
      <c r="G58" s="164" t="s">
        <v>61</v>
      </c>
      <c r="H58" s="259">
        <v>0</v>
      </c>
      <c r="I58" s="272">
        <v>0</v>
      </c>
      <c r="J58" s="272"/>
      <c r="K58" s="272"/>
      <c r="L58" s="259">
        <v>0</v>
      </c>
      <c r="M58" s="36"/>
      <c r="N58" s="36"/>
      <c r="O58" s="201">
        <f t="shared" si="17"/>
        <v>0</v>
      </c>
      <c r="Q58" s="636">
        <f>SUMIF('1.0'!$D:$D,T_BS!D58,'1.0'!$J:$J)</f>
        <v>0</v>
      </c>
      <c r="R58" s="259">
        <f>SUMIF('2.0'!$D:$D,T_BS!D58,'2.0'!$J:$J)</f>
        <v>0</v>
      </c>
      <c r="S58" s="36">
        <f>ROUND(SUMIF('3.0'!$D:$D,T_BS!D58,'3.0'!$H:$H),0)</f>
        <v>0</v>
      </c>
      <c r="T58" s="272">
        <f>ROUND(SUMIF('4.0'!$D:$D,T_BS!D58,'4.0'!$J:$J),0)</f>
        <v>0</v>
      </c>
      <c r="U58" s="36">
        <f>ROUND(SUMIF('5.0'!$D:$D,T_BS!D58,'5.0'!$J:$J),0)</f>
        <v>0</v>
      </c>
      <c r="V58" s="272">
        <f>ROUND(SUMIF('6.0'!$D:$D,T_BS!D58,'6.0'!$J:$J),0)</f>
        <v>0</v>
      </c>
      <c r="W58" s="272">
        <f>ROUND(SUMIF('7.0'!$D:$D,T_BS!D58,'7.0'!$I:$I),0)</f>
        <v>0</v>
      </c>
      <c r="X58" s="272">
        <f>ROUND(SUMIF('8.0'!$D:$D,T_BS!D58,'8.0'!$H:$H),0)</f>
        <v>0</v>
      </c>
      <c r="Y58" s="201">
        <f t="shared" si="18"/>
        <v>0</v>
      </c>
      <c r="AA58" s="215">
        <f t="shared" si="19"/>
        <v>0</v>
      </c>
      <c r="AC58" s="637"/>
    </row>
    <row r="59" spans="1:29" ht="18" customHeight="1">
      <c r="A59" s="28"/>
      <c r="D59" s="590">
        <v>112522</v>
      </c>
      <c r="E59" s="164" t="s">
        <v>4</v>
      </c>
      <c r="F59" s="166">
        <v>1601</v>
      </c>
      <c r="G59" s="164" t="s">
        <v>62</v>
      </c>
      <c r="H59" s="259">
        <v>232652289</v>
      </c>
      <c r="I59" s="272">
        <v>0</v>
      </c>
      <c r="J59" s="272"/>
      <c r="K59" s="272"/>
      <c r="L59" s="259">
        <v>0</v>
      </c>
      <c r="M59" s="36"/>
      <c r="N59" s="36"/>
      <c r="O59" s="201">
        <f t="shared" si="17"/>
        <v>232652289</v>
      </c>
      <c r="Q59" s="636">
        <f>SUMIF('1.0'!$D:$D,T_BS!D59,'1.0'!$J:$J)</f>
        <v>0</v>
      </c>
      <c r="R59" s="259">
        <f>SUMIF('2.0'!$D:$D,T_BS!D59,'2.0'!$J:$J)</f>
        <v>0</v>
      </c>
      <c r="S59" s="36">
        <f>ROUND(SUMIF('3.0'!$D:$D,T_BS!D59,'3.0'!$H:$H),0)</f>
        <v>0</v>
      </c>
      <c r="T59" s="272">
        <f>ROUND(SUMIF('4.0'!$D:$D,T_BS!D59,'4.0'!$J:$J),0)</f>
        <v>0</v>
      </c>
      <c r="U59" s="36">
        <f>ROUND(SUMIF('5.0'!$D:$D,T_BS!D59,'5.0'!$J:$J),0)</f>
        <v>0</v>
      </c>
      <c r="V59" s="272">
        <f>ROUND(SUMIF('6.0'!$D:$D,T_BS!D59,'6.0'!$J:$J),0)</f>
        <v>0</v>
      </c>
      <c r="W59" s="272">
        <f>ROUND(SUMIF('7.0'!$D:$D,T_BS!D59,'7.0'!$I:$I),0)</f>
        <v>0</v>
      </c>
      <c r="X59" s="272">
        <f>ROUND(SUMIF('8.0'!$D:$D,T_BS!D59,'8.0'!$H:$H),0)</f>
        <v>0</v>
      </c>
      <c r="Y59" s="201">
        <f t="shared" si="18"/>
        <v>0</v>
      </c>
      <c r="AA59" s="215">
        <f t="shared" si="19"/>
        <v>232652289</v>
      </c>
      <c r="AC59" s="637"/>
    </row>
    <row r="60" spans="1:29" ht="18" customHeight="1">
      <c r="A60" s="28"/>
      <c r="D60" s="590">
        <v>112531</v>
      </c>
      <c r="E60" s="164" t="s">
        <v>4</v>
      </c>
      <c r="F60" s="166">
        <v>1601</v>
      </c>
      <c r="G60" s="164" t="s">
        <v>63</v>
      </c>
      <c r="H60" s="259">
        <v>165077893</v>
      </c>
      <c r="I60" s="272">
        <v>430065309</v>
      </c>
      <c r="J60" s="272"/>
      <c r="K60" s="272"/>
      <c r="L60" s="259">
        <v>23069642</v>
      </c>
      <c r="M60" s="36"/>
      <c r="N60" s="36"/>
      <c r="O60" s="201">
        <f t="shared" si="17"/>
        <v>618212844</v>
      </c>
      <c r="Q60" s="636">
        <f>SUMIF('1.0'!$D:$D,T_BS!D60,'1.0'!$J:$J)</f>
        <v>0</v>
      </c>
      <c r="R60" s="259">
        <f>SUMIF('2.0'!$D:$D,T_BS!D60,'2.0'!$J:$J)</f>
        <v>0</v>
      </c>
      <c r="S60" s="36">
        <f>ROUND(SUMIF('3.0'!$D:$D,T_BS!D60,'3.0'!$H:$H),0)</f>
        <v>0</v>
      </c>
      <c r="T60" s="272">
        <f>ROUND(SUMIF('4.0'!$D:$D,T_BS!D60,'4.0'!$J:$J),0)</f>
        <v>0</v>
      </c>
      <c r="U60" s="36">
        <f>ROUND(SUMIF('5.0'!$D:$D,T_BS!D60,'5.0'!$J:$J),0)</f>
        <v>0</v>
      </c>
      <c r="V60" s="272">
        <f>ROUND(SUMIF('6.0'!$D:$D,T_BS!D60,'6.0'!$J:$J),0)</f>
        <v>0</v>
      </c>
      <c r="W60" s="272">
        <f>ROUND(SUMIF('7.0'!$D:$D,T_BS!D60,'7.0'!$I:$I),0)</f>
        <v>0</v>
      </c>
      <c r="X60" s="272">
        <f>ROUND(SUMIF('8.0'!$D:$D,T_BS!D60,'8.0'!$H:$H),0)</f>
        <v>0</v>
      </c>
      <c r="Y60" s="201">
        <f t="shared" si="18"/>
        <v>0</v>
      </c>
      <c r="AA60" s="215">
        <f t="shared" si="19"/>
        <v>618212844</v>
      </c>
      <c r="AC60" s="637"/>
    </row>
    <row r="61" spans="1:29" ht="18" customHeight="1">
      <c r="A61" s="28"/>
      <c r="D61" s="590">
        <v>112533</v>
      </c>
      <c r="E61" s="164" t="s">
        <v>4</v>
      </c>
      <c r="F61" s="166">
        <v>1601</v>
      </c>
      <c r="G61" s="164" t="s">
        <v>64</v>
      </c>
      <c r="H61" s="259">
        <v>0</v>
      </c>
      <c r="I61" s="272">
        <v>0</v>
      </c>
      <c r="J61" s="272"/>
      <c r="K61" s="272"/>
      <c r="L61" s="259">
        <v>0</v>
      </c>
      <c r="M61" s="36"/>
      <c r="N61" s="36"/>
      <c r="O61" s="201">
        <f t="shared" si="17"/>
        <v>0</v>
      </c>
      <c r="Q61" s="636">
        <f>SUMIF('1.0'!$D:$D,T_BS!D61,'1.0'!$J:$J)</f>
        <v>0</v>
      </c>
      <c r="R61" s="259">
        <f>SUMIF('2.0'!$D:$D,T_BS!D61,'2.0'!$J:$J)</f>
        <v>0</v>
      </c>
      <c r="S61" s="36">
        <f>ROUND(SUMIF('3.0'!$D:$D,T_BS!D61,'3.0'!$H:$H),0)</f>
        <v>0</v>
      </c>
      <c r="T61" s="272">
        <f>ROUND(SUMIF('4.0'!$D:$D,T_BS!D61,'4.0'!$J:$J),0)</f>
        <v>0</v>
      </c>
      <c r="U61" s="36">
        <f>ROUND(SUMIF('5.0'!$D:$D,T_BS!D61,'5.0'!$J:$J),0)</f>
        <v>0</v>
      </c>
      <c r="V61" s="272">
        <f>ROUND(SUMIF('6.0'!$D:$D,T_BS!D61,'6.0'!$J:$J),0)</f>
        <v>0</v>
      </c>
      <c r="W61" s="272">
        <f>ROUND(SUMIF('7.0'!$D:$D,T_BS!D61,'7.0'!$I:$I),0)</f>
        <v>0</v>
      </c>
      <c r="X61" s="272">
        <f>ROUND(SUMIF('8.0'!$D:$D,T_BS!D61,'8.0'!$H:$H),0)</f>
        <v>0</v>
      </c>
      <c r="Y61" s="201">
        <f t="shared" si="18"/>
        <v>0</v>
      </c>
      <c r="AA61" s="215">
        <f t="shared" si="19"/>
        <v>0</v>
      </c>
      <c r="AC61" s="637"/>
    </row>
    <row r="62" spans="1:29" ht="18" customHeight="1">
      <c r="A62" s="28"/>
      <c r="D62" s="590">
        <v>112536</v>
      </c>
      <c r="E62" s="164" t="s">
        <v>4</v>
      </c>
      <c r="F62" s="166">
        <v>1601</v>
      </c>
      <c r="G62" s="164" t="s">
        <v>1836</v>
      </c>
      <c r="H62" s="259">
        <v>0</v>
      </c>
      <c r="I62" s="272">
        <v>0</v>
      </c>
      <c r="J62" s="272"/>
      <c r="K62" s="272"/>
      <c r="L62" s="259">
        <v>0</v>
      </c>
      <c r="M62" s="36"/>
      <c r="N62" s="36"/>
      <c r="O62" s="201">
        <f t="shared" si="17"/>
        <v>0</v>
      </c>
      <c r="Q62" s="636"/>
      <c r="R62" s="259"/>
      <c r="S62" s="36"/>
      <c r="T62" s="272"/>
      <c r="U62" s="36"/>
      <c r="V62" s="272"/>
      <c r="W62" s="272"/>
      <c r="X62" s="272">
        <f>ROUND(SUMIF('8.0'!$D:$D,T_BS!D62,'8.0'!$H:$H),0)</f>
        <v>0</v>
      </c>
      <c r="Y62" s="201">
        <f t="shared" si="18"/>
        <v>0</v>
      </c>
      <c r="AA62" s="215">
        <f t="shared" si="19"/>
        <v>0</v>
      </c>
      <c r="AC62" s="637"/>
    </row>
    <row r="63" spans="1:29" ht="18" customHeight="1">
      <c r="A63" s="28"/>
      <c r="D63" s="590">
        <v>112534</v>
      </c>
      <c r="E63" s="164" t="s">
        <v>4</v>
      </c>
      <c r="F63" s="166">
        <v>1601</v>
      </c>
      <c r="G63" s="164" t="s">
        <v>65</v>
      </c>
      <c r="H63" s="259">
        <v>0</v>
      </c>
      <c r="I63" s="272">
        <v>0</v>
      </c>
      <c r="J63" s="272"/>
      <c r="K63" s="272"/>
      <c r="L63" s="259">
        <v>0</v>
      </c>
      <c r="M63" s="36"/>
      <c r="N63" s="36"/>
      <c r="O63" s="201">
        <f t="shared" si="17"/>
        <v>0</v>
      </c>
      <c r="Q63" s="636">
        <f>SUMIF('1.0'!$D:$D,T_BS!D63,'1.0'!$J:$J)</f>
        <v>0</v>
      </c>
      <c r="R63" s="259">
        <f>SUMIF('2.0'!$D:$D,T_BS!D63,'2.0'!$J:$J)</f>
        <v>0</v>
      </c>
      <c r="S63" s="36">
        <f>ROUND(SUMIF('3.0'!$D:$D,T_BS!D63,'3.0'!$H:$H),0)</f>
        <v>0</v>
      </c>
      <c r="T63" s="272">
        <f>ROUND(SUMIF('4.0'!$D:$D,T_BS!D63,'4.0'!$J:$J),0)</f>
        <v>0</v>
      </c>
      <c r="U63" s="36">
        <f>ROUND(SUMIF('5.0'!$D:$D,T_BS!D63,'5.0'!$J:$J),0)</f>
        <v>0</v>
      </c>
      <c r="V63" s="272">
        <f>ROUND(SUMIF('6.0'!$D:$D,T_BS!D63,'6.0'!$J:$J),0)</f>
        <v>0</v>
      </c>
      <c r="W63" s="272">
        <f>ROUND(SUMIF('7.0'!$D:$D,T_BS!D63,'7.0'!$I:$I),0)</f>
        <v>0</v>
      </c>
      <c r="X63" s="272">
        <f>ROUND(SUMIF('8.0'!$D:$D,T_BS!D63,'8.0'!$H:$H),0)</f>
        <v>0</v>
      </c>
      <c r="Y63" s="201">
        <f t="shared" si="18"/>
        <v>0</v>
      </c>
      <c r="AA63" s="215">
        <f t="shared" si="19"/>
        <v>0</v>
      </c>
      <c r="AC63" s="637"/>
    </row>
    <row r="64" spans="1:29" ht="18" customHeight="1">
      <c r="A64" s="28"/>
      <c r="D64" s="590">
        <v>112535</v>
      </c>
      <c r="E64" s="164" t="s">
        <v>4</v>
      </c>
      <c r="F64" s="166">
        <v>1601</v>
      </c>
      <c r="G64" s="164" t="s">
        <v>66</v>
      </c>
      <c r="H64" s="259">
        <v>244020</v>
      </c>
      <c r="I64" s="272">
        <v>0</v>
      </c>
      <c r="J64" s="272"/>
      <c r="K64" s="272"/>
      <c r="L64" s="259">
        <v>0</v>
      </c>
      <c r="M64" s="36"/>
      <c r="N64" s="36"/>
      <c r="O64" s="201">
        <f t="shared" si="17"/>
        <v>244020</v>
      </c>
      <c r="Q64" s="636">
        <f>SUMIF('1.0'!$D:$D,T_BS!D64,'1.0'!$J:$J)</f>
        <v>0</v>
      </c>
      <c r="R64" s="259">
        <f>SUMIF('2.0'!$D:$D,T_BS!D64,'2.0'!$J:$J)</f>
        <v>0</v>
      </c>
      <c r="S64" s="36">
        <f>ROUND(SUMIF('3.0'!$D:$D,T_BS!D64,'3.0'!$H:$H),0)</f>
        <v>0</v>
      </c>
      <c r="T64" s="272">
        <f>ROUND(SUMIF('4.0'!$D:$D,T_BS!D64,'4.0'!$J:$J),0)</f>
        <v>0</v>
      </c>
      <c r="U64" s="36">
        <f>ROUND(SUMIF('5.0'!$D:$D,T_BS!D64,'5.0'!$J:$J),0)</f>
        <v>0</v>
      </c>
      <c r="V64" s="272">
        <f>ROUND(SUMIF('6.0'!$D:$D,T_BS!D64,'6.0'!$J:$J),0)</f>
        <v>0</v>
      </c>
      <c r="W64" s="272">
        <f>ROUND(SUMIF('7.0'!$D:$D,T_BS!D64,'7.0'!$I:$I),0)</f>
        <v>0</v>
      </c>
      <c r="X64" s="272">
        <f>ROUND(SUMIF('8.0'!$D:$D,T_BS!D64,'8.0'!$H:$H),0)</f>
        <v>0</v>
      </c>
      <c r="Y64" s="201">
        <f t="shared" si="18"/>
        <v>0</v>
      </c>
      <c r="AA64" s="215">
        <f t="shared" si="19"/>
        <v>244020</v>
      </c>
      <c r="AC64" s="637"/>
    </row>
    <row r="65" spans="1:29" ht="18" customHeight="1">
      <c r="A65" s="28"/>
      <c r="D65" s="590">
        <v>112538</v>
      </c>
      <c r="E65" s="164" t="s">
        <v>4</v>
      </c>
      <c r="F65" s="166">
        <v>1601</v>
      </c>
      <c r="G65" s="164" t="s">
        <v>1835</v>
      </c>
      <c r="H65" s="259">
        <v>33700490</v>
      </c>
      <c r="I65" s="272">
        <v>0</v>
      </c>
      <c r="J65" s="272"/>
      <c r="K65" s="272"/>
      <c r="L65" s="259">
        <v>0</v>
      </c>
      <c r="M65" s="36"/>
      <c r="N65" s="36"/>
      <c r="O65" s="201">
        <f t="shared" si="17"/>
        <v>33700490</v>
      </c>
      <c r="Q65" s="636"/>
      <c r="R65" s="259"/>
      <c r="S65" s="36"/>
      <c r="T65" s="272"/>
      <c r="U65" s="36"/>
      <c r="V65" s="272"/>
      <c r="W65" s="272"/>
      <c r="X65" s="272">
        <f>ROUND(SUMIF('8.0'!$D:$D,T_BS!D65,'8.0'!$H:$H),0)</f>
        <v>0</v>
      </c>
      <c r="Y65" s="201">
        <f t="shared" si="18"/>
        <v>0</v>
      </c>
      <c r="AA65" s="215">
        <f t="shared" si="19"/>
        <v>33700490</v>
      </c>
      <c r="AC65" s="637"/>
    </row>
    <row r="66" spans="1:29" ht="18" customHeight="1">
      <c r="A66" s="28"/>
      <c r="D66" s="590">
        <v>112900</v>
      </c>
      <c r="E66" s="164" t="s">
        <v>4</v>
      </c>
      <c r="F66" s="166">
        <v>112900</v>
      </c>
      <c r="G66" s="164" t="s">
        <v>67</v>
      </c>
      <c r="H66" s="259">
        <v>0</v>
      </c>
      <c r="I66" s="272">
        <v>0</v>
      </c>
      <c r="J66" s="272"/>
      <c r="K66" s="272"/>
      <c r="L66" s="259">
        <v>0</v>
      </c>
      <c r="M66" s="36"/>
      <c r="N66" s="36"/>
      <c r="O66" s="201">
        <f t="shared" si="17"/>
        <v>0</v>
      </c>
      <c r="Q66" s="636">
        <f>SUMIF('1.0'!$D:$D,T_BS!D66,'1.0'!$J:$J)</f>
        <v>0</v>
      </c>
      <c r="R66" s="259">
        <f>SUMIF('2.0'!$D:$D,T_BS!D66,'2.0'!$J:$J)</f>
        <v>0</v>
      </c>
      <c r="S66" s="36">
        <f>ROUND(SUMIF('3.0'!$D:$D,T_BS!D66,'3.0'!$H:$H),0)</f>
        <v>0</v>
      </c>
      <c r="T66" s="272">
        <f>ROUND(SUMIF('4.0'!$D:$D,T_BS!D66,'4.0'!$J:$J),0)</f>
        <v>0</v>
      </c>
      <c r="U66" s="36">
        <f>ROUND(SUMIF('5.0'!$D:$D,T_BS!D66,'5.0'!$J:$J),0)</f>
        <v>0</v>
      </c>
      <c r="V66" s="272">
        <f>ROUND(SUMIF('6.0'!$D:$D,T_BS!D66,'6.0'!$J:$J),0)</f>
        <v>0</v>
      </c>
      <c r="W66" s="272">
        <f>ROUND(SUMIF('7.0'!$D:$D,T_BS!D66,'7.0'!$I:$I),0)</f>
        <v>0</v>
      </c>
      <c r="X66" s="272">
        <f>ROUND(SUMIF('8.0'!$D:$D,T_BS!D66,'8.0'!$H:$H),0)</f>
        <v>0</v>
      </c>
      <c r="Y66" s="201">
        <f t="shared" si="18"/>
        <v>0</v>
      </c>
      <c r="AA66" s="215">
        <f t="shared" si="19"/>
        <v>0</v>
      </c>
      <c r="AC66" s="637"/>
    </row>
    <row r="67" spans="1:29" ht="18" customHeight="1">
      <c r="A67" s="28"/>
      <c r="D67" s="590" t="s">
        <v>68</v>
      </c>
      <c r="E67" s="164" t="s">
        <v>4</v>
      </c>
      <c r="F67" s="166">
        <v>112900</v>
      </c>
      <c r="G67" s="164" t="s">
        <v>69</v>
      </c>
      <c r="H67" s="259">
        <v>0</v>
      </c>
      <c r="I67" s="272">
        <v>0</v>
      </c>
      <c r="J67" s="272"/>
      <c r="K67" s="272"/>
      <c r="L67" s="259">
        <v>28706831</v>
      </c>
      <c r="M67" s="36"/>
      <c r="N67" s="36"/>
      <c r="O67" s="201">
        <f t="shared" si="17"/>
        <v>28706831</v>
      </c>
      <c r="Q67" s="636">
        <f>SUMIF('1.0'!$D:$D,T_BS!D67,'1.0'!$J:$J)</f>
        <v>0</v>
      </c>
      <c r="R67" s="259">
        <f>SUMIF('2.0'!$D:$D,T_BS!D67,'2.0'!$J:$J)</f>
        <v>0</v>
      </c>
      <c r="S67" s="36">
        <f>ROUND(SUMIF('3.0'!$D:$D,T_BS!D67,'3.0'!$H:$H),0)</f>
        <v>0</v>
      </c>
      <c r="T67" s="272">
        <f>ROUND(SUMIF('4.0'!$D:$D,T_BS!D67,'4.0'!$J:$J),0)</f>
        <v>0</v>
      </c>
      <c r="U67" s="36">
        <f>ROUND(SUMIF('5.0'!$D:$D,T_BS!D67,'5.0'!$J:$J),0)</f>
        <v>0</v>
      </c>
      <c r="V67" s="272">
        <f>ROUND(SUMIF('6.0'!$D:$D,T_BS!D67,'6.0'!$J:$J),0)</f>
        <v>0</v>
      </c>
      <c r="W67" s="272">
        <f>ROUND(SUMIF('7.0'!$D:$D,T_BS!D67,'7.0'!$I:$I),0)</f>
        <v>0</v>
      </c>
      <c r="X67" s="272">
        <f>ROUND(SUMIF('8.0'!$D:$D,T_BS!D67,'8.0'!$H:$H),0)</f>
        <v>0</v>
      </c>
      <c r="Y67" s="201">
        <f t="shared" si="18"/>
        <v>0</v>
      </c>
      <c r="AA67" s="215">
        <f t="shared" si="19"/>
        <v>28706831</v>
      </c>
      <c r="AC67" s="637"/>
    </row>
    <row r="68" spans="1:29" ht="18" customHeight="1">
      <c r="A68" s="28"/>
      <c r="D68" s="583"/>
      <c r="E68" s="584"/>
      <c r="F68" s="585"/>
      <c r="G68" s="584" t="s">
        <v>70</v>
      </c>
      <c r="H68" s="49">
        <f>SUM(H69,H78,H83,H86,H109,H130)</f>
        <v>35405263789</v>
      </c>
      <c r="I68" s="49">
        <f>SUM(I69,I78,I83,I86,I109,I130)</f>
        <v>53308457</v>
      </c>
      <c r="J68" s="49">
        <f>SUM(J69,J78,J83,J86,J109,J130)</f>
        <v>0</v>
      </c>
      <c r="K68" s="49">
        <f>SUM(K69,K78,K83,K86,K109,K130)</f>
        <v>0</v>
      </c>
      <c r="L68" s="49">
        <f>SUM(L69,L78,L83,L86,L109,L130)</f>
        <v>471934699</v>
      </c>
      <c r="M68" s="49"/>
      <c r="N68" s="49">
        <f>SUM(N69,N78,N83,N86,N109,N130)</f>
        <v>0</v>
      </c>
      <c r="O68" s="340">
        <f>SUM(O69,O78,O83,O86,O109,O130)</f>
        <v>35930506945</v>
      </c>
      <c r="Q68" s="325">
        <f t="shared" ref="Q68:Y68" si="36">SUM(Q69,Q78,Q83,Q86,Q109,Q130)</f>
        <v>19842800</v>
      </c>
      <c r="R68" s="49">
        <f t="shared" si="36"/>
        <v>0</v>
      </c>
      <c r="S68" s="49">
        <f t="shared" si="36"/>
        <v>0</v>
      </c>
      <c r="T68" s="49">
        <f t="shared" si="36"/>
        <v>0</v>
      </c>
      <c r="U68" s="49">
        <f t="shared" si="36"/>
        <v>7337997894</v>
      </c>
      <c r="V68" s="49">
        <f t="shared" si="36"/>
        <v>0</v>
      </c>
      <c r="W68" s="49">
        <f t="shared" si="36"/>
        <v>0</v>
      </c>
      <c r="X68" s="49">
        <f t="shared" si="36"/>
        <v>-7971283612</v>
      </c>
      <c r="Y68" s="340">
        <f t="shared" si="36"/>
        <v>-613442918</v>
      </c>
      <c r="AA68" s="608">
        <f>SUM(AA69,AA78,AA83,AA86,AA109,AA130)</f>
        <v>35317064027</v>
      </c>
      <c r="AC68" s="640"/>
    </row>
    <row r="69" spans="1:29" ht="18" customHeight="1">
      <c r="A69" s="28"/>
      <c r="D69" s="586"/>
      <c r="E69" s="587"/>
      <c r="F69" s="588"/>
      <c r="G69" s="587" t="s">
        <v>71</v>
      </c>
      <c r="H69" s="52">
        <f>SUM(H70:H77)</f>
        <v>2133587410</v>
      </c>
      <c r="I69" s="52">
        <f>SUM(I70:I77)</f>
        <v>0</v>
      </c>
      <c r="J69" s="52">
        <f>SUM(J70:J77)</f>
        <v>0</v>
      </c>
      <c r="K69" s="52">
        <f>SUM(K70:K77)</f>
        <v>0</v>
      </c>
      <c r="L69" s="52">
        <f>SUM(L70:L77)</f>
        <v>9571230</v>
      </c>
      <c r="M69" s="52"/>
      <c r="N69" s="52">
        <f>SUM(N70:N77)</f>
        <v>0</v>
      </c>
      <c r="O69" s="589">
        <f>SUM(O70:O77)</f>
        <v>2143158640</v>
      </c>
      <c r="Q69" s="634">
        <f t="shared" ref="Q69:Y69" si="37">SUM(Q70:Q77)</f>
        <v>0</v>
      </c>
      <c r="R69" s="52">
        <f t="shared" si="37"/>
        <v>0</v>
      </c>
      <c r="S69" s="52">
        <f t="shared" si="37"/>
        <v>0</v>
      </c>
      <c r="T69" s="52">
        <f t="shared" si="37"/>
        <v>0</v>
      </c>
      <c r="U69" s="52">
        <f t="shared" si="37"/>
        <v>0</v>
      </c>
      <c r="V69" s="52">
        <f t="shared" si="37"/>
        <v>0</v>
      </c>
      <c r="W69" s="52">
        <f t="shared" si="37"/>
        <v>0</v>
      </c>
      <c r="X69" s="52">
        <f t="shared" si="37"/>
        <v>0</v>
      </c>
      <c r="Y69" s="589">
        <f t="shared" si="37"/>
        <v>0</v>
      </c>
      <c r="AA69" s="614">
        <f>SUM(AA70:AA77)</f>
        <v>2143158640</v>
      </c>
      <c r="AC69" s="637"/>
    </row>
    <row r="70" spans="1:29" ht="18" customHeight="1">
      <c r="A70" s="28"/>
      <c r="D70" s="590">
        <v>121551</v>
      </c>
      <c r="E70" s="164" t="s">
        <v>1750</v>
      </c>
      <c r="F70" s="166">
        <v>2101</v>
      </c>
      <c r="G70" s="164" t="s">
        <v>72</v>
      </c>
      <c r="H70" s="259">
        <v>105000000</v>
      </c>
      <c r="I70" s="272">
        <v>0</v>
      </c>
      <c r="J70" s="272"/>
      <c r="K70" s="272"/>
      <c r="L70" s="259">
        <v>9571230</v>
      </c>
      <c r="M70" s="36"/>
      <c r="N70" s="36"/>
      <c r="O70" s="201">
        <f t="shared" ref="O70:O77" si="38">SUM(H70:N70)</f>
        <v>114571230</v>
      </c>
      <c r="Q70" s="636">
        <f>SUMIF('1.0'!$D:$D,T_BS!D70,'1.0'!$J:$J)</f>
        <v>0</v>
      </c>
      <c r="R70" s="259">
        <f>SUMIF('2.0'!$D:$D,T_BS!D70,'2.0'!$J:$J)</f>
        <v>0</v>
      </c>
      <c r="S70" s="36">
        <f>ROUND(SUMIF('3.0'!$D:$D,T_BS!D70,'3.0'!$H:$H),0)</f>
        <v>0</v>
      </c>
      <c r="T70" s="272">
        <f>ROUND(SUMIF('4.0'!$D:$D,T_BS!D70,'4.0'!$J:$J),0)</f>
        <v>0</v>
      </c>
      <c r="U70" s="36">
        <f>ROUND(SUMIF('5.0'!$D:$D,T_BS!D70,'5.0'!$J:$J),0)</f>
        <v>0</v>
      </c>
      <c r="V70" s="272">
        <f>ROUND(SUMIF('6.0'!$D:$D,T_BS!D70,'6.0'!$J:$J),0)</f>
        <v>0</v>
      </c>
      <c r="W70" s="272">
        <f>ROUND(SUMIF('7.0'!$D:$D,T_BS!D70,'7.0'!$I:$I),0)</f>
        <v>0</v>
      </c>
      <c r="X70" s="272">
        <f>ROUND(SUMIF('8.0'!$D:$D,T_BS!D70,'8.0'!$H:$H),0)</f>
        <v>0</v>
      </c>
      <c r="Y70" s="201">
        <f t="shared" ref="Y70:Y77" si="39">SUM(Q70:X70)</f>
        <v>0</v>
      </c>
      <c r="AA70" s="215">
        <f t="shared" ref="AA70:AA77" si="40">Y70+O70</f>
        <v>114571230</v>
      </c>
      <c r="AC70" s="637"/>
    </row>
    <row r="71" spans="1:29" ht="18" customHeight="1">
      <c r="A71" s="28"/>
      <c r="D71" s="590">
        <v>121511</v>
      </c>
      <c r="E71" s="164" t="s">
        <v>1750</v>
      </c>
      <c r="F71" s="610">
        <v>2101</v>
      </c>
      <c r="G71" s="164" t="s">
        <v>73</v>
      </c>
      <c r="H71" s="259">
        <v>1257560</v>
      </c>
      <c r="I71" s="272">
        <v>0</v>
      </c>
      <c r="J71" s="272"/>
      <c r="K71" s="272"/>
      <c r="L71" s="259">
        <v>0</v>
      </c>
      <c r="M71" s="36"/>
      <c r="N71" s="36"/>
      <c r="O71" s="201">
        <f t="shared" si="38"/>
        <v>1257560</v>
      </c>
      <c r="Q71" s="636">
        <f>SUMIF('1.0'!$D:$D,T_BS!D71,'1.0'!$J:$J)</f>
        <v>0</v>
      </c>
      <c r="R71" s="259">
        <f>SUMIF('2.0'!$D:$D,T_BS!D71,'2.0'!$J:$J)</f>
        <v>0</v>
      </c>
      <c r="S71" s="36">
        <f>ROUND(SUMIF('3.0'!$D:$D,T_BS!D71,'3.0'!$H:$H),0)</f>
        <v>0</v>
      </c>
      <c r="T71" s="272">
        <f>ROUND(SUMIF('4.0'!$D:$D,T_BS!D71,'4.0'!$J:$J),0)</f>
        <v>0</v>
      </c>
      <c r="U71" s="36">
        <f>ROUND(SUMIF('5.0'!$D:$D,T_BS!D71,'5.0'!$J:$J),0)</f>
        <v>0</v>
      </c>
      <c r="V71" s="272">
        <f>ROUND(SUMIF('6.0'!$D:$D,T_BS!D71,'6.0'!$J:$J),0)</f>
        <v>0</v>
      </c>
      <c r="W71" s="272">
        <f>ROUND(SUMIF('7.0'!$D:$D,T_BS!D71,'7.0'!$I:$I),0)</f>
        <v>0</v>
      </c>
      <c r="X71" s="272">
        <f>ROUND(SUMIF('8.0'!$D:$D,T_BS!D71,'8.0'!$H:$H),0)</f>
        <v>0</v>
      </c>
      <c r="Y71" s="201">
        <f t="shared" si="39"/>
        <v>0</v>
      </c>
      <c r="AA71" s="215">
        <f t="shared" si="40"/>
        <v>1257560</v>
      </c>
      <c r="AC71" s="637"/>
    </row>
    <row r="72" spans="1:29" ht="18" customHeight="1">
      <c r="A72" s="28"/>
      <c r="D72" s="590">
        <v>121800</v>
      </c>
      <c r="E72" s="164" t="s">
        <v>1750</v>
      </c>
      <c r="F72" s="610">
        <v>2321</v>
      </c>
      <c r="G72" s="164" t="s">
        <v>1837</v>
      </c>
      <c r="H72" s="259">
        <v>300136621</v>
      </c>
      <c r="I72" s="272">
        <v>0</v>
      </c>
      <c r="J72" s="272"/>
      <c r="K72" s="272"/>
      <c r="L72" s="259">
        <v>0</v>
      </c>
      <c r="M72" s="36"/>
      <c r="N72" s="36"/>
      <c r="O72" s="201">
        <f t="shared" si="38"/>
        <v>300136621</v>
      </c>
      <c r="Q72" s="636">
        <f>SUMIF('1.0'!$D:$D,T_BS!D72,'1.0'!$J:$J)</f>
        <v>0</v>
      </c>
      <c r="R72" s="259">
        <f>SUMIF('2.0'!$D:$D,T_BS!D72,'2.0'!$J:$J)</f>
        <v>0</v>
      </c>
      <c r="S72" s="36">
        <f>ROUND(SUMIF('3.0'!$D:$D,T_BS!D72,'3.0'!$H:$H),0)</f>
        <v>0</v>
      </c>
      <c r="T72" s="272">
        <f>ROUND(SUMIF('4.0'!$D:$D,T_BS!D72,'4.0'!$J:$J),0)</f>
        <v>0</v>
      </c>
      <c r="U72" s="36">
        <f>ROUND(SUMIF('5.0'!$D:$D,T_BS!D72,'5.0'!$J:$J),0)</f>
        <v>0</v>
      </c>
      <c r="V72" s="272">
        <f>ROUND(SUMIF('6.0'!$D:$D,T_BS!D72,'6.0'!$J:$J),0)</f>
        <v>-300136621</v>
      </c>
      <c r="W72" s="272">
        <f>ROUND(SUMIF('7.0'!$D:$D,T_BS!D72,'7.0'!$I:$I),0)</f>
        <v>0</v>
      </c>
      <c r="X72" s="272">
        <f>ROUND(SUMIF('8.0'!$D:$D,T_BS!D72,'8.0'!$H:$H),0)</f>
        <v>0</v>
      </c>
      <c r="Y72" s="201">
        <f t="shared" si="39"/>
        <v>-300136621</v>
      </c>
      <c r="AA72" s="215">
        <f t="shared" si="40"/>
        <v>0</v>
      </c>
      <c r="AC72" s="637"/>
    </row>
    <row r="73" spans="1:29" ht="18" customHeight="1">
      <c r="A73" s="28"/>
      <c r="D73" s="590">
        <v>121805</v>
      </c>
      <c r="E73" s="164" t="s">
        <v>1750</v>
      </c>
      <c r="F73" s="610">
        <v>2322</v>
      </c>
      <c r="G73" s="164" t="s">
        <v>1838</v>
      </c>
      <c r="H73" s="259">
        <v>0</v>
      </c>
      <c r="I73" s="272">
        <v>0</v>
      </c>
      <c r="J73" s="272"/>
      <c r="K73" s="272"/>
      <c r="L73" s="259">
        <v>0</v>
      </c>
      <c r="M73" s="36"/>
      <c r="N73" s="36"/>
      <c r="O73" s="201">
        <f t="shared" si="38"/>
        <v>0</v>
      </c>
      <c r="Q73" s="636">
        <f>SUMIF('1.0'!$D:$D,T_BS!D73,'1.0'!$J:$J)</f>
        <v>0</v>
      </c>
      <c r="R73" s="259">
        <f>SUMIF('2.0'!$D:$D,T_BS!D73,'2.0'!$J:$J)</f>
        <v>0</v>
      </c>
      <c r="S73" s="36">
        <f>ROUND(SUMIF('3.0'!$D:$D,T_BS!D73,'3.0'!$H:$H),0)</f>
        <v>0</v>
      </c>
      <c r="T73" s="272">
        <f>ROUND(SUMIF('4.0'!$D:$D,T_BS!D73,'4.0'!$J:$J),0)</f>
        <v>0</v>
      </c>
      <c r="U73" s="36">
        <f>ROUND(SUMIF('5.0'!$D:$D,T_BS!D73,'5.0'!$J:$J),0)</f>
        <v>0</v>
      </c>
      <c r="V73" s="272">
        <f>ROUND(SUMIF('6.0'!$D:$D,T_BS!D73,'6.0'!$J:$J),0)</f>
        <v>0</v>
      </c>
      <c r="W73" s="272">
        <f>ROUND(SUMIF('7.0'!$D:$D,T_BS!D73,'7.0'!$I:$I),0)</f>
        <v>0</v>
      </c>
      <c r="X73" s="272">
        <f>ROUND(SUMIF('8.0'!$D:$D,T_BS!D73,'8.0'!$H:$H),0)</f>
        <v>0</v>
      </c>
      <c r="Y73" s="201">
        <f t="shared" si="39"/>
        <v>0</v>
      </c>
      <c r="AA73" s="215">
        <f t="shared" si="40"/>
        <v>0</v>
      </c>
      <c r="AC73" s="637"/>
    </row>
    <row r="74" spans="1:29" ht="18" customHeight="1">
      <c r="A74" s="28"/>
      <c r="D74" s="590" t="s">
        <v>1964</v>
      </c>
      <c r="E74" s="164" t="s">
        <v>1750</v>
      </c>
      <c r="F74" s="610">
        <v>2650</v>
      </c>
      <c r="G74" s="164" t="s">
        <v>1965</v>
      </c>
      <c r="H74" s="259">
        <v>0</v>
      </c>
      <c r="I74" s="272"/>
      <c r="J74" s="272"/>
      <c r="K74" s="272"/>
      <c r="L74" s="259"/>
      <c r="M74" s="36"/>
      <c r="N74" s="36"/>
      <c r="O74" s="201">
        <f t="shared" si="38"/>
        <v>0</v>
      </c>
      <c r="Q74" s="636">
        <f>SUMIF('1.0'!$D:$D,T_BS!D74,'1.0'!$J:$J)</f>
        <v>0</v>
      </c>
      <c r="R74" s="259">
        <f>SUMIF('2.0'!$D:$D,T_BS!D74,'2.0'!$J:$J)</f>
        <v>0</v>
      </c>
      <c r="S74" s="36">
        <f>ROUND(SUMIF('3.0'!$D:$D,T_BS!D74,'3.0'!$H:$H),0)</f>
        <v>0</v>
      </c>
      <c r="T74" s="272">
        <f>ROUND(SUMIF('4.0'!$D:$D,T_BS!D74,'4.0'!$J:$J),0)</f>
        <v>0</v>
      </c>
      <c r="U74" s="36">
        <f>ROUND(SUMIF('5.0'!$D:$D,T_BS!D74,'5.0'!$J:$J),0)</f>
        <v>0</v>
      </c>
      <c r="V74" s="272">
        <f>ROUND(SUMIF('6.0'!$D:$D,T_BS!D74,'6.0'!$J:$J),0)</f>
        <v>300136621</v>
      </c>
      <c r="W74" s="272">
        <f>ROUND(SUMIF('7.0'!$D:$D,T_BS!D74,'7.0'!$I:$I),0)</f>
        <v>0</v>
      </c>
      <c r="X74" s="272">
        <f>ROUND(SUMIF('8.0'!$D:$D,T_BS!D74,'8.0'!$H:$H),0)</f>
        <v>0</v>
      </c>
      <c r="Y74" s="201">
        <f t="shared" si="39"/>
        <v>300136621</v>
      </c>
      <c r="AA74" s="215">
        <f t="shared" si="40"/>
        <v>300136621</v>
      </c>
      <c r="AC74" s="637"/>
    </row>
    <row r="75" spans="1:29" ht="18" customHeight="1">
      <c r="A75" s="28"/>
      <c r="D75" s="590">
        <v>121602</v>
      </c>
      <c r="E75" s="164" t="s">
        <v>1750</v>
      </c>
      <c r="F75" s="610">
        <v>2311</v>
      </c>
      <c r="G75" s="164" t="s">
        <v>1839</v>
      </c>
      <c r="H75" s="259">
        <v>0</v>
      </c>
      <c r="I75" s="272">
        <v>0</v>
      </c>
      <c r="J75" s="272"/>
      <c r="K75" s="272"/>
      <c r="L75" s="259">
        <v>0</v>
      </c>
      <c r="M75" s="36"/>
      <c r="N75" s="36"/>
      <c r="O75" s="201">
        <f t="shared" si="38"/>
        <v>0</v>
      </c>
      <c r="Q75" s="636">
        <f>SUMIF('1.0'!$D:$D,T_BS!D75,'1.0'!$J:$J)</f>
        <v>0</v>
      </c>
      <c r="R75" s="259">
        <f>SUMIF('2.0'!$D:$D,T_BS!D75,'2.0'!$J:$J)</f>
        <v>0</v>
      </c>
      <c r="S75" s="36">
        <f>ROUND(SUMIF('3.0'!$D:$D,T_BS!D75,'3.0'!$H:$H),0)</f>
        <v>0</v>
      </c>
      <c r="T75" s="272">
        <f>ROUND(SUMIF('4.0'!$D:$D,T_BS!D75,'4.0'!$J:$J),0)</f>
        <v>0</v>
      </c>
      <c r="U75" s="36">
        <f>ROUND(SUMIF('5.0'!$D:$D,T_BS!D75,'5.0'!$J:$J),0)</f>
        <v>0</v>
      </c>
      <c r="V75" s="272">
        <f>ROUND(SUMIF('6.0'!$D:$D,T_BS!D75,'6.0'!$J:$J),0)</f>
        <v>0</v>
      </c>
      <c r="W75" s="272">
        <f>ROUND(SUMIF('7.0'!$D:$D,T_BS!D75,'7.0'!$I:$I),0)</f>
        <v>0</v>
      </c>
      <c r="X75" s="272">
        <f>ROUND(SUMIF('8.0'!$D:$D,T_BS!D75,'8.0'!$H:$H),0)</f>
        <v>0</v>
      </c>
      <c r="Y75" s="201">
        <f t="shared" si="39"/>
        <v>0</v>
      </c>
      <c r="AA75" s="215">
        <f t="shared" si="40"/>
        <v>0</v>
      </c>
      <c r="AC75" s="622"/>
    </row>
    <row r="76" spans="1:29" ht="18" customHeight="1">
      <c r="A76" s="28"/>
      <c r="D76" s="590">
        <v>121532</v>
      </c>
      <c r="E76" s="164" t="s">
        <v>1750</v>
      </c>
      <c r="F76" s="610">
        <v>2101</v>
      </c>
      <c r="G76" s="164" t="s">
        <v>74</v>
      </c>
      <c r="H76" s="259">
        <v>-100194771</v>
      </c>
      <c r="I76" s="272">
        <v>0</v>
      </c>
      <c r="J76" s="272"/>
      <c r="K76" s="272"/>
      <c r="L76" s="259">
        <v>0</v>
      </c>
      <c r="M76" s="36"/>
      <c r="N76" s="36"/>
      <c r="O76" s="201">
        <f t="shared" si="38"/>
        <v>-100194771</v>
      </c>
      <c r="Q76" s="636">
        <f>SUMIF('1.0'!$D:$D,T_BS!D76,'1.0'!$J:$J)</f>
        <v>0</v>
      </c>
      <c r="R76" s="259">
        <f>SUMIF('2.0'!$D:$D,T_BS!D76,'2.0'!$J:$J)</f>
        <v>0</v>
      </c>
      <c r="S76" s="36">
        <f>ROUND(SUMIF('3.0'!$D:$D,T_BS!D76,'3.0'!$H:$H),0)</f>
        <v>0</v>
      </c>
      <c r="T76" s="272">
        <f>ROUND(SUMIF('4.0'!$D:$D,T_BS!D76,'4.0'!$J:$J),0)</f>
        <v>0</v>
      </c>
      <c r="U76" s="36">
        <f>ROUND(SUMIF('5.0'!$D:$D,T_BS!D76,'5.0'!$J:$J),0)</f>
        <v>0</v>
      </c>
      <c r="V76" s="272">
        <f>ROUND(SUMIF('6.0'!$D:$D,T_BS!D76,'6.0'!$J:$J),0)</f>
        <v>0</v>
      </c>
      <c r="W76" s="272">
        <f>ROUND(SUMIF('7.0'!$D:$D,T_BS!D76,'7.0'!$I:$I),0)</f>
        <v>0</v>
      </c>
      <c r="X76" s="272">
        <f>ROUND(SUMIF('8.0'!$D:$D,T_BS!D76,'8.0'!$H:$H),0)</f>
        <v>0</v>
      </c>
      <c r="Y76" s="201">
        <f t="shared" si="39"/>
        <v>0</v>
      </c>
      <c r="AA76" s="215">
        <f t="shared" si="40"/>
        <v>-100194771</v>
      </c>
      <c r="AC76" s="637"/>
    </row>
    <row r="77" spans="1:29" ht="18" customHeight="1">
      <c r="A77" s="28"/>
      <c r="D77" s="590">
        <v>121531</v>
      </c>
      <c r="E77" s="164" t="s">
        <v>1750</v>
      </c>
      <c r="F77" s="166">
        <v>2101</v>
      </c>
      <c r="G77" s="164" t="s">
        <v>75</v>
      </c>
      <c r="H77" s="259">
        <v>1827388000</v>
      </c>
      <c r="I77" s="272">
        <v>0</v>
      </c>
      <c r="J77" s="272"/>
      <c r="K77" s="272"/>
      <c r="L77" s="259">
        <v>0</v>
      </c>
      <c r="M77" s="36"/>
      <c r="N77" s="36"/>
      <c r="O77" s="201">
        <f t="shared" si="38"/>
        <v>1827388000</v>
      </c>
      <c r="Q77" s="636">
        <f>SUMIF('1.0'!$D:$D,T_BS!D77,'1.0'!$J:$J)</f>
        <v>0</v>
      </c>
      <c r="R77" s="259">
        <f>SUMIF('2.0'!$D:$D,T_BS!D77,'2.0'!$J:$J)</f>
        <v>0</v>
      </c>
      <c r="S77" s="36">
        <f>ROUND(SUMIF('3.0'!$D:$D,T_BS!D77,'3.0'!$H:$H),0)</f>
        <v>0</v>
      </c>
      <c r="T77" s="272">
        <f>ROUND(SUMIF('4.0'!$D:$D,T_BS!D77,'4.0'!$J:$J),0)</f>
        <v>0</v>
      </c>
      <c r="U77" s="36">
        <f>ROUND(SUMIF('5.0'!$D:$D,T_BS!D77,'5.0'!$J:$J),0)</f>
        <v>0</v>
      </c>
      <c r="V77" s="272">
        <f>ROUND(SUMIF('6.0'!$D:$D,T_BS!D77,'6.0'!$J:$J),0)</f>
        <v>0</v>
      </c>
      <c r="W77" s="272">
        <f>ROUND(SUMIF('7.0'!$D:$D,T_BS!D77,'7.0'!$I:$I),0)</f>
        <v>0</v>
      </c>
      <c r="X77" s="272">
        <f>ROUND(SUMIF('8.0'!$D:$D,T_BS!D77,'8.0'!$H:$H),0)</f>
        <v>0</v>
      </c>
      <c r="Y77" s="201">
        <f t="shared" si="39"/>
        <v>0</v>
      </c>
      <c r="AA77" s="215">
        <f t="shared" si="40"/>
        <v>1827388000</v>
      </c>
      <c r="AC77" s="637"/>
    </row>
    <row r="78" spans="1:29" ht="18" customHeight="1">
      <c r="A78" s="28"/>
      <c r="D78" s="586"/>
      <c r="E78" s="587"/>
      <c r="F78" s="588"/>
      <c r="G78" s="587" t="s">
        <v>76</v>
      </c>
      <c r="H78" s="52">
        <f>SUM(H79:H82)</f>
        <v>996359683</v>
      </c>
      <c r="I78" s="52">
        <f t="shared" ref="I78:N78" si="41">SUM(I79:I82)</f>
        <v>0</v>
      </c>
      <c r="J78" s="52">
        <f t="shared" si="41"/>
        <v>0</v>
      </c>
      <c r="K78" s="52">
        <f t="shared" si="41"/>
        <v>0</v>
      </c>
      <c r="L78" s="52">
        <f t="shared" si="41"/>
        <v>0</v>
      </c>
      <c r="M78" s="52"/>
      <c r="N78" s="52">
        <f t="shared" si="41"/>
        <v>0</v>
      </c>
      <c r="O78" s="589">
        <f t="shared" ref="O78" si="42">SUM(O79:O82)</f>
        <v>996359683</v>
      </c>
      <c r="Q78" s="634">
        <f t="shared" ref="Q78:V78" si="43">SUM(Q79:Q82)</f>
        <v>0</v>
      </c>
      <c r="R78" s="52">
        <f t="shared" si="43"/>
        <v>0</v>
      </c>
      <c r="S78" s="52">
        <f t="shared" si="43"/>
        <v>0</v>
      </c>
      <c r="T78" s="52">
        <f t="shared" si="43"/>
        <v>0</v>
      </c>
      <c r="U78" s="52">
        <f t="shared" si="43"/>
        <v>0</v>
      </c>
      <c r="V78" s="52">
        <f t="shared" si="43"/>
        <v>0</v>
      </c>
      <c r="W78" s="52">
        <f t="shared" ref="W78:X78" si="44">SUM(W79:W82)</f>
        <v>0</v>
      </c>
      <c r="X78" s="52">
        <f t="shared" si="44"/>
        <v>0</v>
      </c>
      <c r="Y78" s="589">
        <f t="shared" ref="Y78:AA78" si="45">SUM(Y79:Y82)</f>
        <v>0</v>
      </c>
      <c r="AA78" s="614">
        <f t="shared" si="45"/>
        <v>996359683</v>
      </c>
      <c r="AC78" s="637"/>
    </row>
    <row r="79" spans="1:29" ht="18" customHeight="1">
      <c r="A79" s="28"/>
      <c r="D79" s="590">
        <v>121410</v>
      </c>
      <c r="E79" s="164" t="s">
        <v>76</v>
      </c>
      <c r="F79" s="610">
        <v>2603</v>
      </c>
      <c r="G79" s="164" t="s">
        <v>1829</v>
      </c>
      <c r="H79" s="259">
        <v>996359683</v>
      </c>
      <c r="I79" s="272">
        <v>0</v>
      </c>
      <c r="J79" s="272"/>
      <c r="K79" s="272"/>
      <c r="L79" s="259">
        <v>0</v>
      </c>
      <c r="M79" s="36"/>
      <c r="N79" s="36"/>
      <c r="O79" s="201">
        <f t="shared" ref="O79:O132" si="46">SUM(H79:N79)</f>
        <v>996359683</v>
      </c>
      <c r="Q79" s="636">
        <f>SUMIF('1.0'!$D:$D,T_BS!D79,'1.0'!$J:$J)</f>
        <v>0</v>
      </c>
      <c r="R79" s="259">
        <f>SUMIF('2.0'!$D:$D,T_BS!D79,'2.0'!$J:$J)</f>
        <v>0</v>
      </c>
      <c r="S79" s="36">
        <f>ROUND(SUMIF('3.0'!$D:$D,T_BS!D79,'3.0'!$H:$H),0)</f>
        <v>0</v>
      </c>
      <c r="T79" s="272">
        <f>ROUND(SUMIF('4.0'!$D:$D,T_BS!D79,'4.0'!$J:$J),0)</f>
        <v>0</v>
      </c>
      <c r="U79" s="36">
        <f>ROUND(SUMIF('5.0'!$D:$D,T_BS!D79,'5.0'!$J:$J),0)</f>
        <v>0</v>
      </c>
      <c r="V79" s="272">
        <f>ROUND(SUMIF('6.0'!$D:$D,T_BS!D79,'6.0'!$J:$J),0)</f>
        <v>0</v>
      </c>
      <c r="W79" s="272">
        <f>ROUND(SUMIF('7.0'!$D:$D,T_BS!D79,'7.0'!$I:$I),0)</f>
        <v>0</v>
      </c>
      <c r="X79" s="272">
        <f>ROUND(SUMIF('8.0'!$D:$D,T_BS!D79,'8.0'!$H:$H),0)</f>
        <v>0</v>
      </c>
      <c r="Y79" s="201">
        <f t="shared" ref="Y79:Y82" si="47">SUM(Q79:X79)</f>
        <v>0</v>
      </c>
      <c r="AA79" s="215">
        <f t="shared" ref="AA79:AA85" si="48">Y79+O79</f>
        <v>996359683</v>
      </c>
      <c r="AC79" s="637"/>
    </row>
    <row r="80" spans="1:29" ht="18" customHeight="1">
      <c r="A80" s="28"/>
      <c r="D80" s="591" t="s">
        <v>222</v>
      </c>
      <c r="E80" s="164" t="s">
        <v>76</v>
      </c>
      <c r="F80" s="166" t="s">
        <v>616</v>
      </c>
      <c r="G80" s="164" t="s">
        <v>78</v>
      </c>
      <c r="H80" s="259">
        <v>0</v>
      </c>
      <c r="I80" s="272">
        <v>0</v>
      </c>
      <c r="J80" s="272"/>
      <c r="K80" s="272"/>
      <c r="L80" s="259">
        <v>0</v>
      </c>
      <c r="M80" s="36"/>
      <c r="N80" s="36"/>
      <c r="O80" s="201">
        <f t="shared" si="46"/>
        <v>0</v>
      </c>
      <c r="Q80" s="636">
        <f>SUMIF('1.0'!$D:$D,T_BS!D80,'1.0'!$J:$J)</f>
        <v>0</v>
      </c>
      <c r="R80" s="259">
        <f>SUMIF('2.0'!$D:$D,T_BS!D80,'2.0'!$J:$J)</f>
        <v>0</v>
      </c>
      <c r="S80" s="36">
        <f>ROUND(SUMIF('3.0'!$D:$D,T_BS!D80,'3.0'!$H:$H),0)</f>
        <v>0</v>
      </c>
      <c r="T80" s="272">
        <f>ROUND(SUMIF('4.0'!$D:$D,T_BS!D80,'4.0'!$J:$J),0)</f>
        <v>0</v>
      </c>
      <c r="U80" s="36">
        <f>ROUND(SUMIF('5.0'!$D:$D,T_BS!D80,'5.0'!$J:$J),0)</f>
        <v>0</v>
      </c>
      <c r="V80" s="272">
        <f>ROUND(SUMIF('6.0'!$D:$D,T_BS!D80,'6.0'!$J:$J),0)</f>
        <v>0</v>
      </c>
      <c r="W80" s="272">
        <f>ROUND(SUMIF('7.0'!$D:$D,T_BS!D80,'7.0'!$I:$I),0)</f>
        <v>0</v>
      </c>
      <c r="X80" s="272">
        <f>ROUND(SUMIF('8.0'!$D:$D,T_BS!D80,'8.0'!$H:$H),0)</f>
        <v>0</v>
      </c>
      <c r="Y80" s="201">
        <f t="shared" si="47"/>
        <v>0</v>
      </c>
      <c r="AA80" s="215">
        <f t="shared" si="48"/>
        <v>0</v>
      </c>
    </row>
    <row r="81" spans="1:29" ht="18" customHeight="1">
      <c r="A81" s="28"/>
      <c r="D81" s="591" t="s">
        <v>223</v>
      </c>
      <c r="E81" s="164" t="s">
        <v>76</v>
      </c>
      <c r="F81" s="166" t="s">
        <v>616</v>
      </c>
      <c r="G81" s="164" t="s">
        <v>79</v>
      </c>
      <c r="H81" s="259">
        <v>0</v>
      </c>
      <c r="I81" s="272">
        <v>0</v>
      </c>
      <c r="J81" s="272"/>
      <c r="K81" s="272"/>
      <c r="L81" s="259">
        <v>0</v>
      </c>
      <c r="M81" s="36"/>
      <c r="N81" s="36"/>
      <c r="O81" s="201">
        <f t="shared" si="46"/>
        <v>0</v>
      </c>
      <c r="Q81" s="636">
        <f>SUMIF('1.0'!$D:$D,T_BS!D81,'1.0'!$J:$J)</f>
        <v>0</v>
      </c>
      <c r="R81" s="259">
        <f>SUMIF('2.0'!$D:$D,T_BS!D81,'2.0'!$J:$J)</f>
        <v>0</v>
      </c>
      <c r="S81" s="36">
        <f>ROUND(SUMIF('3.0'!$D:$D,T_BS!D81,'3.0'!$H:$H),0)</f>
        <v>0</v>
      </c>
      <c r="T81" s="272">
        <f>ROUND(SUMIF('4.0'!$D:$D,T_BS!D81,'4.0'!$J:$J),0)</f>
        <v>0</v>
      </c>
      <c r="U81" s="36">
        <f>ROUND(SUMIF('5.0'!$D:$D,T_BS!D81,'5.0'!$J:$J),0)</f>
        <v>0</v>
      </c>
      <c r="V81" s="272">
        <f>ROUND(SUMIF('6.0'!$D:$D,T_BS!D81,'6.0'!$J:$J),0)</f>
        <v>0</v>
      </c>
      <c r="W81" s="272">
        <f>ROUND(SUMIF('7.0'!$D:$D,T_BS!D81,'7.0'!$I:$I),0)</f>
        <v>0</v>
      </c>
      <c r="X81" s="272">
        <f>ROUND(SUMIF('8.0'!$D:$D,T_BS!D81,'8.0'!$H:$H),0)</f>
        <v>0</v>
      </c>
      <c r="Y81" s="201">
        <f t="shared" si="47"/>
        <v>0</v>
      </c>
      <c r="AA81" s="215">
        <f t="shared" si="48"/>
        <v>0</v>
      </c>
    </row>
    <row r="82" spans="1:29" ht="18" customHeight="1">
      <c r="A82" s="28"/>
      <c r="D82" s="591" t="s">
        <v>224</v>
      </c>
      <c r="E82" s="164" t="s">
        <v>76</v>
      </c>
      <c r="F82" s="166" t="s">
        <v>616</v>
      </c>
      <c r="G82" s="164" t="s">
        <v>42</v>
      </c>
      <c r="H82" s="259">
        <v>0</v>
      </c>
      <c r="I82" s="272">
        <v>0</v>
      </c>
      <c r="J82" s="272"/>
      <c r="K82" s="272"/>
      <c r="L82" s="259">
        <v>0</v>
      </c>
      <c r="M82" s="36"/>
      <c r="N82" s="36"/>
      <c r="O82" s="201">
        <f t="shared" si="46"/>
        <v>0</v>
      </c>
      <c r="Q82" s="636">
        <f>SUMIF('1.0'!$D:$D,T_BS!D82,'1.0'!$J:$J)</f>
        <v>0</v>
      </c>
      <c r="R82" s="259">
        <f>SUMIF('2.0'!$D:$D,T_BS!D82,'2.0'!$J:$J)</f>
        <v>0</v>
      </c>
      <c r="S82" s="36">
        <f>ROUND(SUMIF('3.0'!$D:$D,T_BS!D82,'3.0'!$H:$H),0)</f>
        <v>0</v>
      </c>
      <c r="T82" s="272">
        <f>ROUND(SUMIF('4.0'!$D:$D,T_BS!D82,'4.0'!$J:$J),0)</f>
        <v>0</v>
      </c>
      <c r="U82" s="36">
        <f>ROUND(SUMIF('5.0'!$D:$D,T_BS!D82,'5.0'!$J:$J),0)</f>
        <v>0</v>
      </c>
      <c r="V82" s="272">
        <f>ROUND(SUMIF('6.0'!$D:$D,T_BS!D82,'6.0'!$J:$J),0)</f>
        <v>0</v>
      </c>
      <c r="W82" s="272">
        <f>ROUND(SUMIF('7.0'!$D:$D,T_BS!D82,'7.0'!$I:$I),0)</f>
        <v>0</v>
      </c>
      <c r="X82" s="272">
        <f>ROUND(SUMIF('8.0'!$D:$D,T_BS!D82,'8.0'!$H:$H),0)</f>
        <v>0</v>
      </c>
      <c r="Y82" s="201">
        <f t="shared" si="47"/>
        <v>0</v>
      </c>
      <c r="AA82" s="215">
        <f t="shared" si="48"/>
        <v>0</v>
      </c>
    </row>
    <row r="83" spans="1:29" ht="18" customHeight="1">
      <c r="A83" s="28"/>
      <c r="D83" s="586"/>
      <c r="E83" s="587"/>
      <c r="F83" s="588"/>
      <c r="G83" s="587" t="s">
        <v>80</v>
      </c>
      <c r="H83" s="52">
        <f>SUM(H84:H85)</f>
        <v>7971283612</v>
      </c>
      <c r="I83" s="52">
        <f>SUM(I84:I85)</f>
        <v>0</v>
      </c>
      <c r="J83" s="52">
        <f>SUM(J84:J85)</f>
        <v>0</v>
      </c>
      <c r="K83" s="52">
        <f>SUM(K84:K85)</f>
        <v>0</v>
      </c>
      <c r="L83" s="52">
        <f>SUM(L84:L85)</f>
        <v>0</v>
      </c>
      <c r="M83" s="52"/>
      <c r="N83" s="52">
        <f>SUM(N84:N85)</f>
        <v>0</v>
      </c>
      <c r="O83" s="589">
        <f>SUM(O84:O85)</f>
        <v>7971283612</v>
      </c>
      <c r="Q83" s="634">
        <f t="shared" ref="Q83:Y83" si="49">SUM(Q84:Q85)</f>
        <v>0</v>
      </c>
      <c r="R83" s="52">
        <f t="shared" si="49"/>
        <v>0</v>
      </c>
      <c r="S83" s="52">
        <f t="shared" si="49"/>
        <v>0</v>
      </c>
      <c r="T83" s="52">
        <f t="shared" si="49"/>
        <v>0</v>
      </c>
      <c r="U83" s="52">
        <f t="shared" si="49"/>
        <v>0</v>
      </c>
      <c r="V83" s="52">
        <f t="shared" si="49"/>
        <v>0</v>
      </c>
      <c r="W83" s="52">
        <f t="shared" si="49"/>
        <v>0</v>
      </c>
      <c r="X83" s="52">
        <f t="shared" si="49"/>
        <v>-7971283612</v>
      </c>
      <c r="Y83" s="589">
        <f t="shared" si="49"/>
        <v>-7971283612</v>
      </c>
      <c r="AA83" s="614">
        <f>SUM(AA84:AA85)</f>
        <v>0</v>
      </c>
    </row>
    <row r="84" spans="1:29" ht="18" customHeight="1">
      <c r="A84" s="28"/>
      <c r="D84" s="590">
        <v>900019</v>
      </c>
      <c r="E84" s="164" t="s">
        <v>81</v>
      </c>
      <c r="F84" s="166" t="s">
        <v>616</v>
      </c>
      <c r="G84" s="164" t="s">
        <v>81</v>
      </c>
      <c r="H84" s="259">
        <v>7971283612</v>
      </c>
      <c r="I84" s="272">
        <v>0</v>
      </c>
      <c r="J84" s="272"/>
      <c r="K84" s="272"/>
      <c r="L84" s="259">
        <v>0</v>
      </c>
      <c r="M84" s="36"/>
      <c r="N84" s="36"/>
      <c r="O84" s="201">
        <f t="shared" si="46"/>
        <v>7971283612</v>
      </c>
      <c r="Q84" s="636">
        <f>SUMIF('1.0'!$D:$D,T_BS!D84,'1.0'!$J:$J)</f>
        <v>0</v>
      </c>
      <c r="R84" s="259">
        <f>SUMIF('2.0'!$D:$D,T_BS!D84,'2.0'!$J:$J)</f>
        <v>0</v>
      </c>
      <c r="S84" s="36">
        <f>ROUND(SUMIF('3.0'!$D:$D,T_BS!D84,'3.0'!$H:$H),0)</f>
        <v>0</v>
      </c>
      <c r="T84" s="272">
        <f>ROUND(SUMIF('4.0'!$D:$D,T_BS!D84,'4.0'!$J:$J),0)</f>
        <v>0</v>
      </c>
      <c r="U84" s="36">
        <f>ROUND(SUMIF('5.0'!$D:$D,T_BS!D84,'5.0'!$J:$J),0)</f>
        <v>0</v>
      </c>
      <c r="V84" s="272">
        <f>ROUND(SUMIF('6.0'!$D:$D,T_BS!D84,'6.0'!$J:$J),0)</f>
        <v>0</v>
      </c>
      <c r="W84" s="272">
        <f>ROUND(SUMIF('7.0'!$D:$D,T_BS!D84,'7.0'!$I:$I),0)</f>
        <v>0</v>
      </c>
      <c r="X84" s="272">
        <f>ROUND(SUMIF('8.0'!$D:$D,T_BS!D84,'8.0'!$H:$H),0)</f>
        <v>-7971283612</v>
      </c>
      <c r="Y84" s="201">
        <f t="shared" ref="Y84:Y85" si="50">SUM(Q84:X84)</f>
        <v>-7971283612</v>
      </c>
      <c r="AA84" s="215">
        <f t="shared" si="48"/>
        <v>0</v>
      </c>
      <c r="AC84" s="641" t="b">
        <f>AA84=0</f>
        <v>1</v>
      </c>
    </row>
    <row r="85" spans="1:29" ht="18" customHeight="1">
      <c r="A85" s="28"/>
      <c r="D85" s="590" t="s">
        <v>82</v>
      </c>
      <c r="E85" s="164" t="s">
        <v>83</v>
      </c>
      <c r="F85" s="166" t="s">
        <v>616</v>
      </c>
      <c r="G85" s="164" t="s">
        <v>83</v>
      </c>
      <c r="H85" s="259">
        <v>0</v>
      </c>
      <c r="I85" s="272">
        <v>0</v>
      </c>
      <c r="J85" s="272"/>
      <c r="K85" s="272"/>
      <c r="L85" s="259">
        <v>0</v>
      </c>
      <c r="M85" s="36"/>
      <c r="N85" s="36"/>
      <c r="O85" s="201">
        <f t="shared" si="46"/>
        <v>0</v>
      </c>
      <c r="Q85" s="636">
        <f>SUMIF('1.0'!$D:$D,T_BS!D85,'1.0'!$J:$J)</f>
        <v>0</v>
      </c>
      <c r="R85" s="259">
        <f>SUMIF('2.0'!$D:$D,T_BS!D85,'2.0'!$J:$J)</f>
        <v>0</v>
      </c>
      <c r="S85" s="36">
        <f>ROUND(SUMIF('3.0'!$D:$D,T_BS!D85,'3.0'!$H:$H),0)</f>
        <v>0</v>
      </c>
      <c r="T85" s="272">
        <f>ROUND(SUMIF('4.0'!$D:$D,T_BS!D85,'4.0'!$J:$J),0)</f>
        <v>0</v>
      </c>
      <c r="U85" s="36">
        <f>ROUND(SUMIF('5.0'!$D:$D,T_BS!D85,'5.0'!$J:$J),0)</f>
        <v>0</v>
      </c>
      <c r="V85" s="272">
        <f>ROUND(SUMIF('6.0'!$D:$D,T_BS!D85,'6.0'!$J:$J),0)</f>
        <v>0</v>
      </c>
      <c r="W85" s="272">
        <f>ROUND(SUMIF('7.0'!$D:$D,T_BS!D85,'7.0'!$I:$I),0)</f>
        <v>0</v>
      </c>
      <c r="X85" s="272">
        <f>ROUND(SUMIF('8.0'!$D:$D,T_BS!D85,'8.0'!$H:$H),0)</f>
        <v>0</v>
      </c>
      <c r="Y85" s="201">
        <f t="shared" si="50"/>
        <v>0</v>
      </c>
      <c r="AA85" s="215">
        <f t="shared" si="48"/>
        <v>0</v>
      </c>
    </row>
    <row r="86" spans="1:29" ht="18" customHeight="1">
      <c r="A86" s="28"/>
      <c r="D86" s="586"/>
      <c r="E86" s="587"/>
      <c r="F86" s="588"/>
      <c r="G86" s="587" t="s">
        <v>5</v>
      </c>
      <c r="H86" s="52">
        <f>SUM(H87:H107)</f>
        <v>4875886530</v>
      </c>
      <c r="I86" s="52">
        <f t="shared" ref="I86:J86" si="51">SUM(I87:I107)</f>
        <v>53308457</v>
      </c>
      <c r="J86" s="52">
        <f t="shared" si="51"/>
        <v>0</v>
      </c>
      <c r="K86" s="52">
        <f>SUM(K87:K108)</f>
        <v>0</v>
      </c>
      <c r="L86" s="52">
        <f t="shared" ref="L86:N86" si="52">SUM(L87:L108)</f>
        <v>399310333</v>
      </c>
      <c r="M86" s="52">
        <f t="shared" si="52"/>
        <v>0</v>
      </c>
      <c r="N86" s="52">
        <f t="shared" si="52"/>
        <v>0</v>
      </c>
      <c r="O86" s="589">
        <f>SUM(O87:O108)</f>
        <v>5328505320</v>
      </c>
      <c r="Q86" s="634">
        <f t="shared" ref="Q86" si="53">SUM(Q87:Q108)</f>
        <v>0</v>
      </c>
      <c r="R86" s="52">
        <f>SUM(R87:R108)</f>
        <v>0</v>
      </c>
      <c r="S86" s="52">
        <f t="shared" ref="S86" si="54">SUM(S87:S108)</f>
        <v>0</v>
      </c>
      <c r="T86" s="52">
        <f t="shared" ref="T86" si="55">SUM(T87:T108)</f>
        <v>0</v>
      </c>
      <c r="U86" s="52">
        <f t="shared" ref="U86" si="56">SUM(U87:U108)</f>
        <v>0</v>
      </c>
      <c r="V86" s="52">
        <f t="shared" ref="V86" si="57">SUM(V87:V108)</f>
        <v>0</v>
      </c>
      <c r="W86" s="52">
        <f t="shared" ref="W86" si="58">SUM(W87:W108)</f>
        <v>0</v>
      </c>
      <c r="X86" s="52">
        <f t="shared" ref="X86" si="59">SUM(X87:X108)</f>
        <v>0</v>
      </c>
      <c r="Y86" s="589">
        <f t="shared" ref="Y86" si="60">SUM(Y87:Y108)</f>
        <v>0</v>
      </c>
      <c r="AA86" s="614">
        <f t="shared" ref="AA86" si="61">SUM(AA87:AA108)</f>
        <v>5328505320</v>
      </c>
      <c r="AC86" s="637"/>
    </row>
    <row r="87" spans="1:29" ht="18" customHeight="1">
      <c r="A87" s="28"/>
      <c r="D87" s="590">
        <v>123700</v>
      </c>
      <c r="E87" s="164" t="s">
        <v>5</v>
      </c>
      <c r="F87" s="166">
        <v>2401</v>
      </c>
      <c r="G87" s="164" t="s">
        <v>84</v>
      </c>
      <c r="H87" s="259">
        <v>31456249</v>
      </c>
      <c r="I87" s="272">
        <v>0</v>
      </c>
      <c r="J87" s="272"/>
      <c r="K87" s="272"/>
      <c r="L87" s="259">
        <v>0</v>
      </c>
      <c r="M87" s="36"/>
      <c r="N87" s="36"/>
      <c r="O87" s="201">
        <f t="shared" si="46"/>
        <v>31456249</v>
      </c>
      <c r="Q87" s="636">
        <f>SUMIF('1.0'!$D:$D,T_BS!D87,'1.0'!$J:$J)</f>
        <v>0</v>
      </c>
      <c r="R87" s="259">
        <f>SUMIF('2.0'!$D:$D,T_BS!D87,'2.0'!$J:$J)</f>
        <v>0</v>
      </c>
      <c r="S87" s="36">
        <f>ROUND(SUMIF('3.0'!$D:$D,T_BS!D87,'3.0'!$H:$H),0)</f>
        <v>0</v>
      </c>
      <c r="T87" s="272">
        <f>ROUND(SUMIF('4.0'!$D:$D,T_BS!D87,'4.0'!$J:$J),0)</f>
        <v>0</v>
      </c>
      <c r="U87" s="36">
        <f>ROUND(SUMIF('5.0'!$D:$D,T_BS!D87,'5.0'!$J:$J),0)</f>
        <v>0</v>
      </c>
      <c r="V87" s="272">
        <f>ROUND(SUMIF('6.0'!$D:$D,T_BS!D87,'6.0'!$J:$J),0)</f>
        <v>0</v>
      </c>
      <c r="W87" s="272">
        <f>ROUND(SUMIF('7.0'!$D:$D,T_BS!D87,'7.0'!$I:$I),0)</f>
        <v>0</v>
      </c>
      <c r="X87" s="272">
        <f>ROUND(SUMIF('8.0'!$D:$D,T_BS!D87,'8.0'!$H:$H),0)</f>
        <v>0</v>
      </c>
      <c r="Y87" s="201">
        <f t="shared" ref="Y87:Y108" si="62">SUM(Q87:X87)</f>
        <v>0</v>
      </c>
      <c r="AA87" s="215">
        <f t="shared" ref="AA87:AA132" si="63">Y87+O87</f>
        <v>31456249</v>
      </c>
      <c r="AC87" s="637"/>
    </row>
    <row r="88" spans="1:29" ht="18" customHeight="1">
      <c r="A88" s="28"/>
      <c r="D88" s="590">
        <v>123750</v>
      </c>
      <c r="E88" s="164" t="s">
        <v>5</v>
      </c>
      <c r="F88" s="166">
        <v>2402</v>
      </c>
      <c r="G88" s="164" t="s">
        <v>85</v>
      </c>
      <c r="H88" s="259">
        <v>-22424459</v>
      </c>
      <c r="I88" s="272">
        <v>0</v>
      </c>
      <c r="J88" s="272"/>
      <c r="K88" s="272"/>
      <c r="L88" s="259">
        <v>0</v>
      </c>
      <c r="M88" s="36"/>
      <c r="N88" s="36"/>
      <c r="O88" s="201">
        <f t="shared" si="46"/>
        <v>-22424459</v>
      </c>
      <c r="Q88" s="636">
        <f>SUMIF('1.0'!$D:$D,T_BS!D88,'1.0'!$J:$J)</f>
        <v>0</v>
      </c>
      <c r="R88" s="259">
        <f>SUMIF('2.0'!$D:$D,T_BS!D88,'2.0'!$J:$J)</f>
        <v>0</v>
      </c>
      <c r="S88" s="36">
        <f>ROUND(SUMIF('3.0'!$D:$D,T_BS!D88,'3.0'!$H:$H),0)</f>
        <v>0</v>
      </c>
      <c r="T88" s="272">
        <f>ROUND(SUMIF('4.0'!$D:$D,T_BS!D88,'4.0'!$J:$J),0)</f>
        <v>0</v>
      </c>
      <c r="U88" s="36">
        <f>ROUND(SUMIF('5.0'!$D:$D,T_BS!D88,'5.0'!$J:$J),0)</f>
        <v>0</v>
      </c>
      <c r="V88" s="272">
        <f>ROUND(SUMIF('6.0'!$D:$D,T_BS!D88,'6.0'!$J:$J),0)</f>
        <v>0</v>
      </c>
      <c r="W88" s="272">
        <f>ROUND(SUMIF('7.0'!$D:$D,T_BS!D88,'7.0'!$I:$I),0)</f>
        <v>0</v>
      </c>
      <c r="X88" s="272">
        <f>ROUND(SUMIF('8.0'!$D:$D,T_BS!D88,'8.0'!$H:$H),0)</f>
        <v>0</v>
      </c>
      <c r="Y88" s="201">
        <f t="shared" si="62"/>
        <v>0</v>
      </c>
      <c r="AA88" s="215">
        <f t="shared" si="63"/>
        <v>-22424459</v>
      </c>
      <c r="AC88" s="637"/>
    </row>
    <row r="89" spans="1:29" ht="18" customHeight="1">
      <c r="A89" s="28"/>
      <c r="D89" s="590">
        <v>123900</v>
      </c>
      <c r="E89" s="164" t="s">
        <v>5</v>
      </c>
      <c r="F89" s="166">
        <v>2404</v>
      </c>
      <c r="G89" s="164" t="s">
        <v>86</v>
      </c>
      <c r="H89" s="259">
        <v>209637249</v>
      </c>
      <c r="I89" s="272">
        <v>0</v>
      </c>
      <c r="J89" s="272"/>
      <c r="K89" s="272"/>
      <c r="L89" s="259">
        <v>0</v>
      </c>
      <c r="M89" s="36"/>
      <c r="N89" s="36"/>
      <c r="O89" s="201">
        <f t="shared" si="46"/>
        <v>209637249</v>
      </c>
      <c r="Q89" s="636">
        <f>SUMIF('1.0'!$D:$D,T_BS!D89,'1.0'!$J:$J)</f>
        <v>0</v>
      </c>
      <c r="R89" s="259">
        <f>SUMIF('2.0'!$D:$D,T_BS!D89,'2.0'!$J:$J)</f>
        <v>0</v>
      </c>
      <c r="S89" s="36">
        <f>ROUND(SUMIF('3.0'!$D:$D,T_BS!D89,'3.0'!$H:$H),0)</f>
        <v>0</v>
      </c>
      <c r="T89" s="272">
        <f>ROUND(SUMIF('4.0'!$D:$D,T_BS!D89,'4.0'!$J:$J),0)</f>
        <v>0</v>
      </c>
      <c r="U89" s="36">
        <f>ROUND(SUMIF('5.0'!$D:$D,T_BS!D89,'5.0'!$J:$J),0)</f>
        <v>0</v>
      </c>
      <c r="V89" s="272">
        <f>ROUND(SUMIF('6.0'!$D:$D,T_BS!D89,'6.0'!$J:$J),0)</f>
        <v>0</v>
      </c>
      <c r="W89" s="272">
        <f>ROUND(SUMIF('7.0'!$D:$D,T_BS!D89,'7.0'!$I:$I),0)</f>
        <v>0</v>
      </c>
      <c r="X89" s="272">
        <f>ROUND(SUMIF('8.0'!$D:$D,T_BS!D89,'8.0'!$H:$H),0)</f>
        <v>0</v>
      </c>
      <c r="Y89" s="201">
        <f t="shared" si="62"/>
        <v>0</v>
      </c>
      <c r="AA89" s="215">
        <f t="shared" si="63"/>
        <v>209637249</v>
      </c>
      <c r="AC89" s="637"/>
    </row>
    <row r="90" spans="1:29" ht="18" customHeight="1">
      <c r="A90" s="28"/>
      <c r="D90" s="590">
        <v>123950</v>
      </c>
      <c r="E90" s="164" t="s">
        <v>5</v>
      </c>
      <c r="F90" s="166">
        <v>2405</v>
      </c>
      <c r="G90" s="164" t="s">
        <v>87</v>
      </c>
      <c r="H90" s="259">
        <v>-107783846</v>
      </c>
      <c r="I90" s="272">
        <v>0</v>
      </c>
      <c r="J90" s="272"/>
      <c r="K90" s="272"/>
      <c r="L90" s="259">
        <v>0</v>
      </c>
      <c r="M90" s="36"/>
      <c r="N90" s="36"/>
      <c r="O90" s="201">
        <f t="shared" si="46"/>
        <v>-107783846</v>
      </c>
      <c r="Q90" s="636">
        <f>SUMIF('1.0'!$D:$D,T_BS!D90,'1.0'!$J:$J)</f>
        <v>0</v>
      </c>
      <c r="R90" s="259">
        <f>SUMIF('2.0'!$D:$D,T_BS!D90,'2.0'!$J:$J)</f>
        <v>0</v>
      </c>
      <c r="S90" s="36">
        <f>ROUND(SUMIF('3.0'!$D:$D,T_BS!D90,'3.0'!$H:$H),0)</f>
        <v>0</v>
      </c>
      <c r="T90" s="272">
        <f>ROUND(SUMIF('4.0'!$D:$D,T_BS!D90,'4.0'!$J:$J),0)</f>
        <v>0</v>
      </c>
      <c r="U90" s="36">
        <f>ROUND(SUMIF('5.0'!$D:$D,T_BS!D90,'5.0'!$J:$J),0)</f>
        <v>0</v>
      </c>
      <c r="V90" s="272">
        <f>ROUND(SUMIF('6.0'!$D:$D,T_BS!D90,'6.0'!$J:$J),0)</f>
        <v>0</v>
      </c>
      <c r="W90" s="272">
        <f>ROUND(SUMIF('7.0'!$D:$D,T_BS!D90,'7.0'!$I:$I),0)</f>
        <v>0</v>
      </c>
      <c r="X90" s="272">
        <f>ROUND(SUMIF('8.0'!$D:$D,T_BS!D90,'8.0'!$H:$H),0)</f>
        <v>0</v>
      </c>
      <c r="Y90" s="201">
        <f t="shared" si="62"/>
        <v>0</v>
      </c>
      <c r="AA90" s="215">
        <f t="shared" si="63"/>
        <v>-107783846</v>
      </c>
      <c r="AC90" s="637"/>
    </row>
    <row r="91" spans="1:29" ht="18" customHeight="1">
      <c r="A91" s="28"/>
      <c r="D91" s="590">
        <v>123960</v>
      </c>
      <c r="E91" s="164" t="s">
        <v>5</v>
      </c>
      <c r="F91" s="166">
        <v>2406</v>
      </c>
      <c r="G91" s="164" t="s">
        <v>88</v>
      </c>
      <c r="H91" s="259">
        <v>-19482073</v>
      </c>
      <c r="I91" s="272">
        <v>0</v>
      </c>
      <c r="J91" s="272"/>
      <c r="K91" s="272"/>
      <c r="L91" s="259">
        <v>0</v>
      </c>
      <c r="M91" s="36"/>
      <c r="N91" s="36"/>
      <c r="O91" s="201">
        <f t="shared" si="46"/>
        <v>-19482073</v>
      </c>
      <c r="Q91" s="636">
        <f>SUMIF('1.0'!$D:$D,T_BS!D91,'1.0'!$J:$J)</f>
        <v>0</v>
      </c>
      <c r="R91" s="259">
        <f>SUMIF('2.0'!$D:$D,T_BS!D91,'2.0'!$J:$J)</f>
        <v>0</v>
      </c>
      <c r="S91" s="36">
        <f>ROUND(SUMIF('3.0'!$D:$D,T_BS!D91,'3.0'!$H:$H),0)</f>
        <v>0</v>
      </c>
      <c r="T91" s="272">
        <f>ROUND(SUMIF('4.0'!$D:$D,T_BS!D91,'4.0'!$J:$J),0)</f>
        <v>0</v>
      </c>
      <c r="U91" s="36">
        <f>ROUND(SUMIF('5.0'!$D:$D,T_BS!D91,'5.0'!$J:$J),0)</f>
        <v>0</v>
      </c>
      <c r="V91" s="272">
        <f>ROUND(SUMIF('6.0'!$D:$D,T_BS!D91,'6.0'!$J:$J),0)</f>
        <v>0</v>
      </c>
      <c r="W91" s="272">
        <f>ROUND(SUMIF('7.0'!$D:$D,T_BS!D91,'7.0'!$I:$I),0)</f>
        <v>0</v>
      </c>
      <c r="X91" s="272">
        <f>ROUND(SUMIF('8.0'!$D:$D,T_BS!D91,'8.0'!$H:$H),0)</f>
        <v>0</v>
      </c>
      <c r="Y91" s="201">
        <f t="shared" si="62"/>
        <v>0</v>
      </c>
      <c r="AA91" s="215">
        <f t="shared" si="63"/>
        <v>-19482073</v>
      </c>
      <c r="AC91" s="637"/>
    </row>
    <row r="92" spans="1:29" ht="18" customHeight="1">
      <c r="A92" s="28"/>
      <c r="D92" s="590">
        <v>124000</v>
      </c>
      <c r="E92" s="164" t="s">
        <v>5</v>
      </c>
      <c r="F92" s="166">
        <v>2407</v>
      </c>
      <c r="G92" s="164" t="s">
        <v>89</v>
      </c>
      <c r="H92" s="259">
        <v>480329381</v>
      </c>
      <c r="I92" s="272">
        <v>0</v>
      </c>
      <c r="J92" s="272"/>
      <c r="K92" s="272"/>
      <c r="L92" s="259">
        <v>0</v>
      </c>
      <c r="M92" s="36"/>
      <c r="N92" s="36"/>
      <c r="O92" s="201">
        <f t="shared" si="46"/>
        <v>480329381</v>
      </c>
      <c r="Q92" s="636">
        <f>SUMIF('1.0'!$D:$D,T_BS!D92,'1.0'!$J:$J)</f>
        <v>0</v>
      </c>
      <c r="R92" s="259">
        <f>SUMIF('2.0'!$D:$D,T_BS!D92,'2.0'!$J:$J)</f>
        <v>0</v>
      </c>
      <c r="S92" s="36">
        <f>ROUND(SUMIF('3.0'!$D:$D,T_BS!D92,'3.0'!$H:$H),0)</f>
        <v>0</v>
      </c>
      <c r="T92" s="272">
        <f>ROUND(SUMIF('4.0'!$D:$D,T_BS!D92,'4.0'!$J:$J),0)</f>
        <v>0</v>
      </c>
      <c r="U92" s="36">
        <f>ROUND(SUMIF('5.0'!$D:$D,T_BS!D92,'5.0'!$J:$J),0)</f>
        <v>0</v>
      </c>
      <c r="V92" s="272">
        <f>ROUND(SUMIF('6.0'!$D:$D,T_BS!D92,'6.0'!$J:$J),0)</f>
        <v>0</v>
      </c>
      <c r="W92" s="272">
        <f>ROUND(SUMIF('7.0'!$D:$D,T_BS!D92,'7.0'!$I:$I),0)</f>
        <v>0</v>
      </c>
      <c r="X92" s="272">
        <f>ROUND(SUMIF('8.0'!$D:$D,T_BS!D92,'8.0'!$H:$H),0)</f>
        <v>0</v>
      </c>
      <c r="Y92" s="201">
        <f t="shared" si="62"/>
        <v>0</v>
      </c>
      <c r="AA92" s="215">
        <f t="shared" si="63"/>
        <v>480329381</v>
      </c>
      <c r="AC92" s="637"/>
    </row>
    <row r="93" spans="1:29" ht="18" customHeight="1">
      <c r="A93" s="28"/>
      <c r="D93" s="590">
        <v>124050</v>
      </c>
      <c r="E93" s="164" t="s">
        <v>5</v>
      </c>
      <c r="F93" s="166">
        <v>2408</v>
      </c>
      <c r="G93" s="164" t="s">
        <v>90</v>
      </c>
      <c r="H93" s="259">
        <v>-433497217</v>
      </c>
      <c r="I93" s="272">
        <v>0</v>
      </c>
      <c r="J93" s="272"/>
      <c r="K93" s="272"/>
      <c r="L93" s="259">
        <v>0</v>
      </c>
      <c r="M93" s="36"/>
      <c r="N93" s="36"/>
      <c r="O93" s="201">
        <f t="shared" si="46"/>
        <v>-433497217</v>
      </c>
      <c r="Q93" s="636">
        <f>SUMIF('1.0'!$D:$D,T_BS!D93,'1.0'!$J:$J)</f>
        <v>0</v>
      </c>
      <c r="R93" s="259">
        <f>SUMIF('2.0'!$D:$D,T_BS!D93,'2.0'!$J:$J)</f>
        <v>0</v>
      </c>
      <c r="S93" s="36">
        <f>ROUND(SUMIF('3.0'!$D:$D,T_BS!D93,'3.0'!$H:$H),0)</f>
        <v>0</v>
      </c>
      <c r="T93" s="272">
        <f>ROUND(SUMIF('4.0'!$D:$D,T_BS!D93,'4.0'!$J:$J),0)</f>
        <v>0</v>
      </c>
      <c r="U93" s="36">
        <f>ROUND(SUMIF('5.0'!$D:$D,T_BS!D93,'5.0'!$J:$J),0)</f>
        <v>0</v>
      </c>
      <c r="V93" s="272">
        <f>ROUND(SUMIF('6.0'!$D:$D,T_BS!D93,'6.0'!$J:$J),0)</f>
        <v>0</v>
      </c>
      <c r="W93" s="272">
        <f>ROUND(SUMIF('7.0'!$D:$D,T_BS!D93,'7.0'!$I:$I),0)</f>
        <v>0</v>
      </c>
      <c r="X93" s="272">
        <f>ROUND(SUMIF('8.0'!$D:$D,T_BS!D93,'8.0'!$H:$H),0)</f>
        <v>0</v>
      </c>
      <c r="Y93" s="201">
        <f t="shared" si="62"/>
        <v>0</v>
      </c>
      <c r="AA93" s="215">
        <f t="shared" si="63"/>
        <v>-433497217</v>
      </c>
      <c r="AC93" s="637"/>
    </row>
    <row r="94" spans="1:29" ht="18" customHeight="1">
      <c r="A94" s="28"/>
      <c r="D94" s="590">
        <v>124160</v>
      </c>
      <c r="E94" s="164" t="s">
        <v>5</v>
      </c>
      <c r="F94" s="166">
        <v>2409</v>
      </c>
      <c r="G94" s="164" t="s">
        <v>91</v>
      </c>
      <c r="H94" s="259">
        <v>-524300</v>
      </c>
      <c r="I94" s="272">
        <v>0</v>
      </c>
      <c r="J94" s="272"/>
      <c r="K94" s="272"/>
      <c r="L94" s="259">
        <v>0</v>
      </c>
      <c r="M94" s="36"/>
      <c r="N94" s="36"/>
      <c r="O94" s="201">
        <f t="shared" si="46"/>
        <v>-524300</v>
      </c>
      <c r="Q94" s="636">
        <f>SUMIF('1.0'!$D:$D,T_BS!D94,'1.0'!$J:$J)</f>
        <v>0</v>
      </c>
      <c r="R94" s="259">
        <f>SUMIF('2.0'!$D:$D,T_BS!D94,'2.0'!$J:$J)</f>
        <v>0</v>
      </c>
      <c r="S94" s="36">
        <f>ROUND(SUMIF('3.0'!$D:$D,T_BS!D94,'3.0'!$H:$H),0)</f>
        <v>0</v>
      </c>
      <c r="T94" s="272">
        <f>ROUND(SUMIF('4.0'!$D:$D,T_BS!D94,'4.0'!$J:$J),0)</f>
        <v>0</v>
      </c>
      <c r="U94" s="36">
        <f>ROUND(SUMIF('5.0'!$D:$D,T_BS!D94,'5.0'!$J:$J),0)</f>
        <v>0</v>
      </c>
      <c r="V94" s="272">
        <f>ROUND(SUMIF('6.0'!$D:$D,T_BS!D94,'6.0'!$J:$J),0)</f>
        <v>0</v>
      </c>
      <c r="W94" s="272">
        <f>ROUND(SUMIF('7.0'!$D:$D,T_BS!D94,'7.0'!$I:$I),0)</f>
        <v>0</v>
      </c>
      <c r="X94" s="272">
        <f>ROUND(SUMIF('8.0'!$D:$D,T_BS!D94,'8.0'!$H:$H),0)</f>
        <v>0</v>
      </c>
      <c r="Y94" s="201">
        <f t="shared" si="62"/>
        <v>0</v>
      </c>
      <c r="AA94" s="215">
        <f t="shared" si="63"/>
        <v>-524300</v>
      </c>
      <c r="AC94" s="637"/>
    </row>
    <row r="95" spans="1:29" ht="18" customHeight="1">
      <c r="A95" s="28"/>
      <c r="D95" s="590">
        <v>124200</v>
      </c>
      <c r="E95" s="164" t="s">
        <v>5</v>
      </c>
      <c r="F95" s="166">
        <v>2407</v>
      </c>
      <c r="G95" s="164" t="s">
        <v>92</v>
      </c>
      <c r="H95" s="259">
        <v>3668979715</v>
      </c>
      <c r="I95" s="272">
        <v>0</v>
      </c>
      <c r="J95" s="272"/>
      <c r="K95" s="272"/>
      <c r="L95" s="259">
        <v>0</v>
      </c>
      <c r="M95" s="36"/>
      <c r="N95" s="36"/>
      <c r="O95" s="201">
        <f t="shared" si="46"/>
        <v>3668979715</v>
      </c>
      <c r="Q95" s="636">
        <f>SUMIF('1.0'!$D:$D,T_BS!D95,'1.0'!$J:$J)</f>
        <v>0</v>
      </c>
      <c r="R95" s="259">
        <f>SUMIF('2.0'!$D:$D,T_BS!D95,'2.0'!$J:$J)</f>
        <v>0</v>
      </c>
      <c r="S95" s="36">
        <f>ROUND(SUMIF('3.0'!$D:$D,T_BS!D95,'3.0'!$H:$H),0)</f>
        <v>0</v>
      </c>
      <c r="T95" s="272">
        <f>ROUND(SUMIF('4.0'!$D:$D,T_BS!D95,'4.0'!$J:$J),0)</f>
        <v>0</v>
      </c>
      <c r="U95" s="36">
        <f>ROUND(SUMIF('5.0'!$D:$D,T_BS!D95,'5.0'!$J:$J),0)</f>
        <v>0</v>
      </c>
      <c r="V95" s="272">
        <f>ROUND(SUMIF('6.0'!$D:$D,T_BS!D95,'6.0'!$J:$J),0)</f>
        <v>0</v>
      </c>
      <c r="W95" s="272">
        <f>ROUND(SUMIF('7.0'!$D:$D,T_BS!D95,'7.0'!$I:$I),0)</f>
        <v>0</v>
      </c>
      <c r="X95" s="272">
        <f>ROUND(SUMIF('8.0'!$D:$D,T_BS!D95,'8.0'!$H:$H),0)</f>
        <v>0</v>
      </c>
      <c r="Y95" s="201">
        <f t="shared" si="62"/>
        <v>0</v>
      </c>
      <c r="AA95" s="215">
        <f t="shared" si="63"/>
        <v>3668979715</v>
      </c>
      <c r="AC95" s="637"/>
    </row>
    <row r="96" spans="1:29" ht="18" customHeight="1">
      <c r="A96" s="28"/>
      <c r="D96" s="590">
        <v>124250</v>
      </c>
      <c r="E96" s="164" t="s">
        <v>5</v>
      </c>
      <c r="F96" s="166">
        <v>2408</v>
      </c>
      <c r="G96" s="164" t="s">
        <v>93</v>
      </c>
      <c r="H96" s="259">
        <v>-3036885949</v>
      </c>
      <c r="I96" s="272">
        <v>0</v>
      </c>
      <c r="J96" s="272"/>
      <c r="K96" s="272"/>
      <c r="L96" s="259">
        <v>0</v>
      </c>
      <c r="M96" s="36"/>
      <c r="N96" s="36"/>
      <c r="O96" s="201">
        <f t="shared" si="46"/>
        <v>-3036885949</v>
      </c>
      <c r="Q96" s="636">
        <f>SUMIF('1.0'!$D:$D,T_BS!D96,'1.0'!$J:$J)</f>
        <v>0</v>
      </c>
      <c r="R96" s="259">
        <f>SUMIF('2.0'!$D:$D,T_BS!D96,'2.0'!$J:$J)</f>
        <v>0</v>
      </c>
      <c r="S96" s="36">
        <f>ROUND(SUMIF('3.0'!$D:$D,T_BS!D96,'3.0'!$H:$H),0)</f>
        <v>0</v>
      </c>
      <c r="T96" s="272">
        <f>ROUND(SUMIF('4.0'!$D:$D,T_BS!D96,'4.0'!$J:$J),0)</f>
        <v>0</v>
      </c>
      <c r="U96" s="36">
        <f>ROUND(SUMIF('5.0'!$D:$D,T_BS!D96,'5.0'!$J:$J),0)</f>
        <v>0</v>
      </c>
      <c r="V96" s="272">
        <f>ROUND(SUMIF('6.0'!$D:$D,T_BS!D96,'6.0'!$J:$J),0)</f>
        <v>0</v>
      </c>
      <c r="W96" s="272">
        <f>ROUND(SUMIF('7.0'!$D:$D,T_BS!D96,'7.0'!$I:$I),0)</f>
        <v>0</v>
      </c>
      <c r="X96" s="272">
        <f>ROUND(SUMIF('8.0'!$D:$D,T_BS!D96,'8.0'!$H:$H),0)</f>
        <v>0</v>
      </c>
      <c r="Y96" s="201">
        <f t="shared" si="62"/>
        <v>0</v>
      </c>
      <c r="AA96" s="215">
        <f t="shared" si="63"/>
        <v>-3036885949</v>
      </c>
      <c r="AC96" s="637"/>
    </row>
    <row r="97" spans="1:29" ht="18" customHeight="1">
      <c r="A97" s="28"/>
      <c r="D97" s="590">
        <v>124260</v>
      </c>
      <c r="E97" s="164" t="s">
        <v>5</v>
      </c>
      <c r="F97" s="166">
        <v>2409</v>
      </c>
      <c r="G97" s="164" t="s">
        <v>94</v>
      </c>
      <c r="H97" s="259">
        <v>-257563771</v>
      </c>
      <c r="I97" s="272">
        <v>0</v>
      </c>
      <c r="J97" s="272"/>
      <c r="K97" s="272"/>
      <c r="L97" s="259">
        <v>0</v>
      </c>
      <c r="M97" s="36"/>
      <c r="N97" s="36"/>
      <c r="O97" s="201">
        <f t="shared" si="46"/>
        <v>-257563771</v>
      </c>
      <c r="Q97" s="636">
        <f>SUMIF('1.0'!$D:$D,T_BS!D97,'1.0'!$J:$J)</f>
        <v>0</v>
      </c>
      <c r="R97" s="259">
        <f>SUMIF('2.0'!$D:$D,T_BS!D97,'2.0'!$J:$J)</f>
        <v>0</v>
      </c>
      <c r="S97" s="36">
        <f>ROUND(SUMIF('3.0'!$D:$D,T_BS!D97,'3.0'!$H:$H),0)</f>
        <v>0</v>
      </c>
      <c r="T97" s="272">
        <f>ROUND(SUMIF('4.0'!$D:$D,T_BS!D97,'4.0'!$J:$J),0)</f>
        <v>0</v>
      </c>
      <c r="U97" s="36">
        <f>ROUND(SUMIF('5.0'!$D:$D,T_BS!D97,'5.0'!$J:$J),0)</f>
        <v>0</v>
      </c>
      <c r="V97" s="272">
        <f>ROUND(SUMIF('6.0'!$D:$D,T_BS!D97,'6.0'!$J:$J),0)</f>
        <v>0</v>
      </c>
      <c r="W97" s="272">
        <f>ROUND(SUMIF('7.0'!$D:$D,T_BS!D97,'7.0'!$I:$I),0)</f>
        <v>0</v>
      </c>
      <c r="X97" s="272">
        <f>ROUND(SUMIF('8.0'!$D:$D,T_BS!D97,'8.0'!$H:$H),0)</f>
        <v>0</v>
      </c>
      <c r="Y97" s="201">
        <f t="shared" si="62"/>
        <v>0</v>
      </c>
      <c r="AA97" s="215">
        <f t="shared" si="63"/>
        <v>-257563771</v>
      </c>
      <c r="AC97" s="637"/>
    </row>
    <row r="98" spans="1:29" ht="18" customHeight="1">
      <c r="A98" s="28"/>
      <c r="D98" s="590">
        <v>124300</v>
      </c>
      <c r="E98" s="164" t="s">
        <v>5</v>
      </c>
      <c r="F98" s="166">
        <v>2413</v>
      </c>
      <c r="G98" s="164" t="s">
        <v>95</v>
      </c>
      <c r="H98" s="259">
        <v>3967649519</v>
      </c>
      <c r="I98" s="272">
        <v>82926633</v>
      </c>
      <c r="J98" s="272"/>
      <c r="K98" s="272"/>
      <c r="L98" s="259">
        <v>45045314</v>
      </c>
      <c r="M98" s="36"/>
      <c r="N98" s="36"/>
      <c r="O98" s="201">
        <f t="shared" si="46"/>
        <v>4095621466</v>
      </c>
      <c r="Q98" s="636">
        <f>SUMIF('1.0'!$D:$D,T_BS!D98,'1.0'!$J:$J)</f>
        <v>0</v>
      </c>
      <c r="R98" s="259">
        <f>SUMIF('2.0'!$D:$D,T_BS!D98,'2.0'!$J:$J)</f>
        <v>0</v>
      </c>
      <c r="S98" s="36">
        <f>ROUND(SUMIF('3.0'!$D:$D,T_BS!D98,'3.0'!$H:$H),0)</f>
        <v>0</v>
      </c>
      <c r="T98" s="272">
        <f>ROUND(SUMIF('4.0'!$D:$D,T_BS!D98,'4.0'!$J:$J),0)</f>
        <v>0</v>
      </c>
      <c r="U98" s="36">
        <f>ROUND(SUMIF('5.0'!$D:$D,T_BS!D98,'5.0'!$J:$J),0)</f>
        <v>0</v>
      </c>
      <c r="V98" s="272">
        <f>ROUND(SUMIF('6.0'!$D:$D,T_BS!D98,'6.0'!$J:$J),0)</f>
        <v>0</v>
      </c>
      <c r="W98" s="272">
        <f>ROUND(SUMIF('7.0'!$D:$D,T_BS!D98,'7.0'!$I:$I),0)</f>
        <v>0</v>
      </c>
      <c r="X98" s="272">
        <f>ROUND(SUMIF('8.0'!$D:$D,T_BS!D98,'8.0'!$H:$H),0)</f>
        <v>0</v>
      </c>
      <c r="Y98" s="201">
        <f t="shared" si="62"/>
        <v>0</v>
      </c>
      <c r="AA98" s="215">
        <f t="shared" si="63"/>
        <v>4095621466</v>
      </c>
      <c r="AC98" s="637"/>
    </row>
    <row r="99" spans="1:29" ht="18" customHeight="1">
      <c r="A99" s="28"/>
      <c r="D99" s="590">
        <v>124350</v>
      </c>
      <c r="E99" s="164" t="s">
        <v>5</v>
      </c>
      <c r="F99" s="166">
        <v>2414</v>
      </c>
      <c r="G99" s="164" t="s">
        <v>96</v>
      </c>
      <c r="H99" s="259">
        <v>-1909148153</v>
      </c>
      <c r="I99" s="272">
        <v>-67418549</v>
      </c>
      <c r="J99" s="272"/>
      <c r="K99" s="272"/>
      <c r="L99" s="259">
        <v>-21724576</v>
      </c>
      <c r="M99" s="36"/>
      <c r="N99" s="36"/>
      <c r="O99" s="201">
        <f t="shared" si="46"/>
        <v>-1998291278</v>
      </c>
      <c r="Q99" s="636">
        <f>SUMIF('1.0'!$D:$D,T_BS!D99,'1.0'!$J:$J)</f>
        <v>0</v>
      </c>
      <c r="R99" s="259">
        <f>SUMIF('2.0'!$D:$D,T_BS!D99,'2.0'!$J:$J)</f>
        <v>0</v>
      </c>
      <c r="S99" s="36">
        <f>ROUND(SUMIF('3.0'!$D:$D,T_BS!D99,'3.0'!$H:$H),0)</f>
        <v>0</v>
      </c>
      <c r="T99" s="272">
        <f>ROUND(SUMIF('4.0'!$D:$D,T_BS!D99,'4.0'!$J:$J),0)</f>
        <v>0</v>
      </c>
      <c r="U99" s="36">
        <f>ROUND(SUMIF('5.0'!$D:$D,T_BS!D99,'5.0'!$J:$J),0)</f>
        <v>0</v>
      </c>
      <c r="V99" s="272">
        <f>ROUND(SUMIF('6.0'!$D:$D,T_BS!D99,'6.0'!$J:$J),0)</f>
        <v>0</v>
      </c>
      <c r="W99" s="272">
        <f>ROUND(SUMIF('7.0'!$D:$D,T_BS!D99,'7.0'!$I:$I),0)</f>
        <v>0</v>
      </c>
      <c r="X99" s="272">
        <f>ROUND(SUMIF('8.0'!$D:$D,T_BS!D99,'8.0'!$H:$H),0)</f>
        <v>0</v>
      </c>
      <c r="Y99" s="201">
        <f t="shared" si="62"/>
        <v>0</v>
      </c>
      <c r="AA99" s="215">
        <f t="shared" si="63"/>
        <v>-1998291278</v>
      </c>
      <c r="AC99" s="637"/>
    </row>
    <row r="100" spans="1:29" ht="18" customHeight="1">
      <c r="A100" s="28"/>
      <c r="D100" s="590">
        <v>124360</v>
      </c>
      <c r="E100" s="164" t="s">
        <v>5</v>
      </c>
      <c r="F100" s="166">
        <v>2415</v>
      </c>
      <c r="G100" s="164" t="s">
        <v>97</v>
      </c>
      <c r="H100" s="259">
        <v>-540095083</v>
      </c>
      <c r="I100" s="272">
        <v>0</v>
      </c>
      <c r="J100" s="272"/>
      <c r="K100" s="272"/>
      <c r="L100" s="259">
        <v>0</v>
      </c>
      <c r="M100" s="36"/>
      <c r="N100" s="36"/>
      <c r="O100" s="201">
        <f t="shared" si="46"/>
        <v>-540095083</v>
      </c>
      <c r="Q100" s="636">
        <f>SUMIF('1.0'!$D:$D,T_BS!D100,'1.0'!$J:$J)</f>
        <v>0</v>
      </c>
      <c r="R100" s="259">
        <f>SUMIF('2.0'!$D:$D,T_BS!D100,'2.0'!$J:$J)</f>
        <v>0</v>
      </c>
      <c r="S100" s="36">
        <f>ROUND(SUMIF('3.0'!$D:$D,T_BS!D100,'3.0'!$H:$H),0)</f>
        <v>0</v>
      </c>
      <c r="T100" s="272">
        <f>ROUND(SUMIF('4.0'!$D:$D,T_BS!D100,'4.0'!$J:$J),0)</f>
        <v>0</v>
      </c>
      <c r="U100" s="36">
        <f>ROUND(SUMIF('5.0'!$D:$D,T_BS!D100,'5.0'!$J:$J),0)</f>
        <v>0</v>
      </c>
      <c r="V100" s="272">
        <f>ROUND(SUMIF('6.0'!$D:$D,T_BS!D100,'6.0'!$J:$J),0)</f>
        <v>0</v>
      </c>
      <c r="W100" s="272">
        <f>ROUND(SUMIF('7.0'!$D:$D,T_BS!D100,'7.0'!$I:$I),0)</f>
        <v>0</v>
      </c>
      <c r="X100" s="272">
        <f>ROUND(SUMIF('8.0'!$D:$D,T_BS!D100,'8.0'!$H:$H),0)</f>
        <v>0</v>
      </c>
      <c r="Y100" s="201">
        <f t="shared" si="62"/>
        <v>0</v>
      </c>
      <c r="AA100" s="215">
        <f t="shared" si="63"/>
        <v>-540095083</v>
      </c>
      <c r="AC100" s="637"/>
    </row>
    <row r="101" spans="1:29" ht="18" customHeight="1">
      <c r="A101" s="28"/>
      <c r="D101" s="590">
        <v>124400</v>
      </c>
      <c r="E101" s="164" t="s">
        <v>5</v>
      </c>
      <c r="F101" s="166">
        <v>2413</v>
      </c>
      <c r="G101" s="164" t="s">
        <v>98</v>
      </c>
      <c r="H101" s="259">
        <v>3040094228</v>
      </c>
      <c r="I101" s="272">
        <v>0</v>
      </c>
      <c r="J101" s="272"/>
      <c r="K101" s="272"/>
      <c r="L101" s="259">
        <v>0</v>
      </c>
      <c r="M101" s="36"/>
      <c r="N101" s="36"/>
      <c r="O101" s="201">
        <f t="shared" si="46"/>
        <v>3040094228</v>
      </c>
      <c r="Q101" s="636">
        <f>SUMIF('1.0'!$D:$D,T_BS!D101,'1.0'!$J:$J)</f>
        <v>0</v>
      </c>
      <c r="R101" s="259">
        <f>SUMIF('2.0'!$D:$D,T_BS!D101,'2.0'!$J:$J)</f>
        <v>0</v>
      </c>
      <c r="S101" s="36">
        <f>ROUND(SUMIF('3.0'!$D:$D,T_BS!D101,'3.0'!$H:$H),0)</f>
        <v>0</v>
      </c>
      <c r="T101" s="272">
        <f>ROUND(SUMIF('4.0'!$D:$D,T_BS!D101,'4.0'!$J:$J),0)</f>
        <v>0</v>
      </c>
      <c r="U101" s="36">
        <f>ROUND(SUMIF('5.0'!$D:$D,T_BS!D101,'5.0'!$J:$J),0)</f>
        <v>0</v>
      </c>
      <c r="V101" s="272">
        <f>ROUND(SUMIF('6.0'!$D:$D,T_BS!D101,'6.0'!$J:$J),0)</f>
        <v>0</v>
      </c>
      <c r="W101" s="272">
        <f>ROUND(SUMIF('7.0'!$D:$D,T_BS!D101,'7.0'!$I:$I),0)</f>
        <v>0</v>
      </c>
      <c r="X101" s="272">
        <f>ROUND(SUMIF('8.0'!$D:$D,T_BS!D101,'8.0'!$H:$H),0)</f>
        <v>0</v>
      </c>
      <c r="Y101" s="201">
        <f t="shared" si="62"/>
        <v>0</v>
      </c>
      <c r="AA101" s="215">
        <f t="shared" si="63"/>
        <v>3040094228</v>
      </c>
      <c r="AC101" s="637"/>
    </row>
    <row r="102" spans="1:29" ht="18" customHeight="1">
      <c r="A102" s="28"/>
      <c r="D102" s="590">
        <v>124450</v>
      </c>
      <c r="E102" s="164" t="s">
        <v>5</v>
      </c>
      <c r="F102" s="166">
        <v>2414</v>
      </c>
      <c r="G102" s="164" t="s">
        <v>99</v>
      </c>
      <c r="H102" s="259">
        <v>-1284391131</v>
      </c>
      <c r="I102" s="272">
        <v>0</v>
      </c>
      <c r="J102" s="272"/>
      <c r="K102" s="272"/>
      <c r="L102" s="259">
        <v>0</v>
      </c>
      <c r="M102" s="36"/>
      <c r="N102" s="36"/>
      <c r="O102" s="201">
        <f t="shared" si="46"/>
        <v>-1284391131</v>
      </c>
      <c r="Q102" s="636">
        <f>SUMIF('1.0'!$D:$D,T_BS!D102,'1.0'!$J:$J)</f>
        <v>0</v>
      </c>
      <c r="R102" s="259">
        <f>SUMIF('2.0'!$D:$D,T_BS!D102,'2.0'!$J:$J)</f>
        <v>0</v>
      </c>
      <c r="S102" s="36">
        <f>ROUND(SUMIF('3.0'!$D:$D,T_BS!D102,'3.0'!$H:$H),0)</f>
        <v>0</v>
      </c>
      <c r="T102" s="272">
        <f>ROUND(SUMIF('4.0'!$D:$D,T_BS!D102,'4.0'!$J:$J),0)</f>
        <v>0</v>
      </c>
      <c r="U102" s="36">
        <f>ROUND(SUMIF('5.0'!$D:$D,T_BS!D102,'5.0'!$J:$J),0)</f>
        <v>0</v>
      </c>
      <c r="V102" s="272">
        <f>ROUND(SUMIF('6.0'!$D:$D,T_BS!D102,'6.0'!$J:$J),0)</f>
        <v>0</v>
      </c>
      <c r="W102" s="272">
        <f>ROUND(SUMIF('7.0'!$D:$D,T_BS!D102,'7.0'!$I:$I),0)</f>
        <v>0</v>
      </c>
      <c r="X102" s="272">
        <f>ROUND(SUMIF('8.0'!$D:$D,T_BS!D102,'8.0'!$H:$H),0)</f>
        <v>0</v>
      </c>
      <c r="Y102" s="201">
        <f t="shared" si="62"/>
        <v>0</v>
      </c>
      <c r="AA102" s="215">
        <f t="shared" si="63"/>
        <v>-1284391131</v>
      </c>
      <c r="AC102" s="637"/>
    </row>
    <row r="103" spans="1:29" ht="18" customHeight="1">
      <c r="A103" s="28"/>
      <c r="D103" s="590">
        <v>124600</v>
      </c>
      <c r="E103" s="164" t="s">
        <v>5</v>
      </c>
      <c r="F103" s="166">
        <v>2415</v>
      </c>
      <c r="G103" s="164" t="s">
        <v>100</v>
      </c>
      <c r="H103" s="259">
        <v>-1702497086</v>
      </c>
      <c r="I103" s="272">
        <v>0</v>
      </c>
      <c r="J103" s="272"/>
      <c r="K103" s="272"/>
      <c r="L103" s="259">
        <v>0</v>
      </c>
      <c r="M103" s="36"/>
      <c r="N103" s="36"/>
      <c r="O103" s="201">
        <f t="shared" si="46"/>
        <v>-1702497086</v>
      </c>
      <c r="Q103" s="636">
        <f>SUMIF('1.0'!$D:$D,T_BS!D103,'1.0'!$J:$J)</f>
        <v>0</v>
      </c>
      <c r="R103" s="259">
        <f>SUMIF('2.0'!$D:$D,T_BS!D103,'2.0'!$J:$J)</f>
        <v>0</v>
      </c>
      <c r="S103" s="36">
        <f>ROUND(SUMIF('3.0'!$D:$D,T_BS!D103,'3.0'!$H:$H),0)</f>
        <v>0</v>
      </c>
      <c r="T103" s="272">
        <f>ROUND(SUMIF('4.0'!$D:$D,T_BS!D103,'4.0'!$J:$J),0)</f>
        <v>0</v>
      </c>
      <c r="U103" s="36">
        <f>ROUND(SUMIF('5.0'!$D:$D,T_BS!D103,'5.0'!$J:$J),0)</f>
        <v>0</v>
      </c>
      <c r="V103" s="272">
        <f>ROUND(SUMIF('6.0'!$D:$D,T_BS!D103,'6.0'!$J:$J),0)</f>
        <v>0</v>
      </c>
      <c r="W103" s="272">
        <f>ROUND(SUMIF('7.0'!$D:$D,T_BS!D103,'7.0'!$I:$I),0)</f>
        <v>0</v>
      </c>
      <c r="X103" s="272">
        <f>ROUND(SUMIF('8.0'!$D:$D,T_BS!D103,'8.0'!$H:$H),0)</f>
        <v>0</v>
      </c>
      <c r="Y103" s="201">
        <f t="shared" si="62"/>
        <v>0</v>
      </c>
      <c r="AA103" s="215">
        <f t="shared" si="63"/>
        <v>-1702497086</v>
      </c>
      <c r="AC103" s="637"/>
    </row>
    <row r="104" spans="1:29" ht="18" customHeight="1">
      <c r="A104" s="28"/>
      <c r="D104" s="590">
        <v>126100</v>
      </c>
      <c r="E104" s="164" t="s">
        <v>5</v>
      </c>
      <c r="F104" s="166">
        <v>2701</v>
      </c>
      <c r="G104" s="164" t="s">
        <v>101</v>
      </c>
      <c r="H104" s="259">
        <v>4743630239</v>
      </c>
      <c r="I104" s="272">
        <v>40024029</v>
      </c>
      <c r="J104" s="272"/>
      <c r="K104" s="272"/>
      <c r="L104" s="259">
        <v>786160190</v>
      </c>
      <c r="M104" s="36"/>
      <c r="N104" s="36">
        <v>0</v>
      </c>
      <c r="O104" s="201">
        <f t="shared" si="46"/>
        <v>5569814458</v>
      </c>
      <c r="Q104" s="636">
        <f>SUMIF('1.0'!$D:$D,T_BS!D104,'1.0'!$J:$J)</f>
        <v>0</v>
      </c>
      <c r="R104" s="259">
        <f>SUMIF('2.0'!$D:$D,T_BS!D104,'2.0'!$J:$J)</f>
        <v>0</v>
      </c>
      <c r="S104" s="36">
        <f>ROUND(SUMIF('3.0'!$D:$D,T_BS!D104,'3.0'!$H:$H),0)</f>
        <v>0</v>
      </c>
      <c r="T104" s="272">
        <f>ROUND(SUMIF('4.0'!$D:$D,T_BS!D104,'4.0'!$J:$J),0)</f>
        <v>0</v>
      </c>
      <c r="U104" s="36">
        <f>ROUND(SUMIF('5.0'!$D:$D,T_BS!D104,'5.0'!$J:$J),0)</f>
        <v>0</v>
      </c>
      <c r="V104" s="272">
        <f>ROUND(SUMIF('6.0'!$D:$D,T_BS!D104,'6.0'!$J:$J),0)</f>
        <v>0</v>
      </c>
      <c r="W104" s="272">
        <f>ROUND(SUMIF('7.0'!$D:$D,T_BS!D104,'7.0'!$I:$I),0)</f>
        <v>0</v>
      </c>
      <c r="X104" s="272">
        <f>ROUND(SUMIF('8.0'!$D:$D,T_BS!D104,'8.0'!$H:$H),0)</f>
        <v>0</v>
      </c>
      <c r="Y104" s="201">
        <f t="shared" si="62"/>
        <v>0</v>
      </c>
      <c r="AA104" s="215">
        <f t="shared" si="63"/>
        <v>5569814458</v>
      </c>
      <c r="AC104" s="637"/>
    </row>
    <row r="105" spans="1:29" ht="18" customHeight="1">
      <c r="A105" s="28"/>
      <c r="D105" s="590">
        <v>126110</v>
      </c>
      <c r="E105" s="164" t="s">
        <v>5</v>
      </c>
      <c r="F105" s="166">
        <v>2702</v>
      </c>
      <c r="G105" s="164" t="s">
        <v>102</v>
      </c>
      <c r="H105" s="259">
        <v>-2015801996</v>
      </c>
      <c r="I105" s="272">
        <v>-2223656</v>
      </c>
      <c r="J105" s="272"/>
      <c r="K105" s="272"/>
      <c r="L105" s="259">
        <v>-410170595</v>
      </c>
      <c r="M105" s="36"/>
      <c r="N105" s="36">
        <v>0</v>
      </c>
      <c r="O105" s="201">
        <f t="shared" si="46"/>
        <v>-2428196247</v>
      </c>
      <c r="Q105" s="636">
        <f>SUMIF('1.0'!$D:$D,T_BS!D105,'1.0'!$J:$J)</f>
        <v>0</v>
      </c>
      <c r="R105" s="259">
        <f>SUMIF('2.0'!$D:$D,T_BS!D105,'2.0'!$J:$J)</f>
        <v>0</v>
      </c>
      <c r="S105" s="36">
        <f>ROUND(SUMIF('3.0'!$D:$D,T_BS!D105,'3.0'!$H:$H),0)</f>
        <v>0</v>
      </c>
      <c r="T105" s="272">
        <f>ROUND(SUMIF('4.0'!$D:$D,T_BS!D105,'4.0'!$J:$J),0)</f>
        <v>0</v>
      </c>
      <c r="U105" s="36">
        <f>ROUND(SUMIF('5.0'!$D:$D,T_BS!D105,'5.0'!$J:$J),0)</f>
        <v>0</v>
      </c>
      <c r="V105" s="272">
        <f>ROUND(SUMIF('6.0'!$D:$D,T_BS!D105,'6.0'!$J:$J),0)</f>
        <v>0</v>
      </c>
      <c r="W105" s="272">
        <f>ROUND(SUMIF('7.0'!$D:$D,T_BS!D105,'7.0'!$I:$I),0)</f>
        <v>0</v>
      </c>
      <c r="X105" s="272">
        <f>ROUND(SUMIF('8.0'!$D:$D,T_BS!D105,'8.0'!$H:$H),0)</f>
        <v>0</v>
      </c>
      <c r="Y105" s="201">
        <f t="shared" si="62"/>
        <v>0</v>
      </c>
      <c r="AA105" s="215">
        <f t="shared" si="63"/>
        <v>-2428196247</v>
      </c>
      <c r="AC105" s="637"/>
    </row>
    <row r="106" spans="1:29" ht="18" customHeight="1">
      <c r="A106" s="28"/>
      <c r="D106" s="590">
        <v>126200</v>
      </c>
      <c r="E106" s="164" t="s">
        <v>5</v>
      </c>
      <c r="F106" s="166">
        <v>2801</v>
      </c>
      <c r="G106" s="164" t="s">
        <v>103</v>
      </c>
      <c r="H106" s="259">
        <v>102205663</v>
      </c>
      <c r="I106" s="272">
        <v>0</v>
      </c>
      <c r="J106" s="272"/>
      <c r="K106" s="272"/>
      <c r="L106" s="259">
        <v>0</v>
      </c>
      <c r="M106" s="36"/>
      <c r="N106" s="36">
        <v>0</v>
      </c>
      <c r="O106" s="201">
        <f t="shared" si="46"/>
        <v>102205663</v>
      </c>
      <c r="Q106" s="636">
        <f>SUMIF('1.0'!$D:$D,T_BS!D106,'1.0'!$J:$J)</f>
        <v>0</v>
      </c>
      <c r="R106" s="259">
        <f>SUMIF('2.0'!$D:$D,T_BS!D106,'2.0'!$J:$J)</f>
        <v>0</v>
      </c>
      <c r="S106" s="36">
        <f>ROUND(SUMIF('3.0'!$D:$D,T_BS!D106,'3.0'!$H:$H),0)</f>
        <v>0</v>
      </c>
      <c r="T106" s="272">
        <f>ROUND(SUMIF('4.0'!$D:$D,T_BS!D106,'4.0'!$J:$J),0)</f>
        <v>0</v>
      </c>
      <c r="U106" s="36">
        <f>ROUND(SUMIF('5.0'!$D:$D,T_BS!D106,'5.0'!$J:$J),0)</f>
        <v>0</v>
      </c>
      <c r="V106" s="272">
        <f>ROUND(SUMIF('6.0'!$D:$D,T_BS!D106,'6.0'!$J:$J),0)</f>
        <v>0</v>
      </c>
      <c r="W106" s="272">
        <f>ROUND(SUMIF('7.0'!$D:$D,T_BS!D106,'7.0'!$I:$I),0)</f>
        <v>0</v>
      </c>
      <c r="X106" s="272">
        <f>ROUND(SUMIF('8.0'!$D:$D,T_BS!D106,'8.0'!$H:$H),0)</f>
        <v>0</v>
      </c>
      <c r="Y106" s="201">
        <f t="shared" si="62"/>
        <v>0</v>
      </c>
      <c r="AA106" s="215">
        <f t="shared" si="63"/>
        <v>102205663</v>
      </c>
      <c r="AC106" s="637"/>
    </row>
    <row r="107" spans="1:29" ht="18" customHeight="1">
      <c r="A107" s="28"/>
      <c r="D107" s="590">
        <v>126210</v>
      </c>
      <c r="E107" s="164" t="s">
        <v>5</v>
      </c>
      <c r="F107" s="166">
        <v>2802</v>
      </c>
      <c r="G107" s="164" t="s">
        <v>104</v>
      </c>
      <c r="H107" s="259">
        <v>-38000649</v>
      </c>
      <c r="I107" s="272">
        <v>0</v>
      </c>
      <c r="J107" s="272"/>
      <c r="K107" s="272"/>
      <c r="L107" s="259">
        <v>0</v>
      </c>
      <c r="M107" s="36"/>
      <c r="N107" s="36">
        <v>0</v>
      </c>
      <c r="O107" s="201">
        <f t="shared" si="46"/>
        <v>-38000649</v>
      </c>
      <c r="Q107" s="636">
        <f>SUMIF('1.0'!$D:$D,T_BS!D107,'1.0'!$J:$J)</f>
        <v>0</v>
      </c>
      <c r="R107" s="259">
        <f>SUMIF('2.0'!$D:$D,T_BS!D107,'2.0'!$J:$J)</f>
        <v>0</v>
      </c>
      <c r="S107" s="36">
        <f>ROUND(SUMIF('3.0'!$D:$D,T_BS!D107,'3.0'!$H:$H),0)</f>
        <v>0</v>
      </c>
      <c r="T107" s="272">
        <f>ROUND(SUMIF('4.0'!$D:$D,T_BS!D107,'4.0'!$J:$J),0)</f>
        <v>0</v>
      </c>
      <c r="U107" s="36">
        <f>ROUND(SUMIF('5.0'!$D:$D,T_BS!D107,'5.0'!$J:$J),0)</f>
        <v>0</v>
      </c>
      <c r="V107" s="272">
        <f>ROUND(SUMIF('6.0'!$D:$D,T_BS!D107,'6.0'!$J:$J),0)</f>
        <v>0</v>
      </c>
      <c r="W107" s="272">
        <f>ROUND(SUMIF('7.0'!$D:$D,T_BS!D107,'7.0'!$I:$I),0)</f>
        <v>0</v>
      </c>
      <c r="X107" s="272">
        <f>ROUND(SUMIF('8.0'!$D:$D,T_BS!D107,'8.0'!$H:$H),0)</f>
        <v>0</v>
      </c>
      <c r="Y107" s="201">
        <f t="shared" si="62"/>
        <v>0</v>
      </c>
      <c r="AA107" s="215">
        <f t="shared" si="63"/>
        <v>-38000649</v>
      </c>
      <c r="AC107" s="637"/>
    </row>
    <row r="108" spans="1:29" ht="18" customHeight="1">
      <c r="A108" s="28"/>
      <c r="D108" s="642" t="s">
        <v>1354</v>
      </c>
      <c r="E108" s="164" t="s">
        <v>5</v>
      </c>
      <c r="F108" s="166"/>
      <c r="G108" s="164" t="s">
        <v>538</v>
      </c>
      <c r="H108" s="259">
        <v>0</v>
      </c>
      <c r="I108" s="272">
        <v>0</v>
      </c>
      <c r="J108" s="272">
        <v>0</v>
      </c>
      <c r="K108" s="272"/>
      <c r="L108" s="259">
        <v>0</v>
      </c>
      <c r="M108" s="36"/>
      <c r="N108" s="36"/>
      <c r="O108" s="201">
        <f t="shared" si="46"/>
        <v>0</v>
      </c>
      <c r="Q108" s="636">
        <f>SUMIF('1.0'!$D:$D,T_BS!D108,'1.0'!$J:$J)</f>
        <v>0</v>
      </c>
      <c r="R108" s="259">
        <f>SUMIF('2.0'!$D:$D,T_BS!D108,'2.0'!$J:$J)</f>
        <v>0</v>
      </c>
      <c r="S108" s="36"/>
      <c r="T108" s="272">
        <f>ROUND(SUMIF('4.0'!$D:$D,T_BS!D108,'4.0'!$J:$J),0)</f>
        <v>0</v>
      </c>
      <c r="U108" s="36">
        <f>ROUND(SUMIF('5.0'!$D:$D,T_BS!D108,'5.0'!$J:$J),0)</f>
        <v>0</v>
      </c>
      <c r="V108" s="272">
        <f>ROUND(SUMIF('6.0'!$D:$D,T_BS!D108,'6.0'!$J:$J),0)</f>
        <v>0</v>
      </c>
      <c r="W108" s="272">
        <f>ROUND(SUMIF('7.0'!$D:$D,T_BS!D108,'7.0'!$I:$I),0)</f>
        <v>0</v>
      </c>
      <c r="X108" s="272">
        <f>ROUND(SUMIF('8.0'!$D:$D,T_BS!D108,'8.0'!$H:$H),0)</f>
        <v>0</v>
      </c>
      <c r="Y108" s="201">
        <f t="shared" si="62"/>
        <v>0</v>
      </c>
      <c r="AA108" s="215">
        <f t="shared" si="63"/>
        <v>0</v>
      </c>
    </row>
    <row r="109" spans="1:29" ht="18" customHeight="1">
      <c r="A109" s="28"/>
      <c r="D109" s="586"/>
      <c r="E109" s="587"/>
      <c r="F109" s="588"/>
      <c r="G109" s="587" t="s">
        <v>6</v>
      </c>
      <c r="H109" s="52">
        <f>SUM(H110:H129)</f>
        <v>19177731025</v>
      </c>
      <c r="I109" s="52">
        <f t="shared" ref="I109:N109" si="64">SUM(I110:I129)</f>
        <v>0</v>
      </c>
      <c r="J109" s="52">
        <f t="shared" si="64"/>
        <v>0</v>
      </c>
      <c r="K109" s="52">
        <f t="shared" si="64"/>
        <v>0</v>
      </c>
      <c r="L109" s="52">
        <f t="shared" si="64"/>
        <v>63053136</v>
      </c>
      <c r="M109" s="52"/>
      <c r="N109" s="52">
        <f t="shared" si="64"/>
        <v>0</v>
      </c>
      <c r="O109" s="589">
        <f>SUM(O110:O129)</f>
        <v>19240784161</v>
      </c>
      <c r="Q109" s="634">
        <f t="shared" ref="Q109" si="65">SUM(Q110:Q129)</f>
        <v>19842800</v>
      </c>
      <c r="R109" s="52">
        <f t="shared" ref="R109" si="66">SUM(R110:R129)</f>
        <v>0</v>
      </c>
      <c r="S109" s="52">
        <f t="shared" ref="S109" si="67">SUM(S110:S129)</f>
        <v>0</v>
      </c>
      <c r="T109" s="52">
        <f t="shared" ref="T109" si="68">SUM(T110:T129)</f>
        <v>0</v>
      </c>
      <c r="U109" s="52">
        <f t="shared" ref="U109" si="69">SUM(U110:U129)</f>
        <v>7337997894</v>
      </c>
      <c r="V109" s="52">
        <f t="shared" ref="V109:AA109" si="70">SUM(V110:V129)</f>
        <v>0</v>
      </c>
      <c r="W109" s="52">
        <f t="shared" ref="W109" si="71">SUM(W110:W129)</f>
        <v>0</v>
      </c>
      <c r="X109" s="52">
        <f t="shared" ref="X109" si="72">SUM(X110:X129)</f>
        <v>0</v>
      </c>
      <c r="Y109" s="589">
        <f t="shared" si="70"/>
        <v>7357840694</v>
      </c>
      <c r="AA109" s="614">
        <f t="shared" si="70"/>
        <v>26598624855</v>
      </c>
      <c r="AC109" s="637"/>
    </row>
    <row r="110" spans="1:29" ht="18" customHeight="1">
      <c r="A110" s="28"/>
      <c r="D110" s="590" t="s">
        <v>105</v>
      </c>
      <c r="E110" s="164" t="s">
        <v>6</v>
      </c>
      <c r="F110" s="166">
        <v>2501</v>
      </c>
      <c r="G110" s="164" t="s">
        <v>106</v>
      </c>
      <c r="H110" s="259">
        <v>562650315</v>
      </c>
      <c r="I110" s="272">
        <v>0</v>
      </c>
      <c r="J110" s="272"/>
      <c r="K110" s="272">
        <v>0</v>
      </c>
      <c r="L110" s="259">
        <v>0</v>
      </c>
      <c r="M110" s="36"/>
      <c r="N110" s="36"/>
      <c r="O110" s="201">
        <f t="shared" si="46"/>
        <v>562650315</v>
      </c>
      <c r="Q110" s="636">
        <f>SUMIF('1.0'!$D:$D,T_BS!D110,'1.0'!$J:$J)</f>
        <v>0</v>
      </c>
      <c r="R110" s="259">
        <f>SUMIF('2.0'!$D:$D,T_BS!D110,'2.0'!$J:$J)</f>
        <v>0</v>
      </c>
      <c r="S110" s="36">
        <f>ROUND(SUMIF('3.0'!$D:$D,T_BS!D110,'3.0'!$H:$H),0)</f>
        <v>0</v>
      </c>
      <c r="T110" s="272">
        <f>ROUND(SUMIF('4.0'!$D:$D,T_BS!D110,'4.0'!$J:$J),0)</f>
        <v>0</v>
      </c>
      <c r="U110" s="36">
        <f>ROUND(SUMIF('5.0'!$D:$D,T_BS!D110,'5.0'!$J:$J),0)</f>
        <v>0</v>
      </c>
      <c r="V110" s="272">
        <f>ROUND(SUMIF('6.0'!$D:$D,T_BS!D110,'6.0'!$J:$J),0)</f>
        <v>0</v>
      </c>
      <c r="W110" s="272">
        <f>ROUND(SUMIF('7.0'!$D:$D,T_BS!D110,'7.0'!$I:$I),0)</f>
        <v>0</v>
      </c>
      <c r="X110" s="272">
        <f>ROUND(SUMIF('8.0'!$D:$D,T_BS!D110,'8.0'!$H:$H),0)</f>
        <v>0</v>
      </c>
      <c r="Y110" s="201">
        <f t="shared" ref="Y110:Y131" si="73">SUM(Q110:X110)</f>
        <v>0</v>
      </c>
      <c r="AA110" s="215">
        <f t="shared" si="63"/>
        <v>562650315</v>
      </c>
      <c r="AC110" s="637"/>
    </row>
    <row r="111" spans="1:29" ht="18" customHeight="1">
      <c r="A111" s="28"/>
      <c r="D111" s="590" t="s">
        <v>107</v>
      </c>
      <c r="E111" s="164" t="s">
        <v>6</v>
      </c>
      <c r="F111" s="166">
        <v>2501</v>
      </c>
      <c r="G111" s="164" t="s">
        <v>108</v>
      </c>
      <c r="H111" s="259">
        <v>-457233848</v>
      </c>
      <c r="I111" s="272">
        <v>0</v>
      </c>
      <c r="J111" s="272"/>
      <c r="K111" s="272"/>
      <c r="L111" s="259">
        <v>0</v>
      </c>
      <c r="M111" s="36"/>
      <c r="N111" s="36"/>
      <c r="O111" s="201">
        <f t="shared" si="46"/>
        <v>-457233848</v>
      </c>
      <c r="Q111" s="636">
        <f>SUMIF('1.0'!$D:$D,T_BS!D111,'1.0'!$J:$J)</f>
        <v>0</v>
      </c>
      <c r="R111" s="259">
        <f>SUMIF('2.0'!$D:$D,T_BS!D111,'2.0'!$J:$J)</f>
        <v>0</v>
      </c>
      <c r="S111" s="36">
        <f>ROUND(SUMIF('3.0'!$D:$D,T_BS!D111,'3.0'!$H:$H),0)</f>
        <v>0</v>
      </c>
      <c r="T111" s="272">
        <f>ROUND(SUMIF('4.0'!$D:$D,T_BS!D111,'4.0'!$J:$J),0)</f>
        <v>0</v>
      </c>
      <c r="U111" s="36">
        <f>ROUND(SUMIF('5.0'!$D:$D,T_BS!D111,'5.0'!$J:$J),0)</f>
        <v>0</v>
      </c>
      <c r="V111" s="272">
        <f>ROUND(SUMIF('6.0'!$D:$D,T_BS!D111,'6.0'!$J:$J),0)</f>
        <v>0</v>
      </c>
      <c r="W111" s="272">
        <f>ROUND(SUMIF('7.0'!$D:$D,T_BS!D111,'7.0'!$I:$I),0)</f>
        <v>0</v>
      </c>
      <c r="X111" s="272">
        <f>ROUND(SUMIF('8.0'!$D:$D,T_BS!D111,'8.0'!$H:$H),0)</f>
        <v>0</v>
      </c>
      <c r="Y111" s="201">
        <f t="shared" si="73"/>
        <v>0</v>
      </c>
      <c r="AA111" s="215">
        <f t="shared" si="63"/>
        <v>-457233848</v>
      </c>
      <c r="AC111" s="637"/>
    </row>
    <row r="112" spans="1:29" ht="18" customHeight="1">
      <c r="A112" s="28"/>
      <c r="D112" s="590" t="s">
        <v>109</v>
      </c>
      <c r="E112" s="164" t="s">
        <v>6</v>
      </c>
      <c r="F112" s="166">
        <v>2503</v>
      </c>
      <c r="G112" s="164" t="s">
        <v>110</v>
      </c>
      <c r="H112" s="259">
        <v>11684298570</v>
      </c>
      <c r="I112" s="272">
        <v>0</v>
      </c>
      <c r="J112" s="272"/>
      <c r="K112" s="272"/>
      <c r="L112" s="259">
        <v>0</v>
      </c>
      <c r="M112" s="36"/>
      <c r="N112" s="36"/>
      <c r="O112" s="201">
        <f t="shared" si="46"/>
        <v>11684298570</v>
      </c>
      <c r="Q112" s="636">
        <f>SUMIF('1.0'!$D:$D,T_BS!D112,'1.0'!$J:$J)</f>
        <v>0</v>
      </c>
      <c r="R112" s="259">
        <f>SUMIF('2.0'!$D:$D,T_BS!D112,'2.0'!$J:$J)</f>
        <v>0</v>
      </c>
      <c r="S112" s="36">
        <f>ROUND(SUMIF('3.0'!$D:$D,T_BS!D112,'3.0'!$H:$H),0)</f>
        <v>0</v>
      </c>
      <c r="T112" s="272">
        <f>ROUND(SUMIF('4.0'!$D:$D,T_BS!D112,'4.0'!$J:$J),0)</f>
        <v>0</v>
      </c>
      <c r="U112" s="36">
        <f>ROUND(SUMIF('5.0'!$D:$D,T_BS!D112,'5.0'!$J:$J),0)</f>
        <v>0</v>
      </c>
      <c r="V112" s="272">
        <f>ROUND(SUMIF('6.0'!$D:$D,T_BS!D112,'6.0'!$J:$J),0)</f>
        <v>0</v>
      </c>
      <c r="W112" s="272">
        <f>ROUND(SUMIF('7.0'!$D:$D,T_BS!D112,'7.0'!$I:$I),0)</f>
        <v>0</v>
      </c>
      <c r="X112" s="272">
        <f>ROUND(SUMIF('8.0'!$D:$D,T_BS!D112,'8.0'!$H:$H),0)</f>
        <v>0</v>
      </c>
      <c r="Y112" s="201">
        <f t="shared" si="73"/>
        <v>0</v>
      </c>
      <c r="AA112" s="215">
        <f t="shared" si="63"/>
        <v>11684298570</v>
      </c>
      <c r="AC112" s="637"/>
    </row>
    <row r="113" spans="1:29" ht="18" customHeight="1">
      <c r="A113" s="28"/>
      <c r="D113" s="590" t="s">
        <v>111</v>
      </c>
      <c r="E113" s="164" t="s">
        <v>6</v>
      </c>
      <c r="F113" s="166">
        <v>2503</v>
      </c>
      <c r="G113" s="164" t="s">
        <v>112</v>
      </c>
      <c r="H113" s="259">
        <v>-8311666392</v>
      </c>
      <c r="I113" s="272">
        <v>0</v>
      </c>
      <c r="J113" s="272"/>
      <c r="K113" s="272"/>
      <c r="L113" s="259">
        <v>0</v>
      </c>
      <c r="M113" s="36"/>
      <c r="N113" s="36"/>
      <c r="O113" s="201">
        <f t="shared" si="46"/>
        <v>-8311666392</v>
      </c>
      <c r="Q113" s="636">
        <f>SUMIF('1.0'!$D:$D,T_BS!D113,'1.0'!$J:$J)</f>
        <v>0</v>
      </c>
      <c r="R113" s="259">
        <f>SUMIF('2.0'!$D:$D,T_BS!D113,'2.0'!$J:$J)</f>
        <v>0</v>
      </c>
      <c r="S113" s="36">
        <f>ROUND(SUMIF('3.0'!$D:$D,T_BS!D113,'3.0'!$H:$H),0)</f>
        <v>0</v>
      </c>
      <c r="T113" s="272">
        <f>ROUND(SUMIF('4.0'!$D:$D,T_BS!D113,'4.0'!$J:$J),0)</f>
        <v>0</v>
      </c>
      <c r="U113" s="36">
        <f>ROUND(SUMIF('5.0'!$D:$D,T_BS!D113,'5.0'!$J:$J),0)</f>
        <v>0</v>
      </c>
      <c r="V113" s="272">
        <f>ROUND(SUMIF('6.0'!$D:$D,T_BS!D113,'6.0'!$J:$J),0)</f>
        <v>0</v>
      </c>
      <c r="W113" s="272">
        <f>ROUND(SUMIF('7.0'!$D:$D,T_BS!D113,'7.0'!$I:$I),0)</f>
        <v>0</v>
      </c>
      <c r="X113" s="272">
        <f>ROUND(SUMIF('8.0'!$D:$D,T_BS!D113,'8.0'!$H:$H),0)</f>
        <v>0</v>
      </c>
      <c r="Y113" s="201">
        <f t="shared" si="73"/>
        <v>0</v>
      </c>
      <c r="AA113" s="215">
        <f t="shared" si="63"/>
        <v>-8311666392</v>
      </c>
      <c r="AC113" s="637"/>
    </row>
    <row r="114" spans="1:29" ht="18" customHeight="1">
      <c r="A114" s="28"/>
      <c r="D114" s="590" t="s">
        <v>113</v>
      </c>
      <c r="E114" s="164" t="s">
        <v>6</v>
      </c>
      <c r="F114" s="166">
        <v>2503</v>
      </c>
      <c r="G114" s="164" t="s">
        <v>114</v>
      </c>
      <c r="H114" s="259">
        <v>-2107184643</v>
      </c>
      <c r="I114" s="272">
        <v>0</v>
      </c>
      <c r="J114" s="272"/>
      <c r="K114" s="272"/>
      <c r="L114" s="259">
        <v>0</v>
      </c>
      <c r="M114" s="36"/>
      <c r="N114" s="36"/>
      <c r="O114" s="201">
        <f t="shared" si="46"/>
        <v>-2107184643</v>
      </c>
      <c r="Q114" s="636">
        <f>SUMIF('1.0'!$D:$D,T_BS!D114,'1.0'!$J:$J)</f>
        <v>0</v>
      </c>
      <c r="R114" s="259">
        <f>SUMIF('2.0'!$D:$D,T_BS!D114,'2.0'!$J:$J)</f>
        <v>0</v>
      </c>
      <c r="S114" s="36">
        <f>ROUND(SUMIF('3.0'!$D:$D,T_BS!D114,'3.0'!$H:$H),0)</f>
        <v>0</v>
      </c>
      <c r="T114" s="272">
        <f>ROUND(SUMIF('4.0'!$D:$D,T_BS!D114,'4.0'!$J:$J),0)</f>
        <v>0</v>
      </c>
      <c r="U114" s="36">
        <f>ROUND(SUMIF('5.0'!$D:$D,T_BS!D114,'5.0'!$J:$J),0)</f>
        <v>0</v>
      </c>
      <c r="V114" s="272">
        <f>ROUND(SUMIF('6.0'!$D:$D,T_BS!D114,'6.0'!$J:$J),0)</f>
        <v>0</v>
      </c>
      <c r="W114" s="272">
        <f>ROUND(SUMIF('7.0'!$D:$D,T_BS!D114,'7.0'!$I:$I),0)</f>
        <v>0</v>
      </c>
      <c r="X114" s="272">
        <f>ROUND(SUMIF('8.0'!$D:$D,T_BS!D114,'8.0'!$H:$H),0)</f>
        <v>0</v>
      </c>
      <c r="Y114" s="201">
        <f t="shared" si="73"/>
        <v>0</v>
      </c>
      <c r="AA114" s="215">
        <f t="shared" si="63"/>
        <v>-2107184643</v>
      </c>
      <c r="AC114" s="637"/>
    </row>
    <row r="115" spans="1:29" ht="18" customHeight="1">
      <c r="A115" s="28"/>
      <c r="D115" s="590">
        <v>125300</v>
      </c>
      <c r="E115" s="164" t="s">
        <v>6</v>
      </c>
      <c r="F115" s="166">
        <v>2501</v>
      </c>
      <c r="G115" s="164" t="s">
        <v>115</v>
      </c>
      <c r="H115" s="259">
        <v>329148240</v>
      </c>
      <c r="I115" s="272">
        <v>0</v>
      </c>
      <c r="J115" s="272"/>
      <c r="K115" s="272"/>
      <c r="L115" s="259">
        <v>0</v>
      </c>
      <c r="M115" s="36"/>
      <c r="N115" s="36"/>
      <c r="O115" s="201">
        <f t="shared" si="46"/>
        <v>329148240</v>
      </c>
      <c r="Q115" s="636">
        <f>SUMIF('1.0'!$D:$D,T_BS!D115,'1.0'!$J:$J)</f>
        <v>0</v>
      </c>
      <c r="R115" s="259">
        <f>SUMIF('2.0'!$D:$D,T_BS!D115,'2.0'!$J:$J)</f>
        <v>0</v>
      </c>
      <c r="S115" s="36">
        <f>ROUND(SUMIF('3.0'!$D:$D,T_BS!D115,'3.0'!$H:$H),0)</f>
        <v>0</v>
      </c>
      <c r="T115" s="272">
        <f>ROUND(SUMIF('4.0'!$D:$D,T_BS!D115,'4.0'!$J:$J),0)</f>
        <v>0</v>
      </c>
      <c r="U115" s="36">
        <f>ROUND(SUMIF('5.0'!$D:$D,T_BS!D115,'5.0'!$J:$J),0)</f>
        <v>0</v>
      </c>
      <c r="V115" s="272">
        <f>ROUND(SUMIF('6.0'!$D:$D,T_BS!D115,'6.0'!$J:$J),0)</f>
        <v>0</v>
      </c>
      <c r="W115" s="272">
        <f>ROUND(SUMIF('7.0'!$D:$D,T_BS!D115,'7.0'!$I:$I),0)</f>
        <v>0</v>
      </c>
      <c r="X115" s="272">
        <f>ROUND(SUMIF('8.0'!$D:$D,T_BS!D115,'8.0'!$H:$H),0)</f>
        <v>0</v>
      </c>
      <c r="Y115" s="201">
        <f t="shared" si="73"/>
        <v>0</v>
      </c>
      <c r="AA115" s="215">
        <f t="shared" si="63"/>
        <v>329148240</v>
      </c>
      <c r="AC115" s="637"/>
    </row>
    <row r="116" spans="1:29" ht="18" customHeight="1">
      <c r="A116" s="28"/>
      <c r="D116" s="590">
        <v>125400</v>
      </c>
      <c r="E116" s="164" t="s">
        <v>6</v>
      </c>
      <c r="F116" s="166">
        <v>2501</v>
      </c>
      <c r="G116" s="164" t="s">
        <v>116</v>
      </c>
      <c r="H116" s="259">
        <v>434260729</v>
      </c>
      <c r="I116" s="272">
        <v>0</v>
      </c>
      <c r="J116" s="272"/>
      <c r="K116" s="272"/>
      <c r="L116" s="259">
        <v>0</v>
      </c>
      <c r="M116" s="36"/>
      <c r="N116" s="36"/>
      <c r="O116" s="201">
        <f t="shared" si="46"/>
        <v>434260729</v>
      </c>
      <c r="Q116" s="636">
        <f>SUMIF('1.0'!$D:$D,T_BS!D116,'1.0'!$J:$J)</f>
        <v>0</v>
      </c>
      <c r="R116" s="259">
        <f>SUMIF('2.0'!$D:$D,T_BS!D116,'2.0'!$J:$J)</f>
        <v>0</v>
      </c>
      <c r="S116" s="36">
        <f>ROUND(SUMIF('3.0'!$D:$D,T_BS!D116,'3.0'!$H:$H),0)</f>
        <v>0</v>
      </c>
      <c r="T116" s="272">
        <f>ROUND(SUMIF('4.0'!$D:$D,T_BS!D116,'4.0'!$J:$J),0)</f>
        <v>0</v>
      </c>
      <c r="U116" s="36">
        <f>ROUND(SUMIF('5.0'!$D:$D,T_BS!D116,'5.0'!$J:$J),0)</f>
        <v>0</v>
      </c>
      <c r="V116" s="272">
        <f>ROUND(SUMIF('6.0'!$D:$D,T_BS!D116,'6.0'!$J:$J),0)</f>
        <v>0</v>
      </c>
      <c r="W116" s="272">
        <f>ROUND(SUMIF('7.0'!$D:$D,T_BS!D116,'7.0'!$I:$I),0)</f>
        <v>0</v>
      </c>
      <c r="X116" s="272">
        <f>ROUND(SUMIF('8.0'!$D:$D,T_BS!D116,'8.0'!$H:$H),0)</f>
        <v>0</v>
      </c>
      <c r="Y116" s="201">
        <f t="shared" si="73"/>
        <v>0</v>
      </c>
      <c r="AA116" s="215">
        <f t="shared" si="63"/>
        <v>434260729</v>
      </c>
      <c r="AC116" s="637"/>
    </row>
    <row r="117" spans="1:29" ht="18" customHeight="1">
      <c r="A117" s="28"/>
      <c r="D117" s="590" t="s">
        <v>117</v>
      </c>
      <c r="E117" s="164" t="s">
        <v>6</v>
      </c>
      <c r="F117" s="166">
        <v>2501</v>
      </c>
      <c r="G117" s="164" t="s">
        <v>118</v>
      </c>
      <c r="H117" s="259">
        <v>10801432</v>
      </c>
      <c r="I117" s="272">
        <v>0</v>
      </c>
      <c r="J117" s="272"/>
      <c r="K117" s="272"/>
      <c r="L117" s="259">
        <v>0</v>
      </c>
      <c r="M117" s="36"/>
      <c r="N117" s="36"/>
      <c r="O117" s="201">
        <f t="shared" si="46"/>
        <v>10801432</v>
      </c>
      <c r="Q117" s="636">
        <f>SUMIF('1.0'!$D:$D,T_BS!D117,'1.0'!$J:$J)</f>
        <v>0</v>
      </c>
      <c r="R117" s="259">
        <f>SUMIF('2.0'!$D:$D,T_BS!D117,'2.0'!$J:$J)</f>
        <v>0</v>
      </c>
      <c r="S117" s="36">
        <f>ROUND(SUMIF('3.0'!$D:$D,T_BS!D117,'3.0'!$H:$H),0)</f>
        <v>0</v>
      </c>
      <c r="T117" s="272">
        <f>ROUND(SUMIF('4.0'!$D:$D,T_BS!D117,'4.0'!$J:$J),0)</f>
        <v>0</v>
      </c>
      <c r="U117" s="36">
        <f>ROUND(SUMIF('5.0'!$D:$D,T_BS!D117,'5.0'!$J:$J),0)</f>
        <v>0</v>
      </c>
      <c r="V117" s="272">
        <f>ROUND(SUMIF('6.0'!$D:$D,T_BS!D117,'6.0'!$J:$J),0)</f>
        <v>0</v>
      </c>
      <c r="W117" s="272">
        <f>ROUND(SUMIF('7.0'!$D:$D,T_BS!D117,'7.0'!$I:$I),0)</f>
        <v>0</v>
      </c>
      <c r="X117" s="272">
        <f>ROUND(SUMIF('8.0'!$D:$D,T_BS!D117,'8.0'!$H:$H),0)</f>
        <v>0</v>
      </c>
      <c r="Y117" s="201">
        <f t="shared" si="73"/>
        <v>0</v>
      </c>
      <c r="AA117" s="215">
        <f t="shared" si="63"/>
        <v>10801432</v>
      </c>
      <c r="AC117" s="637"/>
    </row>
    <row r="118" spans="1:29" ht="18" customHeight="1">
      <c r="A118" s="28"/>
      <c r="D118" s="590" t="s">
        <v>119</v>
      </c>
      <c r="E118" s="164" t="s">
        <v>6</v>
      </c>
      <c r="F118" s="166">
        <v>2501</v>
      </c>
      <c r="G118" s="164" t="s">
        <v>120</v>
      </c>
      <c r="H118" s="259">
        <v>-217817509</v>
      </c>
      <c r="I118" s="272">
        <v>0</v>
      </c>
      <c r="J118" s="272"/>
      <c r="K118" s="272"/>
      <c r="L118" s="259">
        <v>0</v>
      </c>
      <c r="M118" s="36"/>
      <c r="N118" s="36"/>
      <c r="O118" s="201">
        <f t="shared" si="46"/>
        <v>-217817509</v>
      </c>
      <c r="Q118" s="636">
        <f>SUMIF('1.0'!$D:$D,T_BS!D118,'1.0'!$J:$J)</f>
        <v>0</v>
      </c>
      <c r="R118" s="259">
        <f>SUMIF('2.0'!$D:$D,T_BS!D118,'2.0'!$J:$J)</f>
        <v>0</v>
      </c>
      <c r="S118" s="36">
        <f>ROUND(SUMIF('3.0'!$D:$D,T_BS!D118,'3.0'!$H:$H),0)</f>
        <v>0</v>
      </c>
      <c r="T118" s="272">
        <f>ROUND(SUMIF('4.0'!$D:$D,T_BS!D118,'4.0'!$J:$J),0)</f>
        <v>0</v>
      </c>
      <c r="U118" s="36">
        <f>ROUND(SUMIF('5.0'!$D:$D,T_BS!D118,'5.0'!$J:$J),0)</f>
        <v>0</v>
      </c>
      <c r="V118" s="272">
        <f>ROUND(SUMIF('6.0'!$D:$D,T_BS!D118,'6.0'!$J:$J),0)</f>
        <v>0</v>
      </c>
      <c r="W118" s="272">
        <f>ROUND(SUMIF('7.0'!$D:$D,T_BS!D118,'7.0'!$I:$I),0)</f>
        <v>0</v>
      </c>
      <c r="X118" s="272">
        <f>ROUND(SUMIF('8.0'!$D:$D,T_BS!D118,'8.0'!$H:$H),0)</f>
        <v>0</v>
      </c>
      <c r="Y118" s="201">
        <f t="shared" si="73"/>
        <v>0</v>
      </c>
      <c r="AA118" s="215">
        <f t="shared" si="63"/>
        <v>-217817509</v>
      </c>
      <c r="AC118" s="637"/>
    </row>
    <row r="119" spans="1:29" ht="18" customHeight="1">
      <c r="A119" s="28"/>
      <c r="D119" s="590" t="s">
        <v>121</v>
      </c>
      <c r="E119" s="164" t="s">
        <v>6</v>
      </c>
      <c r="F119" s="166">
        <v>2501</v>
      </c>
      <c r="G119" s="164" t="s">
        <v>122</v>
      </c>
      <c r="H119" s="259">
        <v>-9548505</v>
      </c>
      <c r="I119" s="272">
        <v>0</v>
      </c>
      <c r="J119" s="272"/>
      <c r="K119" s="272"/>
      <c r="L119" s="259">
        <v>0</v>
      </c>
      <c r="M119" s="36"/>
      <c r="N119" s="36"/>
      <c r="O119" s="201">
        <f t="shared" si="46"/>
        <v>-9548505</v>
      </c>
      <c r="Q119" s="636">
        <f>SUMIF('1.0'!$D:$D,T_BS!D119,'1.0'!$J:$J)</f>
        <v>0</v>
      </c>
      <c r="R119" s="259">
        <f>SUMIF('2.0'!$D:$D,T_BS!D119,'2.0'!$J:$J)</f>
        <v>0</v>
      </c>
      <c r="S119" s="36">
        <f>ROUND(SUMIF('3.0'!$D:$D,T_BS!D119,'3.0'!$H:$H),0)</f>
        <v>0</v>
      </c>
      <c r="T119" s="272">
        <f>ROUND(SUMIF('4.0'!$D:$D,T_BS!D119,'4.0'!$J:$J),0)</f>
        <v>0</v>
      </c>
      <c r="U119" s="36">
        <f>ROUND(SUMIF('5.0'!$D:$D,T_BS!D119,'5.0'!$J:$J),0)</f>
        <v>0</v>
      </c>
      <c r="V119" s="272">
        <f>ROUND(SUMIF('6.0'!$D:$D,T_BS!D119,'6.0'!$J:$J),0)</f>
        <v>0</v>
      </c>
      <c r="W119" s="272">
        <f>ROUND(SUMIF('7.0'!$D:$D,T_BS!D119,'7.0'!$I:$I),0)</f>
        <v>0</v>
      </c>
      <c r="X119" s="272">
        <f>ROUND(SUMIF('8.0'!$D:$D,T_BS!D119,'8.0'!$H:$H),0)</f>
        <v>0</v>
      </c>
      <c r="Y119" s="201">
        <f t="shared" si="73"/>
        <v>0</v>
      </c>
      <c r="AA119" s="215">
        <f t="shared" si="63"/>
        <v>-9548505</v>
      </c>
      <c r="AC119" s="637"/>
    </row>
    <row r="120" spans="1:29" ht="18" customHeight="1">
      <c r="A120" s="28"/>
      <c r="D120" s="590">
        <v>125900</v>
      </c>
      <c r="E120" s="164" t="s">
        <v>6</v>
      </c>
      <c r="F120" s="166">
        <v>2505</v>
      </c>
      <c r="G120" s="164" t="s">
        <v>123</v>
      </c>
      <c r="H120" s="259">
        <v>18038304907</v>
      </c>
      <c r="I120" s="272">
        <v>0</v>
      </c>
      <c r="J120" s="272"/>
      <c r="K120" s="272"/>
      <c r="L120" s="259">
        <v>77207922</v>
      </c>
      <c r="M120" s="36"/>
      <c r="N120" s="36"/>
      <c r="O120" s="201">
        <f t="shared" si="46"/>
        <v>18115512829</v>
      </c>
      <c r="Q120" s="636">
        <f>SUMIF('1.0'!$D:$D,T_BS!D120,'1.0'!$J:$J)</f>
        <v>0</v>
      </c>
      <c r="R120" s="259">
        <f>SUMIF('2.0'!$D:$D,T_BS!D120,'2.0'!$J:$J)</f>
        <v>0</v>
      </c>
      <c r="S120" s="36">
        <f>ROUND(SUMIF('3.0'!$D:$D,T_BS!D120,'3.0'!$H:$H),0)</f>
        <v>0</v>
      </c>
      <c r="T120" s="272">
        <f>ROUND(SUMIF('4.0'!$D:$D,T_BS!D120,'4.0'!$J:$J),0)</f>
        <v>0</v>
      </c>
      <c r="U120" s="36">
        <f>ROUND(SUMIF('5.0'!$D:$D,T_BS!D120,'5.0'!$J:$J),0)</f>
        <v>0</v>
      </c>
      <c r="V120" s="272">
        <f>ROUND(SUMIF('6.0'!$D:$D,T_BS!D120,'6.0'!$J:$J),0)</f>
        <v>0</v>
      </c>
      <c r="W120" s="272">
        <f>ROUND(SUMIF('7.0'!$D:$D,T_BS!D120,'7.0'!$I:$I),0)</f>
        <v>0</v>
      </c>
      <c r="X120" s="272">
        <f>ROUND(SUMIF('8.0'!$D:$D,T_BS!D120,'8.0'!$H:$H),0)</f>
        <v>0</v>
      </c>
      <c r="Y120" s="201">
        <f t="shared" si="73"/>
        <v>0</v>
      </c>
      <c r="AA120" s="215">
        <f t="shared" si="63"/>
        <v>18115512829</v>
      </c>
      <c r="AC120" s="637"/>
    </row>
    <row r="121" spans="1:29" ht="18" customHeight="1">
      <c r="A121" s="28"/>
      <c r="D121" s="590" t="s">
        <v>126</v>
      </c>
      <c r="E121" s="164" t="s">
        <v>6</v>
      </c>
      <c r="F121" s="166">
        <v>2505</v>
      </c>
      <c r="G121" s="164" t="s">
        <v>127</v>
      </c>
      <c r="H121" s="259">
        <v>-8503901754</v>
      </c>
      <c r="I121" s="272">
        <v>0</v>
      </c>
      <c r="J121" s="272"/>
      <c r="K121" s="272"/>
      <c r="L121" s="259">
        <v>-14154786</v>
      </c>
      <c r="M121" s="36"/>
      <c r="N121" s="36"/>
      <c r="O121" s="201">
        <f t="shared" si="46"/>
        <v>-8518056540</v>
      </c>
      <c r="Q121" s="636">
        <f>SUMIF('1.0'!$D:$D,T_BS!D121,'1.0'!$J:$J)</f>
        <v>0</v>
      </c>
      <c r="R121" s="259">
        <f>SUMIF('2.0'!$D:$D,T_BS!D121,'2.0'!$J:$J)</f>
        <v>0</v>
      </c>
      <c r="S121" s="36">
        <f>ROUND(SUMIF('3.0'!$D:$D,T_BS!D121,'3.0'!$H:$H),0)</f>
        <v>0</v>
      </c>
      <c r="T121" s="272">
        <f>ROUND(SUMIF('4.0'!$D:$D,T_BS!D121,'4.0'!$J:$J),0)</f>
        <v>0</v>
      </c>
      <c r="U121" s="36">
        <f>ROUND(SUMIF('5.0'!$D:$D,T_BS!D121,'5.0'!$J:$J),0)</f>
        <v>0</v>
      </c>
      <c r="V121" s="272">
        <f>ROUND(SUMIF('6.0'!$D:$D,T_BS!D121,'6.0'!$J:$J),0)</f>
        <v>0</v>
      </c>
      <c r="W121" s="272">
        <f>ROUND(SUMIF('7.0'!$D:$D,T_BS!D121,'7.0'!$I:$I),0)</f>
        <v>0</v>
      </c>
      <c r="X121" s="272">
        <f>ROUND(SUMIF('8.0'!$D:$D,T_BS!D121,'8.0'!$H:$H),0)</f>
        <v>0</v>
      </c>
      <c r="Y121" s="201">
        <f t="shared" si="73"/>
        <v>0</v>
      </c>
      <c r="AA121" s="215">
        <f t="shared" si="63"/>
        <v>-8518056540</v>
      </c>
      <c r="AC121" s="637"/>
    </row>
    <row r="122" spans="1:29" ht="18" customHeight="1">
      <c r="A122" s="28"/>
      <c r="D122" s="590" t="s">
        <v>124</v>
      </c>
      <c r="E122" s="164" t="s">
        <v>6</v>
      </c>
      <c r="F122" s="166">
        <v>2505</v>
      </c>
      <c r="G122" s="164" t="s">
        <v>125</v>
      </c>
      <c r="H122" s="259">
        <v>-5553041486</v>
      </c>
      <c r="I122" s="272">
        <v>0</v>
      </c>
      <c r="J122" s="272"/>
      <c r="K122" s="272"/>
      <c r="L122" s="259">
        <v>0</v>
      </c>
      <c r="M122" s="36"/>
      <c r="N122" s="36"/>
      <c r="O122" s="201">
        <f t="shared" si="46"/>
        <v>-5553041486</v>
      </c>
      <c r="Q122" s="636">
        <f>SUMIF('1.0'!$D:$D,T_BS!D122,'1.0'!$J:$J)</f>
        <v>0</v>
      </c>
      <c r="R122" s="259">
        <f>SUMIF('2.0'!$D:$D,T_BS!D122,'2.0'!$J:$J)</f>
        <v>0</v>
      </c>
      <c r="S122" s="36">
        <f>ROUND(SUMIF('3.0'!$D:$D,T_BS!D122,'3.0'!$H:$H),0)</f>
        <v>0</v>
      </c>
      <c r="T122" s="272">
        <f>ROUND(SUMIF('4.0'!$D:$D,T_BS!D122,'4.0'!$J:$J),0)</f>
        <v>0</v>
      </c>
      <c r="U122" s="36">
        <f>ROUND(SUMIF('5.0'!$D:$D,T_BS!D122,'5.0'!$J:$J),0)</f>
        <v>0</v>
      </c>
      <c r="V122" s="272">
        <f>ROUND(SUMIF('6.0'!$D:$D,T_BS!D122,'6.0'!$J:$J),0)</f>
        <v>0</v>
      </c>
      <c r="W122" s="272">
        <f>ROUND(SUMIF('7.0'!$D:$D,T_BS!D122,'7.0'!$I:$I),0)</f>
        <v>0</v>
      </c>
      <c r="X122" s="272">
        <f>ROUND(SUMIF('8.0'!$D:$D,T_BS!D122,'8.0'!$H:$H),0)</f>
        <v>0</v>
      </c>
      <c r="Y122" s="201">
        <f t="shared" si="73"/>
        <v>0</v>
      </c>
      <c r="AA122" s="215">
        <f t="shared" si="63"/>
        <v>-5553041486</v>
      </c>
      <c r="AC122" s="637"/>
    </row>
    <row r="123" spans="1:29" ht="18" customHeight="1">
      <c r="A123" s="28"/>
      <c r="D123" s="590" t="s">
        <v>128</v>
      </c>
      <c r="E123" s="164" t="s">
        <v>6</v>
      </c>
      <c r="F123" s="166">
        <v>2508</v>
      </c>
      <c r="G123" s="164" t="s">
        <v>129</v>
      </c>
      <c r="H123" s="259">
        <v>17757739327</v>
      </c>
      <c r="I123" s="272">
        <v>0</v>
      </c>
      <c r="J123" s="272"/>
      <c r="K123" s="272"/>
      <c r="L123" s="259">
        <v>0</v>
      </c>
      <c r="M123" s="36"/>
      <c r="N123" s="36"/>
      <c r="O123" s="201">
        <f t="shared" si="46"/>
        <v>17757739327</v>
      </c>
      <c r="Q123" s="636">
        <f>SUMIF('1.0'!$D:$D,T_BS!D123,'1.0'!$J:$J)</f>
        <v>19842800</v>
      </c>
      <c r="R123" s="259">
        <f>SUMIF('2.0'!$D:$D,T_BS!D123,'2.0'!$J:$J)</f>
        <v>0</v>
      </c>
      <c r="S123" s="36">
        <f>ROUND(SUMIF('3.0'!$D:$D,T_BS!D123,'3.0'!$H:$H),0)</f>
        <v>0</v>
      </c>
      <c r="T123" s="272">
        <f>ROUND(SUMIF('4.0'!$D:$D,T_BS!D123,'4.0'!$J:$J),0)</f>
        <v>0</v>
      </c>
      <c r="U123" s="36">
        <f>ROUND(SUMIF('5.0'!$D:$D,T_BS!D123,'5.0'!$J:$J),0)</f>
        <v>2016154733</v>
      </c>
      <c r="V123" s="272">
        <f>ROUND(SUMIF('6.0'!$D:$D,T_BS!D123,'6.0'!$J:$J),0)</f>
        <v>0</v>
      </c>
      <c r="W123" s="272">
        <f>ROUND(SUMIF('7.0'!$D:$D,T_BS!D123,'7.0'!$I:$I),0)</f>
        <v>0</v>
      </c>
      <c r="X123" s="272">
        <f>ROUND(SUMIF('8.0'!$D:$D,T_BS!D123,'8.0'!$H:$H),0)</f>
        <v>0</v>
      </c>
      <c r="Y123" s="201">
        <f t="shared" si="73"/>
        <v>2035997533</v>
      </c>
      <c r="Z123" s="28"/>
      <c r="AA123" s="215">
        <f t="shared" si="63"/>
        <v>19793736860</v>
      </c>
      <c r="AB123" s="28"/>
      <c r="AC123" s="637"/>
    </row>
    <row r="124" spans="1:29" ht="18" customHeight="1">
      <c r="A124" s="28"/>
      <c r="D124" s="590" t="s">
        <v>130</v>
      </c>
      <c r="E124" s="164" t="s">
        <v>6</v>
      </c>
      <c r="F124" s="166">
        <v>2508</v>
      </c>
      <c r="G124" s="164" t="s">
        <v>131</v>
      </c>
      <c r="H124" s="259">
        <v>-13175822804</v>
      </c>
      <c r="I124" s="272">
        <v>0</v>
      </c>
      <c r="J124" s="272"/>
      <c r="K124" s="272"/>
      <c r="L124" s="259">
        <v>0</v>
      </c>
      <c r="M124" s="36"/>
      <c r="N124" s="36"/>
      <c r="O124" s="201">
        <f t="shared" si="46"/>
        <v>-13175822804</v>
      </c>
      <c r="Q124" s="636">
        <f>SUMIF('1.0'!$D:$D,T_BS!D124,'1.0'!$J:$J)</f>
        <v>0</v>
      </c>
      <c r="R124" s="259">
        <f>SUMIF('2.0'!$D:$D,T_BS!D124,'2.0'!$J:$J)</f>
        <v>0</v>
      </c>
      <c r="S124" s="36">
        <f>ROUND(SUMIF('3.0'!$D:$D,T_BS!D124,'3.0'!$H:$H),0)</f>
        <v>0</v>
      </c>
      <c r="T124" s="272">
        <f>ROUND(SUMIF('4.0'!$D:$D,T_BS!D124,'4.0'!$J:$J),0)</f>
        <v>0</v>
      </c>
      <c r="U124" s="36">
        <f>ROUND(SUMIF('5.0'!$D:$D,T_BS!D124,'5.0'!$J:$J),0)</f>
        <v>0</v>
      </c>
      <c r="V124" s="272">
        <f>ROUND(SUMIF('6.0'!$D:$D,T_BS!D124,'6.0'!$J:$J),0)</f>
        <v>0</v>
      </c>
      <c r="W124" s="272">
        <f>ROUND(SUMIF('7.0'!$D:$D,T_BS!D124,'7.0'!$I:$I),0)</f>
        <v>0</v>
      </c>
      <c r="X124" s="272">
        <f>ROUND(SUMIF('8.0'!$D:$D,T_BS!D124,'8.0'!$H:$H),0)</f>
        <v>0</v>
      </c>
      <c r="Y124" s="201">
        <f t="shared" si="73"/>
        <v>0</v>
      </c>
      <c r="AA124" s="215">
        <f t="shared" si="63"/>
        <v>-13175822804</v>
      </c>
      <c r="AC124" s="637"/>
    </row>
    <row r="125" spans="1:29" ht="18" customHeight="1">
      <c r="A125" s="28"/>
      <c r="D125" s="590">
        <v>125950</v>
      </c>
      <c r="E125" s="164" t="s">
        <v>6</v>
      </c>
      <c r="F125" s="166">
        <v>2507</v>
      </c>
      <c r="G125" s="164" t="s">
        <v>132</v>
      </c>
      <c r="H125" s="259">
        <v>15600000000</v>
      </c>
      <c r="I125" s="272">
        <v>0</v>
      </c>
      <c r="J125" s="272"/>
      <c r="K125" s="272"/>
      <c r="L125" s="259">
        <v>0</v>
      </c>
      <c r="M125" s="36"/>
      <c r="N125" s="36"/>
      <c r="O125" s="201">
        <f t="shared" si="46"/>
        <v>15600000000</v>
      </c>
      <c r="Q125" s="636">
        <f>SUMIF('1.0'!$D:$D,T_BS!D125,'1.0'!$J:$J)</f>
        <v>0</v>
      </c>
      <c r="R125" s="259">
        <f>SUMIF('2.0'!$D:$D,T_BS!D125,'2.0'!$J:$J)</f>
        <v>0</v>
      </c>
      <c r="S125" s="36">
        <f>ROUND(SUMIF('3.0'!$D:$D,T_BS!D125,'3.0'!$H:$H),0)</f>
        <v>0</v>
      </c>
      <c r="T125" s="272">
        <f>ROUND(SUMIF('4.0'!$D:$D,T_BS!D125,'4.0'!$J:$J),0)</f>
        <v>0</v>
      </c>
      <c r="U125" s="36">
        <f>ROUND(SUMIF('5.0'!$D:$D,T_BS!D125,'5.0'!$J:$J),0)</f>
        <v>0</v>
      </c>
      <c r="V125" s="272">
        <f>ROUND(SUMIF('6.0'!$D:$D,T_BS!D125,'6.0'!$J:$J),0)</f>
        <v>0</v>
      </c>
      <c r="W125" s="272">
        <f>ROUND(SUMIF('7.0'!$D:$D,T_BS!D125,'7.0'!$I:$I),0)</f>
        <v>0</v>
      </c>
      <c r="X125" s="272">
        <f>ROUND(SUMIF('8.0'!$D:$D,T_BS!D125,'8.0'!$H:$H),0)</f>
        <v>0</v>
      </c>
      <c r="Y125" s="201">
        <f t="shared" si="73"/>
        <v>0</v>
      </c>
      <c r="AA125" s="215">
        <f t="shared" si="63"/>
        <v>15600000000</v>
      </c>
      <c r="AC125" s="637"/>
    </row>
    <row r="126" spans="1:29" ht="18" customHeight="1">
      <c r="A126" s="28"/>
      <c r="D126" s="590">
        <v>125960</v>
      </c>
      <c r="E126" s="164" t="s">
        <v>6</v>
      </c>
      <c r="F126" s="166">
        <v>2507</v>
      </c>
      <c r="G126" s="164" t="s">
        <v>133</v>
      </c>
      <c r="H126" s="259">
        <v>-9069922221</v>
      </c>
      <c r="I126" s="272">
        <v>0</v>
      </c>
      <c r="J126" s="272"/>
      <c r="K126" s="272"/>
      <c r="L126" s="259">
        <v>0</v>
      </c>
      <c r="M126" s="36"/>
      <c r="N126" s="36"/>
      <c r="O126" s="201">
        <f t="shared" si="46"/>
        <v>-9069922221</v>
      </c>
      <c r="Q126" s="636">
        <f>SUMIF('1.0'!$D:$D,T_BS!D126,'1.0'!$J:$J)</f>
        <v>0</v>
      </c>
      <c r="R126" s="259">
        <f>SUMIF('2.0'!$D:$D,T_BS!D126,'2.0'!$J:$J)</f>
        <v>0</v>
      </c>
      <c r="S126" s="36">
        <f>ROUND(SUMIF('3.0'!$D:$D,T_BS!D126,'3.0'!$H:$H),0)</f>
        <v>0</v>
      </c>
      <c r="T126" s="272">
        <f>ROUND(SUMIF('4.0'!$D:$D,T_BS!D126,'4.0'!$J:$J),0)</f>
        <v>0</v>
      </c>
      <c r="U126" s="36">
        <f>ROUND(SUMIF('5.0'!$D:$D,T_BS!D126,'5.0'!$J:$J),0)</f>
        <v>0</v>
      </c>
      <c r="V126" s="272">
        <f>ROUND(SUMIF('6.0'!$D:$D,T_BS!D126,'6.0'!$J:$J),0)</f>
        <v>0</v>
      </c>
      <c r="W126" s="272">
        <f>ROUND(SUMIF('7.0'!$D:$D,T_BS!D126,'7.0'!$I:$I),0)</f>
        <v>0</v>
      </c>
      <c r="X126" s="272">
        <f>ROUND(SUMIF('8.0'!$D:$D,T_BS!D126,'8.0'!$H:$H),0)</f>
        <v>0</v>
      </c>
      <c r="Y126" s="201">
        <f t="shared" si="73"/>
        <v>0</v>
      </c>
      <c r="AA126" s="215">
        <f t="shared" si="63"/>
        <v>-9069922221</v>
      </c>
      <c r="AC126" s="637"/>
    </row>
    <row r="127" spans="1:29" ht="18" customHeight="1">
      <c r="A127" s="28"/>
      <c r="D127" s="590">
        <v>125970</v>
      </c>
      <c r="E127" s="164" t="s">
        <v>6</v>
      </c>
      <c r="F127" s="166">
        <v>2507</v>
      </c>
      <c r="G127" s="164" t="s">
        <v>134</v>
      </c>
      <c r="H127" s="259">
        <v>2500000000</v>
      </c>
      <c r="I127" s="272">
        <v>0</v>
      </c>
      <c r="J127" s="272"/>
      <c r="K127" s="272"/>
      <c r="L127" s="259">
        <v>0</v>
      </c>
      <c r="M127" s="36"/>
      <c r="N127" s="36"/>
      <c r="O127" s="201">
        <f t="shared" si="46"/>
        <v>2500000000</v>
      </c>
      <c r="Q127" s="636">
        <f>SUMIF('1.0'!$D:$D,T_BS!D127,'1.0'!$J:$J)</f>
        <v>0</v>
      </c>
      <c r="R127" s="259">
        <f>SUMIF('2.0'!$D:$D,T_BS!D127,'2.0'!$J:$J)</f>
        <v>0</v>
      </c>
      <c r="S127" s="36">
        <f>ROUND(SUMIF('3.0'!$D:$D,T_BS!D127,'3.0'!$H:$H),0)</f>
        <v>0</v>
      </c>
      <c r="T127" s="272">
        <f>ROUND(SUMIF('4.0'!$D:$D,T_BS!D127,'4.0'!$J:$J),0)</f>
        <v>0</v>
      </c>
      <c r="U127" s="36">
        <f>ROUND(SUMIF('5.0'!$D:$D,T_BS!D127,'5.0'!$J:$J),0)</f>
        <v>0</v>
      </c>
      <c r="V127" s="272">
        <f>ROUND(SUMIF('6.0'!$D:$D,T_BS!D127,'6.0'!$J:$J),0)</f>
        <v>0</v>
      </c>
      <c r="W127" s="272">
        <f>ROUND(SUMIF('7.0'!$D:$D,T_BS!D127,'7.0'!$I:$I),0)</f>
        <v>0</v>
      </c>
      <c r="X127" s="272">
        <f>ROUND(SUMIF('8.0'!$D:$D,T_BS!D127,'8.0'!$H:$H),0)</f>
        <v>0</v>
      </c>
      <c r="Y127" s="201">
        <f t="shared" si="73"/>
        <v>0</v>
      </c>
      <c r="AA127" s="215">
        <f t="shared" si="63"/>
        <v>2500000000</v>
      </c>
      <c r="AC127" s="637"/>
    </row>
    <row r="128" spans="1:29" ht="18" customHeight="1">
      <c r="A128" s="28"/>
      <c r="D128" s="590">
        <v>125980</v>
      </c>
      <c r="E128" s="164" t="s">
        <v>6</v>
      </c>
      <c r="F128" s="166">
        <v>2507</v>
      </c>
      <c r="G128" s="164" t="s">
        <v>135</v>
      </c>
      <c r="H128" s="259">
        <v>-333333333</v>
      </c>
      <c r="I128" s="272">
        <v>0</v>
      </c>
      <c r="J128" s="272"/>
      <c r="K128" s="272"/>
      <c r="L128" s="259">
        <v>0</v>
      </c>
      <c r="M128" s="36"/>
      <c r="N128" s="36"/>
      <c r="O128" s="201">
        <f t="shared" si="46"/>
        <v>-333333333</v>
      </c>
      <c r="Q128" s="636">
        <f>SUMIF('1.0'!$D:$D,T_BS!D128,'1.0'!$J:$J)</f>
        <v>0</v>
      </c>
      <c r="R128" s="259">
        <f>SUMIF('2.0'!$D:$D,T_BS!D128,'2.0'!$J:$J)</f>
        <v>0</v>
      </c>
      <c r="S128" s="36">
        <f>ROUND(SUMIF('3.0'!$D:$D,T_BS!D128,'3.0'!$H:$H),0)</f>
        <v>0</v>
      </c>
      <c r="T128" s="272">
        <f>ROUND(SUMIF('4.0'!$D:$D,T_BS!D128,'4.0'!$J:$J),0)</f>
        <v>0</v>
      </c>
      <c r="U128" s="36">
        <f>ROUND(SUMIF('5.0'!$D:$D,T_BS!D128,'5.0'!$J:$J),0)</f>
        <v>0</v>
      </c>
      <c r="V128" s="272">
        <f>ROUND(SUMIF('6.0'!$D:$D,T_BS!D128,'6.0'!$J:$J),0)</f>
        <v>0</v>
      </c>
      <c r="W128" s="272">
        <f>ROUND(SUMIF('7.0'!$D:$D,T_BS!D128,'7.0'!$I:$I),0)</f>
        <v>0</v>
      </c>
      <c r="X128" s="272">
        <f>ROUND(SUMIF('8.0'!$D:$D,T_BS!D128,'8.0'!$H:$H),0)</f>
        <v>0</v>
      </c>
      <c r="Y128" s="201">
        <f t="shared" si="73"/>
        <v>0</v>
      </c>
      <c r="AA128" s="215">
        <f t="shared" si="63"/>
        <v>-333333333</v>
      </c>
      <c r="AC128" s="637"/>
    </row>
    <row r="129" spans="1:29" ht="18" customHeight="1">
      <c r="A129" s="28"/>
      <c r="D129" s="591" t="s">
        <v>490</v>
      </c>
      <c r="E129" s="164" t="s">
        <v>6</v>
      </c>
      <c r="F129" s="166">
        <v>2507</v>
      </c>
      <c r="G129" s="164" t="s">
        <v>487</v>
      </c>
      <c r="H129" s="259">
        <v>0</v>
      </c>
      <c r="I129" s="272">
        <v>0</v>
      </c>
      <c r="J129" s="272"/>
      <c r="K129" s="272"/>
      <c r="L129" s="259">
        <v>0</v>
      </c>
      <c r="M129" s="36"/>
      <c r="N129" s="36">
        <v>0</v>
      </c>
      <c r="O129" s="201">
        <f t="shared" si="46"/>
        <v>0</v>
      </c>
      <c r="Q129" s="636">
        <f>SUMIF('1.0'!$D:$D,T_BS!D129,'1.0'!$J:$J)</f>
        <v>0</v>
      </c>
      <c r="R129" s="259">
        <f>SUMIF('2.0'!$D:$D,T_BS!D129,'2.0'!$J:$J)</f>
        <v>0</v>
      </c>
      <c r="S129" s="36">
        <f>ROUND(SUMIF('3.0'!$D:$D,T_BS!D129,'3.0'!$H:$H),0)</f>
        <v>0</v>
      </c>
      <c r="T129" s="272">
        <f>ROUND(SUMIF('4.0'!$D:$D,T_BS!D129,'4.0'!$J:$J),0)</f>
        <v>0</v>
      </c>
      <c r="U129" s="36">
        <f>ROUND(SUMIF('5.0'!$D:$D,T_BS!D129,'5.0'!$J:$J),0)</f>
        <v>5321843161</v>
      </c>
      <c r="V129" s="272">
        <f>ROUND(SUMIF('6.0'!$D:$D,T_BS!D129,'6.0'!$J:$J),0)</f>
        <v>0</v>
      </c>
      <c r="W129" s="272">
        <f>ROUND(SUMIF('7.0'!$D:$D,T_BS!D129,'7.0'!$I:$I),0)</f>
        <v>0</v>
      </c>
      <c r="X129" s="272">
        <f>ROUND(SUMIF('8.0'!$D:$D,T_BS!D129,'8.0'!$H:$H),0)</f>
        <v>0</v>
      </c>
      <c r="Y129" s="201">
        <f t="shared" si="73"/>
        <v>5321843161</v>
      </c>
      <c r="AA129" s="215">
        <f t="shared" si="63"/>
        <v>5321843161</v>
      </c>
      <c r="AC129" s="637"/>
    </row>
    <row r="130" spans="1:29" ht="18" customHeight="1">
      <c r="A130" s="28"/>
      <c r="D130" s="586"/>
      <c r="E130" s="587"/>
      <c r="F130" s="588"/>
      <c r="G130" s="587" t="s">
        <v>7</v>
      </c>
      <c r="H130" s="52">
        <f>SUM(H131:H132)</f>
        <v>250415529</v>
      </c>
      <c r="I130" s="52">
        <f t="shared" ref="I130:O130" si="74">SUM(I131:I132)</f>
        <v>0</v>
      </c>
      <c r="J130" s="52">
        <f t="shared" si="74"/>
        <v>0</v>
      </c>
      <c r="K130" s="52">
        <f t="shared" si="74"/>
        <v>0</v>
      </c>
      <c r="L130" s="52">
        <f t="shared" si="74"/>
        <v>0</v>
      </c>
      <c r="M130" s="52">
        <f t="shared" si="74"/>
        <v>0</v>
      </c>
      <c r="N130" s="52">
        <f t="shared" si="74"/>
        <v>0</v>
      </c>
      <c r="O130" s="589">
        <f t="shared" si="74"/>
        <v>250415529</v>
      </c>
      <c r="Q130" s="634">
        <f t="shared" ref="Q130" si="75">SUM(Q131:Q132)</f>
        <v>0</v>
      </c>
      <c r="R130" s="52">
        <f t="shared" ref="R130" si="76">SUM(R131:R132)</f>
        <v>0</v>
      </c>
      <c r="S130" s="52">
        <f t="shared" ref="S130" si="77">SUM(S131:S132)</f>
        <v>0</v>
      </c>
      <c r="T130" s="52">
        <f t="shared" ref="T130" si="78">SUM(T131:T132)</f>
        <v>0</v>
      </c>
      <c r="U130" s="52">
        <f t="shared" ref="U130" si="79">SUM(U131:U132)</f>
        <v>0</v>
      </c>
      <c r="V130" s="52">
        <f t="shared" ref="V130" si="80">SUM(V131:V132)</f>
        <v>0</v>
      </c>
      <c r="W130" s="52">
        <f t="shared" ref="W130" si="81">SUM(W131:W132)</f>
        <v>0</v>
      </c>
      <c r="X130" s="52">
        <f t="shared" ref="X130" si="82">SUM(X131:X132)</f>
        <v>0</v>
      </c>
      <c r="Y130" s="589">
        <f>SUM(Y131:Y132)</f>
        <v>0</v>
      </c>
      <c r="AA130" s="614">
        <f>SUM(AA131:AA132)</f>
        <v>250415529</v>
      </c>
      <c r="AC130" s="637"/>
    </row>
    <row r="131" spans="1:29" ht="18" customHeight="1">
      <c r="A131" s="28"/>
      <c r="D131" s="590">
        <v>121850</v>
      </c>
      <c r="E131" s="164" t="s">
        <v>7</v>
      </c>
      <c r="F131" s="166">
        <v>2302</v>
      </c>
      <c r="G131" s="164" t="s">
        <v>136</v>
      </c>
      <c r="H131" s="259">
        <v>18344461</v>
      </c>
      <c r="I131" s="272">
        <v>0</v>
      </c>
      <c r="J131" s="272"/>
      <c r="K131" s="272">
        <v>0</v>
      </c>
      <c r="L131" s="259">
        <v>0</v>
      </c>
      <c r="M131" s="36"/>
      <c r="N131" s="36"/>
      <c r="O131" s="201">
        <f t="shared" si="46"/>
        <v>18344461</v>
      </c>
      <c r="Q131" s="636">
        <f>SUMIF('1.0'!$D:$D,T_BS!D131,'1.0'!$J:$J)</f>
        <v>0</v>
      </c>
      <c r="R131" s="259">
        <f>SUMIF('2.0'!$D:$D,T_BS!D131,'2.0'!$J:$J)</f>
        <v>0</v>
      </c>
      <c r="S131" s="36">
        <f>ROUND(SUMIF('3.0'!$D:$D,T_BS!D131,'3.0'!$H:$H),0)</f>
        <v>0</v>
      </c>
      <c r="T131" s="272">
        <f>ROUND(SUMIF('4.0'!$D:$D,T_BS!D131,'4.0'!$J:$J),0)</f>
        <v>0</v>
      </c>
      <c r="U131" s="36">
        <f>ROUND(SUMIF('5.0'!$D:$D,T_BS!D131,'5.0'!$J:$J),0)</f>
        <v>0</v>
      </c>
      <c r="V131" s="272">
        <f>ROUND(SUMIF('6.0'!$D:$D,T_BS!D131,'6.0'!$J:$J),0)</f>
        <v>0</v>
      </c>
      <c r="W131" s="272">
        <f>ROUND(SUMIF('7.0'!$D:$D,T_BS!D131,'7.0'!$I:$I),0)</f>
        <v>0</v>
      </c>
      <c r="X131" s="272">
        <f>ROUND(SUMIF('8.0'!$D:$D,T_BS!D131,'8.0'!$H:$H),0)</f>
        <v>0</v>
      </c>
      <c r="Y131" s="201">
        <f t="shared" si="73"/>
        <v>0</v>
      </c>
      <c r="AA131" s="215">
        <f t="shared" si="63"/>
        <v>18344461</v>
      </c>
      <c r="AC131" s="637"/>
    </row>
    <row r="132" spans="1:29" ht="18" customHeight="1">
      <c r="A132" s="759"/>
      <c r="B132" s="759"/>
      <c r="C132" s="762" t="s">
        <v>1981</v>
      </c>
      <c r="D132" s="760">
        <v>121510</v>
      </c>
      <c r="E132" s="759" t="s">
        <v>7</v>
      </c>
      <c r="F132" s="761"/>
      <c r="G132" s="759" t="s">
        <v>1980</v>
      </c>
      <c r="H132" s="259">
        <v>232071068</v>
      </c>
      <c r="I132" s="272"/>
      <c r="J132" s="272"/>
      <c r="K132" s="272"/>
      <c r="L132" s="259"/>
      <c r="M132" s="36"/>
      <c r="N132" s="36"/>
      <c r="O132" s="201">
        <f t="shared" si="46"/>
        <v>232071068</v>
      </c>
      <c r="Q132" s="636"/>
      <c r="R132" s="259"/>
      <c r="S132" s="36"/>
      <c r="T132" s="272"/>
      <c r="U132" s="36"/>
      <c r="V132" s="272"/>
      <c r="W132" s="272"/>
      <c r="X132" s="272"/>
      <c r="Y132" s="201"/>
      <c r="AA132" s="215">
        <f t="shared" si="63"/>
        <v>232071068</v>
      </c>
      <c r="AC132" s="637"/>
    </row>
    <row r="133" spans="1:29" ht="18" customHeight="1">
      <c r="A133" s="28"/>
      <c r="D133" s="579"/>
      <c r="E133" s="580"/>
      <c r="F133" s="581"/>
      <c r="G133" s="580" t="s">
        <v>8</v>
      </c>
      <c r="H133" s="46">
        <f t="shared" ref="H133:Q133" si="83">H134+H189</f>
        <v>49800725617</v>
      </c>
      <c r="I133" s="46">
        <f t="shared" si="83"/>
        <v>539923929</v>
      </c>
      <c r="J133" s="46">
        <f t="shared" si="83"/>
        <v>0</v>
      </c>
      <c r="K133" s="46">
        <f t="shared" si="83"/>
        <v>0</v>
      </c>
      <c r="L133" s="46">
        <f t="shared" si="83"/>
        <v>3018557161</v>
      </c>
      <c r="M133" s="46"/>
      <c r="N133" s="46">
        <f t="shared" si="83"/>
        <v>0</v>
      </c>
      <c r="O133" s="582">
        <f t="shared" si="83"/>
        <v>53359206707</v>
      </c>
      <c r="Q133" s="632">
        <f t="shared" si="83"/>
        <v>0</v>
      </c>
      <c r="R133" s="46">
        <f t="shared" ref="R133" si="84">R134+R189</f>
        <v>0</v>
      </c>
      <c r="S133" s="46">
        <f t="shared" ref="S133" si="85">S134+S189</f>
        <v>-1543225326</v>
      </c>
      <c r="T133" s="46">
        <f t="shared" ref="T133" si="86">T134+T189</f>
        <v>0</v>
      </c>
      <c r="U133" s="46">
        <f t="shared" ref="U133" si="87">U134+U189</f>
        <v>1852533634</v>
      </c>
      <c r="V133" s="46">
        <f t="shared" ref="V133:Y133" si="88">V134+V189</f>
        <v>0</v>
      </c>
      <c r="W133" s="46">
        <f t="shared" ref="W133:X133" si="89">W134+W189</f>
        <v>0</v>
      </c>
      <c r="X133" s="46">
        <f t="shared" si="89"/>
        <v>0</v>
      </c>
      <c r="Y133" s="582">
        <f t="shared" si="88"/>
        <v>309308308</v>
      </c>
      <c r="AA133" s="633">
        <f t="shared" ref="AA133" si="90">AA134+AA189</f>
        <v>53668515015</v>
      </c>
    </row>
    <row r="134" spans="1:29" ht="18" customHeight="1">
      <c r="A134" s="28"/>
      <c r="D134" s="583"/>
      <c r="E134" s="584"/>
      <c r="F134" s="585"/>
      <c r="G134" s="584" t="s">
        <v>9</v>
      </c>
      <c r="H134" s="49">
        <f>SUM(H135,H155,H162,H185,H187)</f>
        <v>47826092914</v>
      </c>
      <c r="I134" s="49">
        <f t="shared" ref="I134:N134" si="91">SUM(I135,I155,I162,I185,I187)</f>
        <v>514568628</v>
      </c>
      <c r="J134" s="49">
        <f t="shared" si="91"/>
        <v>0</v>
      </c>
      <c r="K134" s="49">
        <f t="shared" si="91"/>
        <v>0</v>
      </c>
      <c r="L134" s="49">
        <f t="shared" si="91"/>
        <v>2977883081</v>
      </c>
      <c r="M134" s="49"/>
      <c r="N134" s="49">
        <f t="shared" si="91"/>
        <v>0</v>
      </c>
      <c r="O134" s="340">
        <f t="shared" ref="O134" si="92">SUM(O135,O155,O162,O185,O187)</f>
        <v>51318544623</v>
      </c>
      <c r="Q134" s="325">
        <f t="shared" ref="Q134:V134" si="93">SUM(Q135,Q155,Q162,Q185,Q187)</f>
        <v>0</v>
      </c>
      <c r="R134" s="49">
        <f t="shared" si="93"/>
        <v>0</v>
      </c>
      <c r="S134" s="49">
        <f t="shared" si="93"/>
        <v>-1543225326</v>
      </c>
      <c r="T134" s="49">
        <f t="shared" si="93"/>
        <v>0</v>
      </c>
      <c r="U134" s="49">
        <f t="shared" si="93"/>
        <v>0</v>
      </c>
      <c r="V134" s="49">
        <f t="shared" si="93"/>
        <v>0</v>
      </c>
      <c r="W134" s="49">
        <f t="shared" ref="W134:X134" si="94">SUM(W135,W155,W162,W185,W187)</f>
        <v>0</v>
      </c>
      <c r="X134" s="49">
        <f t="shared" si="94"/>
        <v>0</v>
      </c>
      <c r="Y134" s="340">
        <f t="shared" ref="Y134:AA134" si="95">SUM(Y135,Y155,Y162,Y185,Y187)</f>
        <v>-1543225326</v>
      </c>
      <c r="AA134" s="608">
        <f t="shared" si="95"/>
        <v>49775319297</v>
      </c>
    </row>
    <row r="135" spans="1:29" ht="18" customHeight="1">
      <c r="A135" s="28"/>
      <c r="D135" s="586">
        <v>211000</v>
      </c>
      <c r="E135" s="587"/>
      <c r="F135" s="588"/>
      <c r="G135" s="587" t="s">
        <v>137</v>
      </c>
      <c r="H135" s="52">
        <f t="shared" ref="H135:N135" si="96">SUM(H136:H154)</f>
        <v>34817889152</v>
      </c>
      <c r="I135" s="52">
        <f t="shared" si="96"/>
        <v>485526472</v>
      </c>
      <c r="J135" s="52">
        <f t="shared" si="96"/>
        <v>0</v>
      </c>
      <c r="K135" s="52">
        <f t="shared" si="96"/>
        <v>0</v>
      </c>
      <c r="L135" s="52">
        <f t="shared" si="96"/>
        <v>1961380638</v>
      </c>
      <c r="M135" s="52"/>
      <c r="N135" s="52">
        <f t="shared" si="96"/>
        <v>0</v>
      </c>
      <c r="O135" s="589">
        <f>SUM(O136:O154)</f>
        <v>37264796262</v>
      </c>
      <c r="Q135" s="634">
        <f t="shared" ref="Q135:V135" si="97">SUM(Q136:Q154)</f>
        <v>0</v>
      </c>
      <c r="R135" s="52">
        <f t="shared" si="97"/>
        <v>0</v>
      </c>
      <c r="S135" s="52">
        <f t="shared" si="97"/>
        <v>-1011490326</v>
      </c>
      <c r="T135" s="52">
        <f t="shared" si="97"/>
        <v>0</v>
      </c>
      <c r="U135" s="52">
        <f t="shared" si="97"/>
        <v>0</v>
      </c>
      <c r="V135" s="52">
        <f t="shared" si="97"/>
        <v>0</v>
      </c>
      <c r="W135" s="52">
        <f t="shared" ref="W135:X135" si="98">SUM(W136:W154)</f>
        <v>0</v>
      </c>
      <c r="X135" s="52">
        <f t="shared" si="98"/>
        <v>0</v>
      </c>
      <c r="Y135" s="589">
        <f t="shared" ref="Y135:AA135" si="99">SUM(Y136:Y154)</f>
        <v>-1011490326</v>
      </c>
      <c r="AA135" s="614">
        <f t="shared" si="99"/>
        <v>36253305936</v>
      </c>
    </row>
    <row r="136" spans="1:29" ht="18" customHeight="1">
      <c r="A136" s="28"/>
      <c r="D136" s="590">
        <v>211111</v>
      </c>
      <c r="E136" s="164" t="s">
        <v>137</v>
      </c>
      <c r="F136" s="166">
        <v>3101</v>
      </c>
      <c r="G136" s="164" t="s">
        <v>138</v>
      </c>
      <c r="H136" s="259">
        <v>3757794939</v>
      </c>
      <c r="I136" s="272">
        <v>0</v>
      </c>
      <c r="J136" s="272"/>
      <c r="K136" s="272"/>
      <c r="L136" s="259">
        <v>0</v>
      </c>
      <c r="M136" s="36"/>
      <c r="N136" s="36"/>
      <c r="O136" s="201">
        <f t="shared" ref="O136:O188" si="100">SUM(H136:N136)</f>
        <v>3757794939</v>
      </c>
      <c r="Q136" s="636">
        <f>-SUMIF('1.0'!$D:$D,T_BS!D136,'1.0'!$J:$J)</f>
        <v>0</v>
      </c>
      <c r="R136" s="259">
        <f>-SUMIF('2.0'!$D:$D,T_BS!D136,'2.0'!$J:$J)</f>
        <v>0</v>
      </c>
      <c r="S136" s="36">
        <f>-ROUND(SUMIF('3.0'!$D:$D,T_BS!D136,'3.0'!$H:$H),0)</f>
        <v>0</v>
      </c>
      <c r="T136" s="272">
        <f>-ROUND(SUMIF('4.0'!$D:$D,T_BS!D136,'4.0'!$J:$J),0)</f>
        <v>0</v>
      </c>
      <c r="U136" s="36">
        <f>-ROUND(SUMIF('5.0'!$D:$D,T_BS!D136,'5.0'!$J:$J),0)</f>
        <v>0</v>
      </c>
      <c r="V136" s="272">
        <f>-ROUND(SUMIF('6.0'!$D:$D,T_BS!D136,'6.0'!$J:$J),0)</f>
        <v>0</v>
      </c>
      <c r="W136" s="272">
        <f>-ROUND(SUMIF('7.0'!$D:$D,T_BS!D136,'7.0'!$I:$I),0)</f>
        <v>0</v>
      </c>
      <c r="X136" s="272">
        <f>-ROUND(SUMIF('8.0'!$D:$D,T_BS!D136,'8.0'!$H:$H),0)</f>
        <v>0</v>
      </c>
      <c r="Y136" s="201">
        <f t="shared" ref="Y136:Y154" si="101">SUM(Q136:X136)</f>
        <v>0</v>
      </c>
      <c r="AA136" s="215">
        <f t="shared" ref="AA136:AA154" si="102">Y136+O136</f>
        <v>3757794939</v>
      </c>
      <c r="AC136" s="641"/>
    </row>
    <row r="137" spans="1:29" ht="18" customHeight="1">
      <c r="A137" s="28"/>
      <c r="D137" s="590">
        <v>211121</v>
      </c>
      <c r="E137" s="164" t="s">
        <v>137</v>
      </c>
      <c r="F137" s="166">
        <v>3101</v>
      </c>
      <c r="G137" s="164" t="s">
        <v>139</v>
      </c>
      <c r="H137" s="259">
        <v>1084714204</v>
      </c>
      <c r="I137" s="272">
        <v>295127492</v>
      </c>
      <c r="J137" s="272"/>
      <c r="K137" s="272"/>
      <c r="L137" s="259">
        <v>1077216551</v>
      </c>
      <c r="M137" s="36"/>
      <c r="N137" s="36"/>
      <c r="O137" s="201">
        <f t="shared" si="100"/>
        <v>2457058247</v>
      </c>
      <c r="Q137" s="636">
        <f>-SUMIF('1.0'!$D:$D,T_BS!D137,'1.0'!$J:$J)</f>
        <v>0</v>
      </c>
      <c r="R137" s="259">
        <f>-SUMIF('2.0'!$D:$D,T_BS!D137,'2.0'!$J:$J)</f>
        <v>0</v>
      </c>
      <c r="S137" s="36">
        <f>-ROUND(SUMIF('3.0'!$D:$D,T_BS!D137,'3.0'!$H:$H),0)</f>
        <v>-919969835</v>
      </c>
      <c r="T137" s="272">
        <f>-ROUND(SUMIF('4.0'!$D:$D,T_BS!D137,'4.0'!$J:$J),0)</f>
        <v>0</v>
      </c>
      <c r="U137" s="36">
        <f>-ROUND(SUMIF('5.0'!$D:$D,T_BS!D137,'5.0'!$J:$J),0)</f>
        <v>0</v>
      </c>
      <c r="V137" s="272">
        <f>-ROUND(SUMIF('6.0'!$D:$D,T_BS!D137,'6.0'!$J:$J),0)</f>
        <v>0</v>
      </c>
      <c r="W137" s="272">
        <f>-ROUND(SUMIF('7.0'!$D:$D,T_BS!D137,'7.0'!$I:$I),0)</f>
        <v>0</v>
      </c>
      <c r="X137" s="272">
        <f>-ROUND(SUMIF('8.0'!$D:$D,T_BS!D137,'8.0'!$H:$H),0)</f>
        <v>0</v>
      </c>
      <c r="Y137" s="201">
        <f t="shared" si="101"/>
        <v>-919969835</v>
      </c>
      <c r="AA137" s="215">
        <f t="shared" si="102"/>
        <v>1537088412</v>
      </c>
    </row>
    <row r="138" spans="1:29" ht="18" customHeight="1">
      <c r="A138" s="28"/>
      <c r="D138" s="590">
        <v>211131</v>
      </c>
      <c r="E138" s="164" t="s">
        <v>137</v>
      </c>
      <c r="F138" s="166">
        <v>3101</v>
      </c>
      <c r="G138" s="164" t="s">
        <v>140</v>
      </c>
      <c r="H138" s="259">
        <v>7718784165</v>
      </c>
      <c r="I138" s="272">
        <v>0</v>
      </c>
      <c r="J138" s="272"/>
      <c r="K138" s="272"/>
      <c r="L138" s="259">
        <v>0</v>
      </c>
      <c r="M138" s="36"/>
      <c r="N138" s="36"/>
      <c r="O138" s="201">
        <f t="shared" si="100"/>
        <v>7718784165</v>
      </c>
      <c r="Q138" s="636">
        <f>-SUMIF('1.0'!$D:$D,T_BS!D138,'1.0'!$J:$J)</f>
        <v>0</v>
      </c>
      <c r="R138" s="259">
        <f>-SUMIF('2.0'!$D:$D,T_BS!D138,'2.0'!$J:$J)</f>
        <v>0</v>
      </c>
      <c r="S138" s="36">
        <f>-ROUND(SUMIF('3.0'!$D:$D,T_BS!D138,'3.0'!$H:$H),0)</f>
        <v>0</v>
      </c>
      <c r="T138" s="272">
        <f>-ROUND(SUMIF('4.0'!$D:$D,T_BS!D138,'4.0'!$J:$J),0)</f>
        <v>0</v>
      </c>
      <c r="U138" s="36">
        <f>-ROUND(SUMIF('5.0'!$D:$D,T_BS!D138,'5.0'!$J:$J),0)</f>
        <v>0</v>
      </c>
      <c r="V138" s="272">
        <f>-ROUND(SUMIF('6.0'!$D:$D,T_BS!D138,'6.0'!$J:$J),0)</f>
        <v>0</v>
      </c>
      <c r="W138" s="272">
        <f>-ROUND(SUMIF('7.0'!$D:$D,T_BS!D138,'7.0'!$I:$I),0)</f>
        <v>0</v>
      </c>
      <c r="X138" s="272">
        <f>-ROUND(SUMIF('8.0'!$D:$D,T_BS!D138,'8.0'!$H:$H),0)</f>
        <v>0</v>
      </c>
      <c r="Y138" s="201">
        <f t="shared" si="101"/>
        <v>0</v>
      </c>
      <c r="AA138" s="215">
        <f t="shared" si="102"/>
        <v>7718784165</v>
      </c>
    </row>
    <row r="139" spans="1:29" ht="18" customHeight="1">
      <c r="A139" s="28"/>
      <c r="D139" s="590">
        <v>211141</v>
      </c>
      <c r="E139" s="164" t="s">
        <v>137</v>
      </c>
      <c r="F139" s="166">
        <v>3101</v>
      </c>
      <c r="G139" s="164" t="s">
        <v>141</v>
      </c>
      <c r="H139" s="259">
        <v>14328033593</v>
      </c>
      <c r="I139" s="272">
        <v>0</v>
      </c>
      <c r="J139" s="272"/>
      <c r="K139" s="272"/>
      <c r="L139" s="259">
        <v>0</v>
      </c>
      <c r="M139" s="36"/>
      <c r="N139" s="36"/>
      <c r="O139" s="201">
        <f t="shared" si="100"/>
        <v>14328033593</v>
      </c>
      <c r="Q139" s="636">
        <f>-SUMIF('1.0'!$D:$D,T_BS!D139,'1.0'!$J:$J)</f>
        <v>0</v>
      </c>
      <c r="R139" s="259">
        <f>-SUMIF('2.0'!$D:$D,T_BS!D139,'2.0'!$J:$J)</f>
        <v>0</v>
      </c>
      <c r="S139" s="36">
        <f>-ROUND(SUMIF('3.0'!$D:$D,T_BS!D139,'3.0'!$H:$H),0)</f>
        <v>0</v>
      </c>
      <c r="T139" s="272">
        <f>-ROUND(SUMIF('4.0'!$D:$D,T_BS!D139,'4.0'!$J:$J),0)</f>
        <v>0</v>
      </c>
      <c r="U139" s="36">
        <f>-ROUND(SUMIF('5.0'!$D:$D,T_BS!D139,'5.0'!$J:$J),0)</f>
        <v>0</v>
      </c>
      <c r="V139" s="272">
        <f>-ROUND(SUMIF('6.0'!$D:$D,T_BS!D139,'6.0'!$J:$J),0)</f>
        <v>0</v>
      </c>
      <c r="W139" s="272">
        <f>-ROUND(SUMIF('7.0'!$D:$D,T_BS!D139,'7.0'!$I:$I),0)</f>
        <v>0</v>
      </c>
      <c r="X139" s="272">
        <f>-ROUND(SUMIF('8.0'!$D:$D,T_BS!D139,'8.0'!$H:$H),0)</f>
        <v>0</v>
      </c>
      <c r="Y139" s="201">
        <f t="shared" si="101"/>
        <v>0</v>
      </c>
      <c r="AA139" s="215">
        <f t="shared" si="102"/>
        <v>14328033593</v>
      </c>
    </row>
    <row r="140" spans="1:29" ht="18" customHeight="1">
      <c r="A140" s="28"/>
      <c r="D140" s="590">
        <v>211151</v>
      </c>
      <c r="E140" s="164" t="s">
        <v>137</v>
      </c>
      <c r="F140" s="166">
        <v>3101</v>
      </c>
      <c r="G140" s="164" t="s">
        <v>142</v>
      </c>
      <c r="H140" s="259">
        <v>239492</v>
      </c>
      <c r="I140" s="272">
        <v>0</v>
      </c>
      <c r="J140" s="272"/>
      <c r="K140" s="272"/>
      <c r="L140" s="259">
        <v>0</v>
      </c>
      <c r="M140" s="36"/>
      <c r="N140" s="36"/>
      <c r="O140" s="201">
        <f t="shared" si="100"/>
        <v>239492</v>
      </c>
      <c r="Q140" s="636">
        <f>-SUMIF('1.0'!$D:$D,T_BS!D140,'1.0'!$J:$J)</f>
        <v>0</v>
      </c>
      <c r="R140" s="259">
        <f>-SUMIF('2.0'!$D:$D,T_BS!D140,'2.0'!$J:$J)</f>
        <v>0</v>
      </c>
      <c r="S140" s="36">
        <f>-ROUND(SUMIF('3.0'!$D:$D,T_BS!D140,'3.0'!$H:$H),0)</f>
        <v>0</v>
      </c>
      <c r="T140" s="272">
        <f>-ROUND(SUMIF('4.0'!$D:$D,T_BS!D140,'4.0'!$J:$J),0)</f>
        <v>0</v>
      </c>
      <c r="U140" s="36">
        <f>-ROUND(SUMIF('5.0'!$D:$D,T_BS!D140,'5.0'!$J:$J),0)</f>
        <v>0</v>
      </c>
      <c r="V140" s="272">
        <f>-ROUND(SUMIF('6.0'!$D:$D,T_BS!D140,'6.0'!$J:$J),0)</f>
        <v>0</v>
      </c>
      <c r="W140" s="272">
        <f>-ROUND(SUMIF('7.0'!$D:$D,T_BS!D140,'7.0'!$I:$I),0)</f>
        <v>0</v>
      </c>
      <c r="X140" s="272">
        <f>-ROUND(SUMIF('8.0'!$D:$D,T_BS!D140,'8.0'!$H:$H),0)</f>
        <v>0</v>
      </c>
      <c r="Y140" s="201">
        <f t="shared" si="101"/>
        <v>0</v>
      </c>
      <c r="AA140" s="215">
        <f t="shared" si="102"/>
        <v>239492</v>
      </c>
    </row>
    <row r="141" spans="1:29" ht="18" customHeight="1">
      <c r="A141" s="28"/>
      <c r="D141" s="590">
        <v>211161</v>
      </c>
      <c r="E141" s="164" t="s">
        <v>137</v>
      </c>
      <c r="F141" s="166">
        <v>3101</v>
      </c>
      <c r="G141" s="164" t="s">
        <v>143</v>
      </c>
      <c r="H141" s="259">
        <v>0</v>
      </c>
      <c r="I141" s="272">
        <v>0</v>
      </c>
      <c r="J141" s="272"/>
      <c r="K141" s="272"/>
      <c r="L141" s="259">
        <v>0</v>
      </c>
      <c r="M141" s="36"/>
      <c r="N141" s="36"/>
      <c r="O141" s="201">
        <f t="shared" si="100"/>
        <v>0</v>
      </c>
      <c r="Q141" s="636">
        <f>-SUMIF('1.0'!$D:$D,T_BS!D141,'1.0'!$J:$J)</f>
        <v>0</v>
      </c>
      <c r="R141" s="259">
        <f>-SUMIF('2.0'!$D:$D,T_BS!D141,'2.0'!$J:$J)</f>
        <v>0</v>
      </c>
      <c r="S141" s="36">
        <f>-ROUND(SUMIF('3.0'!$D:$D,T_BS!D141,'3.0'!$H:$H),0)</f>
        <v>0</v>
      </c>
      <c r="T141" s="272">
        <f>-ROUND(SUMIF('4.0'!$D:$D,T_BS!D141,'4.0'!$J:$J),0)</f>
        <v>0</v>
      </c>
      <c r="U141" s="36">
        <f>-ROUND(SUMIF('5.0'!$D:$D,T_BS!D141,'5.0'!$J:$J),0)</f>
        <v>0</v>
      </c>
      <c r="V141" s="272">
        <f>-ROUND(SUMIF('6.0'!$D:$D,T_BS!D141,'6.0'!$J:$J),0)</f>
        <v>0</v>
      </c>
      <c r="W141" s="272">
        <f>-ROUND(SUMIF('7.0'!$D:$D,T_BS!D141,'7.0'!$I:$I),0)</f>
        <v>0</v>
      </c>
      <c r="X141" s="272">
        <f>-ROUND(SUMIF('8.0'!$D:$D,T_BS!D141,'8.0'!$H:$H),0)</f>
        <v>0</v>
      </c>
      <c r="Y141" s="201">
        <f t="shared" si="101"/>
        <v>0</v>
      </c>
      <c r="AA141" s="215">
        <f t="shared" si="102"/>
        <v>0</v>
      </c>
    </row>
    <row r="142" spans="1:29" ht="18" customHeight="1">
      <c r="A142" s="28"/>
      <c r="D142" s="590">
        <v>213100</v>
      </c>
      <c r="E142" s="164" t="s">
        <v>137</v>
      </c>
      <c r="F142" s="166">
        <v>3102</v>
      </c>
      <c r="G142" s="164" t="s">
        <v>144</v>
      </c>
      <c r="H142" s="259">
        <v>4342008809</v>
      </c>
      <c r="I142" s="272">
        <v>0</v>
      </c>
      <c r="J142" s="272"/>
      <c r="K142" s="272"/>
      <c r="L142" s="259">
        <v>0</v>
      </c>
      <c r="M142" s="36"/>
      <c r="N142" s="36"/>
      <c r="O142" s="201">
        <f t="shared" si="100"/>
        <v>4342008809</v>
      </c>
      <c r="Q142" s="636">
        <f>-SUMIF('1.0'!$D:$D,T_BS!D142,'1.0'!$J:$J)</f>
        <v>0</v>
      </c>
      <c r="R142" s="259">
        <f>-SUMIF('2.0'!$D:$D,T_BS!D142,'2.0'!$J:$J)</f>
        <v>0</v>
      </c>
      <c r="S142" s="36">
        <f>-ROUND(SUMIF('3.0'!$D:$D,T_BS!D142,'3.0'!$H:$H),0)</f>
        <v>0</v>
      </c>
      <c r="T142" s="272">
        <f>-ROUND(SUMIF('4.0'!$D:$D,T_BS!D142,'4.0'!$J:$J),0)</f>
        <v>0</v>
      </c>
      <c r="U142" s="36">
        <f>-ROUND(SUMIF('5.0'!$D:$D,T_BS!D142,'5.0'!$J:$J),0)</f>
        <v>0</v>
      </c>
      <c r="V142" s="272">
        <f>-ROUND(SUMIF('6.0'!$D:$D,T_BS!D142,'6.0'!$J:$J),0)</f>
        <v>0</v>
      </c>
      <c r="W142" s="272">
        <f>-ROUND(SUMIF('7.0'!$D:$D,T_BS!D142,'7.0'!$I:$I),0)</f>
        <v>0</v>
      </c>
      <c r="X142" s="272">
        <f>-ROUND(SUMIF('8.0'!$D:$D,T_BS!D142,'8.0'!$H:$H),0)</f>
        <v>0</v>
      </c>
      <c r="Y142" s="201">
        <f t="shared" si="101"/>
        <v>0</v>
      </c>
      <c r="AA142" s="215">
        <f t="shared" si="102"/>
        <v>4342008809</v>
      </c>
    </row>
    <row r="143" spans="1:29" ht="18" customHeight="1">
      <c r="A143" s="28"/>
      <c r="D143" s="590">
        <v>213150</v>
      </c>
      <c r="E143" s="164" t="s">
        <v>137</v>
      </c>
      <c r="F143" s="166">
        <v>3102</v>
      </c>
      <c r="G143" s="164" t="s">
        <v>145</v>
      </c>
      <c r="H143" s="259">
        <v>23225860</v>
      </c>
      <c r="I143" s="272">
        <v>190398980</v>
      </c>
      <c r="J143" s="272"/>
      <c r="K143" s="272"/>
      <c r="L143" s="259">
        <v>861336544</v>
      </c>
      <c r="M143" s="36"/>
      <c r="N143" s="36"/>
      <c r="O143" s="201">
        <f t="shared" si="100"/>
        <v>1074961384</v>
      </c>
      <c r="Q143" s="636">
        <f>-SUMIF('1.0'!$D:$D,T_BS!D143,'1.0'!$J:$J)</f>
        <v>0</v>
      </c>
      <c r="R143" s="259">
        <f>-SUMIF('2.0'!$D:$D,T_BS!D143,'2.0'!$J:$J)</f>
        <v>0</v>
      </c>
      <c r="S143" s="36">
        <f>-ROUND(SUMIF('3.0'!$D:$D,T_BS!D143,'3.0'!$H:$H),0)</f>
        <v>-87587098</v>
      </c>
      <c r="T143" s="272">
        <f>-ROUND(SUMIF('4.0'!$D:$D,T_BS!D143,'4.0'!$J:$J),0)</f>
        <v>0</v>
      </c>
      <c r="U143" s="36">
        <f>-ROUND(SUMIF('5.0'!$D:$D,T_BS!D143,'5.0'!$J:$J),0)</f>
        <v>0</v>
      </c>
      <c r="V143" s="272">
        <f>-ROUND(SUMIF('6.0'!$D:$D,T_BS!D143,'6.0'!$J:$J),0)</f>
        <v>0</v>
      </c>
      <c r="W143" s="272">
        <f>-ROUND(SUMIF('7.0'!$D:$D,T_BS!D143,'7.0'!$I:$I),0)</f>
        <v>0</v>
      </c>
      <c r="X143" s="272">
        <f>-ROUND(SUMIF('8.0'!$D:$D,T_BS!D143,'8.0'!$H:$H),0)</f>
        <v>0</v>
      </c>
      <c r="Y143" s="201">
        <f t="shared" si="101"/>
        <v>-87587098</v>
      </c>
      <c r="AA143" s="215">
        <f t="shared" si="102"/>
        <v>987374286</v>
      </c>
    </row>
    <row r="144" spans="1:29" ht="18" customHeight="1">
      <c r="A144" s="28"/>
      <c r="D144" s="590">
        <v>213900</v>
      </c>
      <c r="E144" s="164" t="s">
        <v>137</v>
      </c>
      <c r="F144" s="166">
        <v>3102</v>
      </c>
      <c r="G144" s="164" t="s">
        <v>146</v>
      </c>
      <c r="H144" s="259">
        <v>82016742</v>
      </c>
      <c r="I144" s="272">
        <v>0</v>
      </c>
      <c r="J144" s="272"/>
      <c r="K144" s="272"/>
      <c r="L144" s="259">
        <v>0</v>
      </c>
      <c r="M144" s="36"/>
      <c r="N144" s="36"/>
      <c r="O144" s="201">
        <f t="shared" si="100"/>
        <v>82016742</v>
      </c>
      <c r="Q144" s="636">
        <f>-SUMIF('1.0'!$D:$D,T_BS!D144,'1.0'!$J:$J)</f>
        <v>0</v>
      </c>
      <c r="R144" s="259">
        <f>-SUMIF('2.0'!$D:$D,T_BS!D144,'2.0'!$J:$J)</f>
        <v>0</v>
      </c>
      <c r="S144" s="36">
        <f>-ROUND(SUMIF('3.0'!$D:$D,T_BS!D144,'3.0'!$H:$H),0)</f>
        <v>0</v>
      </c>
      <c r="T144" s="272">
        <f>-ROUND(SUMIF('4.0'!$D:$D,T_BS!D144,'4.0'!$J:$J),0)</f>
        <v>0</v>
      </c>
      <c r="U144" s="36">
        <f>-ROUND(SUMIF('5.0'!$D:$D,T_BS!D144,'5.0'!$J:$J),0)</f>
        <v>0</v>
      </c>
      <c r="V144" s="272">
        <f>-ROUND(SUMIF('6.0'!$D:$D,T_BS!D144,'6.0'!$J:$J),0)</f>
        <v>0</v>
      </c>
      <c r="W144" s="272">
        <f>-ROUND(SUMIF('7.0'!$D:$D,T_BS!D144,'7.0'!$I:$I),0)</f>
        <v>0</v>
      </c>
      <c r="X144" s="272">
        <f>-ROUND(SUMIF('8.0'!$D:$D,T_BS!D144,'8.0'!$H:$H),0)</f>
        <v>0</v>
      </c>
      <c r="Y144" s="201">
        <f t="shared" si="101"/>
        <v>0</v>
      </c>
      <c r="AA144" s="215">
        <f t="shared" si="102"/>
        <v>82016742</v>
      </c>
    </row>
    <row r="145" spans="1:30" ht="18" customHeight="1">
      <c r="A145" s="28"/>
      <c r="D145" s="590">
        <v>213800</v>
      </c>
      <c r="E145" s="164" t="s">
        <v>137</v>
      </c>
      <c r="F145" s="166">
        <v>3102</v>
      </c>
      <c r="G145" s="164" t="s">
        <v>147</v>
      </c>
      <c r="H145" s="259">
        <v>85687471</v>
      </c>
      <c r="I145" s="272">
        <v>0</v>
      </c>
      <c r="J145" s="272"/>
      <c r="K145" s="272"/>
      <c r="L145" s="259">
        <v>0</v>
      </c>
      <c r="M145" s="36"/>
      <c r="N145" s="36"/>
      <c r="O145" s="201">
        <f t="shared" si="100"/>
        <v>85687471</v>
      </c>
      <c r="Q145" s="636">
        <f>-SUMIF('1.0'!$D:$D,T_BS!D145,'1.0'!$J:$J)</f>
        <v>0</v>
      </c>
      <c r="R145" s="259">
        <f>-SUMIF('2.0'!$D:$D,T_BS!D145,'2.0'!$J:$J)</f>
        <v>0</v>
      </c>
      <c r="S145" s="36">
        <f>-ROUND(SUMIF('3.0'!$D:$D,T_BS!D145,'3.0'!$H:$H),0)</f>
        <v>0</v>
      </c>
      <c r="T145" s="272">
        <f>-ROUND(SUMIF('4.0'!$D:$D,T_BS!D145,'4.0'!$J:$J),0)</f>
        <v>0</v>
      </c>
      <c r="U145" s="36">
        <f>-ROUND(SUMIF('5.0'!$D:$D,T_BS!D145,'5.0'!$J:$J),0)</f>
        <v>0</v>
      </c>
      <c r="V145" s="272">
        <f>-ROUND(SUMIF('6.0'!$D:$D,T_BS!D145,'6.0'!$J:$J),0)</f>
        <v>0</v>
      </c>
      <c r="W145" s="272">
        <f>-ROUND(SUMIF('7.0'!$D:$D,T_BS!D145,'7.0'!$I:$I),0)</f>
        <v>0</v>
      </c>
      <c r="X145" s="272">
        <f>-ROUND(SUMIF('8.0'!$D:$D,T_BS!D145,'8.0'!$H:$H),0)</f>
        <v>0</v>
      </c>
      <c r="Y145" s="201">
        <f t="shared" si="101"/>
        <v>0</v>
      </c>
      <c r="AA145" s="215">
        <f t="shared" si="102"/>
        <v>85687471</v>
      </c>
    </row>
    <row r="146" spans="1:30" ht="18" customHeight="1">
      <c r="A146" s="28"/>
      <c r="D146" s="590">
        <v>213101</v>
      </c>
      <c r="E146" s="164" t="s">
        <v>137</v>
      </c>
      <c r="F146" s="166">
        <v>3102</v>
      </c>
      <c r="G146" s="164" t="s">
        <v>148</v>
      </c>
      <c r="H146" s="259">
        <v>6096340</v>
      </c>
      <c r="I146" s="272">
        <v>0</v>
      </c>
      <c r="J146" s="272"/>
      <c r="K146" s="272"/>
      <c r="L146" s="259">
        <v>0</v>
      </c>
      <c r="M146" s="36"/>
      <c r="N146" s="36"/>
      <c r="O146" s="201">
        <f t="shared" si="100"/>
        <v>6096340</v>
      </c>
      <c r="Q146" s="636">
        <f>-SUMIF('1.0'!$D:$D,T_BS!D146,'1.0'!$J:$J)</f>
        <v>0</v>
      </c>
      <c r="R146" s="259">
        <f>-SUMIF('2.0'!$D:$D,T_BS!D146,'2.0'!$J:$J)</f>
        <v>0</v>
      </c>
      <c r="S146" s="36">
        <f>-ROUND(SUMIF('3.0'!$D:$D,T_BS!D146,'3.0'!$H:$H),0)</f>
        <v>0</v>
      </c>
      <c r="T146" s="272">
        <f>-ROUND(SUMIF('4.0'!$D:$D,T_BS!D146,'4.0'!$J:$J),0)</f>
        <v>0</v>
      </c>
      <c r="U146" s="36">
        <f>-ROUND(SUMIF('5.0'!$D:$D,T_BS!D146,'5.0'!$J:$J),0)</f>
        <v>0</v>
      </c>
      <c r="V146" s="272">
        <f>-ROUND(SUMIF('6.0'!$D:$D,T_BS!D146,'6.0'!$J:$J),0)</f>
        <v>0</v>
      </c>
      <c r="W146" s="272">
        <f>-ROUND(SUMIF('7.0'!$D:$D,T_BS!D146,'7.0'!$I:$I),0)</f>
        <v>0</v>
      </c>
      <c r="X146" s="272">
        <f>-ROUND(SUMIF('8.0'!$D:$D,T_BS!D146,'8.0'!$H:$H),0)</f>
        <v>0</v>
      </c>
      <c r="Y146" s="201">
        <f t="shared" si="101"/>
        <v>0</v>
      </c>
      <c r="AA146" s="215">
        <f t="shared" si="102"/>
        <v>6096340</v>
      </c>
    </row>
    <row r="147" spans="1:30" ht="18" customHeight="1">
      <c r="A147" s="28"/>
      <c r="D147" s="590">
        <v>213200</v>
      </c>
      <c r="E147" s="164" t="s">
        <v>137</v>
      </c>
      <c r="F147" s="166">
        <v>3102</v>
      </c>
      <c r="G147" s="164" t="s">
        <v>149</v>
      </c>
      <c r="H147" s="259">
        <v>227726322</v>
      </c>
      <c r="I147" s="272">
        <v>0</v>
      </c>
      <c r="J147" s="272"/>
      <c r="K147" s="272"/>
      <c r="L147" s="259">
        <v>0</v>
      </c>
      <c r="M147" s="36"/>
      <c r="N147" s="36"/>
      <c r="O147" s="201">
        <f t="shared" si="100"/>
        <v>227726322</v>
      </c>
      <c r="Q147" s="636">
        <f>-SUMIF('1.0'!$D:$D,T_BS!D147,'1.0'!$J:$J)</f>
        <v>0</v>
      </c>
      <c r="R147" s="259">
        <f>-SUMIF('2.0'!$D:$D,T_BS!D147,'2.0'!$J:$J)</f>
        <v>0</v>
      </c>
      <c r="S147" s="36">
        <f>-ROUND(SUMIF('3.0'!$D:$D,T_BS!D147,'3.0'!$H:$H),0)</f>
        <v>0</v>
      </c>
      <c r="T147" s="272">
        <f>-ROUND(SUMIF('4.0'!$D:$D,T_BS!D147,'4.0'!$J:$J),0)</f>
        <v>0</v>
      </c>
      <c r="U147" s="36">
        <f>-ROUND(SUMIF('5.0'!$D:$D,T_BS!D147,'5.0'!$J:$J),0)</f>
        <v>0</v>
      </c>
      <c r="V147" s="272">
        <f>-ROUND(SUMIF('6.0'!$D:$D,T_BS!D147,'6.0'!$J:$J),0)</f>
        <v>0</v>
      </c>
      <c r="W147" s="272">
        <f>-ROUND(SUMIF('7.0'!$D:$D,T_BS!D147,'7.0'!$I:$I),0)</f>
        <v>0</v>
      </c>
      <c r="X147" s="272">
        <f>-ROUND(SUMIF('8.0'!$D:$D,T_BS!D147,'8.0'!$H:$H),0)</f>
        <v>0</v>
      </c>
      <c r="Y147" s="201">
        <f t="shared" si="101"/>
        <v>0</v>
      </c>
      <c r="AA147" s="215">
        <f t="shared" si="102"/>
        <v>227726322</v>
      </c>
    </row>
    <row r="148" spans="1:30" ht="18" customHeight="1">
      <c r="A148" s="28"/>
      <c r="D148" s="590">
        <v>217900</v>
      </c>
      <c r="E148" s="164" t="s">
        <v>137</v>
      </c>
      <c r="F148" s="166">
        <v>3103</v>
      </c>
      <c r="G148" s="164" t="s">
        <v>150</v>
      </c>
      <c r="H148" s="259">
        <v>2391239140</v>
      </c>
      <c r="I148" s="272">
        <v>0</v>
      </c>
      <c r="J148" s="272"/>
      <c r="K148" s="272"/>
      <c r="L148" s="259">
        <v>0</v>
      </c>
      <c r="M148" s="36"/>
      <c r="N148" s="36"/>
      <c r="O148" s="201">
        <f t="shared" si="100"/>
        <v>2391239140</v>
      </c>
      <c r="Q148" s="636">
        <f>-SUMIF('1.0'!$D:$D,T_BS!D148,'1.0'!$J:$J)</f>
        <v>0</v>
      </c>
      <c r="R148" s="259">
        <f>-SUMIF('2.0'!$D:$D,T_BS!D148,'2.0'!$J:$J)</f>
        <v>0</v>
      </c>
      <c r="S148" s="36">
        <f>-ROUND(SUMIF('3.0'!$D:$D,T_BS!D148,'3.0'!$H:$H),0)</f>
        <v>0</v>
      </c>
      <c r="T148" s="272">
        <f>-ROUND(SUMIF('4.0'!$D:$D,T_BS!D148,'4.0'!$J:$J),0)</f>
        <v>0</v>
      </c>
      <c r="U148" s="36">
        <f>-ROUND(SUMIF('5.0'!$D:$D,T_BS!D148,'5.0'!$J:$J),0)</f>
        <v>0</v>
      </c>
      <c r="V148" s="272">
        <f>-ROUND(SUMIF('6.0'!$D:$D,T_BS!D148,'6.0'!$J:$J),0)</f>
        <v>0</v>
      </c>
      <c r="W148" s="272">
        <f>-ROUND(SUMIF('7.0'!$D:$D,T_BS!D148,'7.0'!$I:$I),0)</f>
        <v>0</v>
      </c>
      <c r="X148" s="272">
        <f>-ROUND(SUMIF('8.0'!$D:$D,T_BS!D148,'8.0'!$H:$H),0)</f>
        <v>0</v>
      </c>
      <c r="Y148" s="201">
        <f t="shared" si="101"/>
        <v>0</v>
      </c>
      <c r="AA148" s="215">
        <f t="shared" si="102"/>
        <v>2391239140</v>
      </c>
    </row>
    <row r="149" spans="1:30" ht="18" customHeight="1">
      <c r="A149" s="28"/>
      <c r="D149" s="590">
        <v>217200</v>
      </c>
      <c r="E149" s="164" t="s">
        <v>137</v>
      </c>
      <c r="F149" s="166">
        <v>3103</v>
      </c>
      <c r="G149" s="164" t="s">
        <v>151</v>
      </c>
      <c r="H149" s="259">
        <v>78096424</v>
      </c>
      <c r="I149" s="272">
        <v>0</v>
      </c>
      <c r="J149" s="272"/>
      <c r="K149" s="272"/>
      <c r="L149" s="259">
        <v>22827543</v>
      </c>
      <c r="M149" s="36"/>
      <c r="N149" s="36"/>
      <c r="O149" s="201">
        <f t="shared" si="100"/>
        <v>100923967</v>
      </c>
      <c r="Q149" s="636">
        <f>-SUMIF('1.0'!$D:$D,T_BS!D149,'1.0'!$J:$J)</f>
        <v>0</v>
      </c>
      <c r="R149" s="259">
        <f>-SUMIF('2.0'!$D:$D,T_BS!D149,'2.0'!$J:$J)</f>
        <v>0</v>
      </c>
      <c r="S149" s="36">
        <f>-ROUND(SUMIF('3.0'!$D:$D,T_BS!D149,'3.0'!$H:$H),0)</f>
        <v>-3933393</v>
      </c>
      <c r="T149" s="272">
        <f>-ROUND(SUMIF('4.0'!$D:$D,T_BS!D149,'4.0'!$J:$J),0)</f>
        <v>0</v>
      </c>
      <c r="U149" s="36">
        <f>-ROUND(SUMIF('5.0'!$D:$D,T_BS!D149,'5.0'!$J:$J),0)</f>
        <v>0</v>
      </c>
      <c r="V149" s="272">
        <f>-ROUND(SUMIF('6.0'!$D:$D,T_BS!D149,'6.0'!$J:$J),0)</f>
        <v>0</v>
      </c>
      <c r="W149" s="272">
        <f>-ROUND(SUMIF('7.0'!$D:$D,T_BS!D149,'7.0'!$I:$I),0)</f>
        <v>0</v>
      </c>
      <c r="X149" s="272">
        <f>-ROUND(SUMIF('8.0'!$D:$D,T_BS!D149,'8.0'!$H:$H),0)</f>
        <v>0</v>
      </c>
      <c r="Y149" s="201">
        <f t="shared" si="101"/>
        <v>-3933393</v>
      </c>
      <c r="AA149" s="215">
        <f t="shared" si="102"/>
        <v>96990574</v>
      </c>
    </row>
    <row r="150" spans="1:30" ht="18" customHeight="1">
      <c r="A150" s="28"/>
      <c r="D150" s="590">
        <v>217300</v>
      </c>
      <c r="E150" s="164" t="s">
        <v>137</v>
      </c>
      <c r="F150" s="166">
        <v>3103</v>
      </c>
      <c r="G150" s="164" t="s">
        <v>152</v>
      </c>
      <c r="H150" s="259">
        <v>5595287</v>
      </c>
      <c r="I150" s="272">
        <v>0</v>
      </c>
      <c r="J150" s="272"/>
      <c r="K150" s="272"/>
      <c r="L150" s="259">
        <v>0</v>
      </c>
      <c r="M150" s="36"/>
      <c r="N150" s="36"/>
      <c r="O150" s="201">
        <f t="shared" si="100"/>
        <v>5595287</v>
      </c>
      <c r="Q150" s="636">
        <f>-SUMIF('1.0'!$D:$D,T_BS!D150,'1.0'!$J:$J)</f>
        <v>0</v>
      </c>
      <c r="R150" s="259">
        <f>-SUMIF('2.0'!$D:$D,T_BS!D150,'2.0'!$J:$J)</f>
        <v>0</v>
      </c>
      <c r="S150" s="36">
        <f>-ROUND(SUMIF('3.0'!$D:$D,T_BS!D150,'3.0'!$H:$H),0)</f>
        <v>0</v>
      </c>
      <c r="T150" s="272">
        <f>-ROUND(SUMIF('4.0'!$D:$D,T_BS!D150,'4.0'!$J:$J),0)</f>
        <v>0</v>
      </c>
      <c r="U150" s="36">
        <f>-ROUND(SUMIF('5.0'!$D:$D,T_BS!D150,'5.0'!$J:$J),0)</f>
        <v>0</v>
      </c>
      <c r="V150" s="272">
        <f>-ROUND(SUMIF('6.0'!$D:$D,T_BS!D150,'6.0'!$J:$J),0)</f>
        <v>0</v>
      </c>
      <c r="W150" s="272">
        <f>-ROUND(SUMIF('7.0'!$D:$D,T_BS!D150,'7.0'!$I:$I),0)</f>
        <v>0</v>
      </c>
      <c r="X150" s="272">
        <f>-ROUND(SUMIF('8.0'!$D:$D,T_BS!D150,'8.0'!$H:$H),0)</f>
        <v>0</v>
      </c>
      <c r="Y150" s="201">
        <f t="shared" si="101"/>
        <v>0</v>
      </c>
      <c r="AA150" s="215">
        <f t="shared" si="102"/>
        <v>5595287</v>
      </c>
    </row>
    <row r="151" spans="1:30" ht="18" customHeight="1">
      <c r="A151" s="28"/>
      <c r="D151" s="590">
        <v>217400</v>
      </c>
      <c r="E151" s="164" t="s">
        <v>137</v>
      </c>
      <c r="F151" s="166">
        <v>3103</v>
      </c>
      <c r="G151" s="164" t="s">
        <v>153</v>
      </c>
      <c r="H151" s="259">
        <v>42799464</v>
      </c>
      <c r="I151" s="272">
        <v>0</v>
      </c>
      <c r="J151" s="272"/>
      <c r="K151" s="272"/>
      <c r="L151" s="259">
        <v>0</v>
      </c>
      <c r="M151" s="36"/>
      <c r="N151" s="36"/>
      <c r="O151" s="201">
        <f t="shared" si="100"/>
        <v>42799464</v>
      </c>
      <c r="Q151" s="636">
        <f>-SUMIF('1.0'!$D:$D,T_BS!D151,'1.0'!$J:$J)</f>
        <v>0</v>
      </c>
      <c r="R151" s="259">
        <f>-SUMIF('2.0'!$D:$D,T_BS!D151,'2.0'!$J:$J)</f>
        <v>0</v>
      </c>
      <c r="S151" s="36">
        <f>-ROUND(SUMIF('3.0'!$D:$D,T_BS!D151,'3.0'!$H:$H),0)</f>
        <v>0</v>
      </c>
      <c r="T151" s="272">
        <f>-ROUND(SUMIF('4.0'!$D:$D,T_BS!D151,'4.0'!$J:$J),0)</f>
        <v>0</v>
      </c>
      <c r="U151" s="36">
        <f>-ROUND(SUMIF('5.0'!$D:$D,T_BS!D151,'5.0'!$J:$J),0)</f>
        <v>0</v>
      </c>
      <c r="V151" s="272">
        <f>-ROUND(SUMIF('6.0'!$D:$D,T_BS!D151,'6.0'!$J:$J),0)</f>
        <v>0</v>
      </c>
      <c r="W151" s="272">
        <f>-ROUND(SUMIF('7.0'!$D:$D,T_BS!D151,'7.0'!$I:$I),0)</f>
        <v>0</v>
      </c>
      <c r="X151" s="272">
        <f>-ROUND(SUMIF('8.0'!$D:$D,T_BS!D151,'8.0'!$H:$H),0)</f>
        <v>0</v>
      </c>
      <c r="Y151" s="201">
        <f t="shared" si="101"/>
        <v>0</v>
      </c>
      <c r="AA151" s="215">
        <f t="shared" si="102"/>
        <v>42799464</v>
      </c>
    </row>
    <row r="152" spans="1:30" ht="18" customHeight="1">
      <c r="A152" s="28"/>
      <c r="D152" s="590">
        <v>217500</v>
      </c>
      <c r="E152" s="164" t="s">
        <v>137</v>
      </c>
      <c r="F152" s="166">
        <v>3103</v>
      </c>
      <c r="G152" s="164" t="s">
        <v>154</v>
      </c>
      <c r="H152" s="259">
        <v>643830900</v>
      </c>
      <c r="I152" s="272">
        <v>0</v>
      </c>
      <c r="J152" s="272"/>
      <c r="K152" s="272"/>
      <c r="L152" s="259">
        <v>0</v>
      </c>
      <c r="M152" s="36"/>
      <c r="N152" s="36"/>
      <c r="O152" s="201">
        <f t="shared" si="100"/>
        <v>643830900</v>
      </c>
      <c r="Q152" s="636">
        <f>-SUMIF('1.0'!$D:$D,T_BS!D152,'1.0'!$J:$J)</f>
        <v>0</v>
      </c>
      <c r="R152" s="259">
        <f>-SUMIF('2.0'!$D:$D,T_BS!D152,'2.0'!$J:$J)</f>
        <v>0</v>
      </c>
      <c r="S152" s="36">
        <f>-ROUND(SUMIF('3.0'!$D:$D,T_BS!D152,'3.0'!$H:$H),0)</f>
        <v>0</v>
      </c>
      <c r="T152" s="272">
        <f>-ROUND(SUMIF('4.0'!$D:$D,T_BS!D152,'4.0'!$J:$J),0)</f>
        <v>0</v>
      </c>
      <c r="U152" s="36">
        <f>-ROUND(SUMIF('5.0'!$D:$D,T_BS!D152,'5.0'!$J:$J),0)</f>
        <v>0</v>
      </c>
      <c r="V152" s="272">
        <f>-ROUND(SUMIF('6.0'!$D:$D,T_BS!D152,'6.0'!$J:$J),0)</f>
        <v>0</v>
      </c>
      <c r="W152" s="272">
        <f>-ROUND(SUMIF('7.0'!$D:$D,T_BS!D152,'7.0'!$I:$I),0)</f>
        <v>0</v>
      </c>
      <c r="X152" s="272">
        <f>-ROUND(SUMIF('8.0'!$D:$D,T_BS!D152,'8.0'!$H:$H),0)</f>
        <v>0</v>
      </c>
      <c r="Y152" s="201">
        <f t="shared" si="101"/>
        <v>0</v>
      </c>
      <c r="AA152" s="215">
        <f t="shared" si="102"/>
        <v>643830900</v>
      </c>
    </row>
    <row r="153" spans="1:30" ht="18" customHeight="1">
      <c r="A153" s="28"/>
      <c r="B153" s="471" t="s">
        <v>1628</v>
      </c>
      <c r="D153" s="590" t="s">
        <v>1629</v>
      </c>
      <c r="E153" s="164" t="s">
        <v>137</v>
      </c>
      <c r="F153" s="166">
        <v>3103</v>
      </c>
      <c r="G153" s="164" t="s">
        <v>1630</v>
      </c>
      <c r="H153" s="259">
        <v>0</v>
      </c>
      <c r="I153" s="272">
        <v>0</v>
      </c>
      <c r="J153" s="272"/>
      <c r="K153" s="272"/>
      <c r="L153" s="259">
        <v>0</v>
      </c>
      <c r="M153" s="36"/>
      <c r="N153" s="36"/>
      <c r="O153" s="201">
        <f t="shared" si="100"/>
        <v>0</v>
      </c>
      <c r="Q153" s="636"/>
      <c r="R153" s="259">
        <f>-SUMIF('2.0'!$D:$D,T_BS!D153,'2.0'!$J:$J)</f>
        <v>0</v>
      </c>
      <c r="S153" s="36">
        <f>-ROUND(SUMIF('3.0'!$D:$D,T_BS!D153,'3.0'!$H:$H),0)</f>
        <v>0</v>
      </c>
      <c r="T153" s="272"/>
      <c r="U153" s="36"/>
      <c r="V153" s="272"/>
      <c r="W153" s="272"/>
      <c r="X153" s="272">
        <f>-ROUND(SUMIF('8.0'!$D:$D,T_BS!D153,'8.0'!$H:$H),0)</f>
        <v>0</v>
      </c>
      <c r="Y153" s="201">
        <f t="shared" si="101"/>
        <v>0</v>
      </c>
      <c r="AA153" s="215">
        <f t="shared" si="102"/>
        <v>0</v>
      </c>
    </row>
    <row r="154" spans="1:30" ht="18" customHeight="1">
      <c r="A154" s="28"/>
      <c r="D154" s="590">
        <v>223150</v>
      </c>
      <c r="E154" s="164" t="s">
        <v>137</v>
      </c>
      <c r="F154" s="166">
        <v>3401</v>
      </c>
      <c r="G154" s="164" t="s">
        <v>155</v>
      </c>
      <c r="H154" s="259">
        <v>0</v>
      </c>
      <c r="I154" s="272">
        <v>0</v>
      </c>
      <c r="J154" s="272"/>
      <c r="K154" s="272"/>
      <c r="L154" s="259">
        <v>0</v>
      </c>
      <c r="M154" s="36"/>
      <c r="N154" s="36"/>
      <c r="O154" s="201">
        <f t="shared" si="100"/>
        <v>0</v>
      </c>
      <c r="Q154" s="636">
        <f>-SUMIF('1.0'!$D:$D,T_BS!D154,'1.0'!$J:$J)</f>
        <v>0</v>
      </c>
      <c r="R154" s="259">
        <f>-SUMIF('2.0'!$D:$D,T_BS!D154,'2.0'!$J:$J)</f>
        <v>0</v>
      </c>
      <c r="S154" s="36">
        <f>-ROUND(SUMIF('3.0'!$D:$D,T_BS!D154,'3.0'!$H:$H),0)</f>
        <v>0</v>
      </c>
      <c r="T154" s="272">
        <f>-ROUND(SUMIF('4.0'!$D:$D,T_BS!D154,'4.0'!$J:$J),0)</f>
        <v>0</v>
      </c>
      <c r="U154" s="36">
        <f>-ROUND(SUMIF('5.0'!$D:$D,T_BS!D154,'5.0'!$J:$J),0)</f>
        <v>0</v>
      </c>
      <c r="V154" s="272">
        <f>-ROUND(SUMIF('6.0'!$D:$D,T_BS!D154,'6.0'!$J:$J),0)</f>
        <v>0</v>
      </c>
      <c r="W154" s="272">
        <f>-ROUND(SUMIF('7.0'!$D:$D,T_BS!D154,'7.0'!$I:$I),0)</f>
        <v>0</v>
      </c>
      <c r="X154" s="272">
        <f>-ROUND(SUMIF('8.0'!$D:$D,T_BS!D154,'8.0'!$H:$H),0)</f>
        <v>0</v>
      </c>
      <c r="Y154" s="201">
        <f t="shared" si="101"/>
        <v>0</v>
      </c>
      <c r="AA154" s="215">
        <f t="shared" si="102"/>
        <v>0</v>
      </c>
    </row>
    <row r="155" spans="1:30" ht="18" customHeight="1">
      <c r="A155" s="28"/>
      <c r="D155" s="586"/>
      <c r="E155" s="587"/>
      <c r="F155" s="588"/>
      <c r="G155" s="587" t="s">
        <v>156</v>
      </c>
      <c r="H155" s="52">
        <f>SUM(H156:H161)</f>
        <v>0</v>
      </c>
      <c r="I155" s="52">
        <f t="shared" ref="I155:N155" si="103">SUM(I156:I161)</f>
        <v>0</v>
      </c>
      <c r="J155" s="52">
        <f t="shared" si="103"/>
        <v>0</v>
      </c>
      <c r="K155" s="52">
        <f t="shared" si="103"/>
        <v>0</v>
      </c>
      <c r="L155" s="52">
        <f t="shared" si="103"/>
        <v>531735000</v>
      </c>
      <c r="M155" s="52"/>
      <c r="N155" s="52">
        <f t="shared" si="103"/>
        <v>0</v>
      </c>
      <c r="O155" s="589">
        <f t="shared" ref="O155" si="104">SUM(O156:O161)</f>
        <v>531735000</v>
      </c>
      <c r="Q155" s="634">
        <f t="shared" ref="Q155:V155" si="105">SUM(Q156:Q161)</f>
        <v>0</v>
      </c>
      <c r="R155" s="52">
        <f t="shared" si="105"/>
        <v>0</v>
      </c>
      <c r="S155" s="52">
        <f t="shared" si="105"/>
        <v>-531735000</v>
      </c>
      <c r="T155" s="52">
        <f t="shared" si="105"/>
        <v>0</v>
      </c>
      <c r="U155" s="52">
        <f t="shared" si="105"/>
        <v>0</v>
      </c>
      <c r="V155" s="52">
        <f t="shared" si="105"/>
        <v>0</v>
      </c>
      <c r="W155" s="52">
        <f t="shared" ref="W155:X155" si="106">SUM(W156:W161)</f>
        <v>0</v>
      </c>
      <c r="X155" s="52">
        <f t="shared" si="106"/>
        <v>0</v>
      </c>
      <c r="Y155" s="589">
        <f t="shared" ref="Y155:AA155" si="107">SUM(Y156:Y161)</f>
        <v>-531735000</v>
      </c>
      <c r="AA155" s="614">
        <f t="shared" si="107"/>
        <v>0</v>
      </c>
    </row>
    <row r="156" spans="1:30" ht="18" customHeight="1">
      <c r="A156" s="28"/>
      <c r="D156" s="590">
        <v>212300</v>
      </c>
      <c r="E156" s="164" t="s">
        <v>156</v>
      </c>
      <c r="F156" s="166"/>
      <c r="G156" s="164" t="s">
        <v>157</v>
      </c>
      <c r="H156" s="259">
        <v>0</v>
      </c>
      <c r="I156" s="272">
        <v>0</v>
      </c>
      <c r="J156" s="272">
        <v>0</v>
      </c>
      <c r="K156" s="272"/>
      <c r="L156" s="259">
        <v>0</v>
      </c>
      <c r="M156" s="36"/>
      <c r="N156" s="36"/>
      <c r="O156" s="201">
        <f t="shared" si="100"/>
        <v>0</v>
      </c>
      <c r="Q156" s="636">
        <f>-SUMIF('1.0'!$D:$D,T_BS!D156,'1.0'!$J:$J)</f>
        <v>0</v>
      </c>
      <c r="R156" s="259">
        <f>-SUMIF('2.0'!$D:$D,T_BS!D156,'2.0'!$J:$J)</f>
        <v>0</v>
      </c>
      <c r="S156" s="36">
        <f>-ROUND(SUMIF('3.0'!$D:$D,T_BS!D156,'3.0'!$H:$H),0)</f>
        <v>0</v>
      </c>
      <c r="T156" s="272">
        <f>-ROUND(SUMIF('4.0'!$D:$D,T_BS!D156,'4.0'!$J:$J),0)</f>
        <v>0</v>
      </c>
      <c r="U156" s="36">
        <f>-ROUND(SUMIF('5.0'!$D:$D,T_BS!D156,'5.0'!$J:$J),0)</f>
        <v>0</v>
      </c>
      <c r="V156" s="272">
        <f>-ROUND(SUMIF('6.0'!$D:$D,T_BS!D156,'6.0'!$J:$J),0)</f>
        <v>0</v>
      </c>
      <c r="W156" s="272">
        <f>-ROUND(SUMIF('7.0'!$D:$D,T_BS!D156,'7.0'!$I:$I),0)</f>
        <v>0</v>
      </c>
      <c r="X156" s="272">
        <f>-ROUND(SUMIF('8.0'!$D:$D,T_BS!D156,'8.0'!$H:$H),0)</f>
        <v>0</v>
      </c>
      <c r="Y156" s="201">
        <f t="shared" ref="Y156:Y188" si="108">SUM(Q156:X156)</f>
        <v>0</v>
      </c>
      <c r="AA156" s="215">
        <f t="shared" ref="AA156:AA161" si="109">Y156+O156</f>
        <v>0</v>
      </c>
    </row>
    <row r="157" spans="1:30" ht="18" customHeight="1">
      <c r="A157" s="28"/>
      <c r="B157" s="471" t="s">
        <v>1628</v>
      </c>
      <c r="D157" s="609">
        <v>212500</v>
      </c>
      <c r="E157" s="519" t="s">
        <v>156</v>
      </c>
      <c r="F157" s="166"/>
      <c r="G157" s="164" t="s">
        <v>1643</v>
      </c>
      <c r="H157" s="259">
        <v>0</v>
      </c>
      <c r="I157" s="272">
        <v>0</v>
      </c>
      <c r="J157" s="272">
        <v>0</v>
      </c>
      <c r="K157" s="272"/>
      <c r="L157" s="259">
        <v>531735000</v>
      </c>
      <c r="M157" s="36"/>
      <c r="N157" s="36"/>
      <c r="O157" s="201">
        <f t="shared" si="100"/>
        <v>531735000</v>
      </c>
      <c r="Q157" s="636"/>
      <c r="R157" s="259">
        <f>-SUMIF('2.0'!$D:$D,T_BS!D157,'2.0'!$J:$J)</f>
        <v>0</v>
      </c>
      <c r="S157" s="36">
        <f>-ROUND(SUMIF('3.0'!$D:$D,T_BS!D157,'3.0'!$H:$H),0)</f>
        <v>-531735000</v>
      </c>
      <c r="T157" s="272"/>
      <c r="U157" s="36"/>
      <c r="V157" s="272"/>
      <c r="W157" s="272"/>
      <c r="X157" s="272">
        <f>-ROUND(SUMIF('8.0'!$D:$D,T_BS!D157,'8.0'!$H:$H),0)</f>
        <v>0</v>
      </c>
      <c r="Y157" s="201">
        <f t="shared" si="108"/>
        <v>-531735000</v>
      </c>
      <c r="AA157" s="215">
        <f t="shared" si="109"/>
        <v>0</v>
      </c>
    </row>
    <row r="158" spans="1:30" ht="18" customHeight="1">
      <c r="A158" s="28"/>
      <c r="D158" s="609">
        <v>230320</v>
      </c>
      <c r="E158" s="519" t="s">
        <v>156</v>
      </c>
      <c r="F158" s="166">
        <v>3501</v>
      </c>
      <c r="G158" s="164" t="s">
        <v>158</v>
      </c>
      <c r="H158" s="259">
        <v>0</v>
      </c>
      <c r="I158" s="272">
        <v>0</v>
      </c>
      <c r="J158" s="272"/>
      <c r="K158" s="272"/>
      <c r="L158" s="259">
        <v>0</v>
      </c>
      <c r="M158" s="36"/>
      <c r="N158" s="36"/>
      <c r="O158" s="201">
        <f t="shared" si="100"/>
        <v>0</v>
      </c>
      <c r="Q158" s="636">
        <f>-SUMIF('1.0'!$D:$D,T_BS!D158,'1.0'!$J:$J)</f>
        <v>0</v>
      </c>
      <c r="R158" s="259">
        <f>-SUMIF('2.0'!$D:$D,T_BS!D158,'2.0'!$J:$J)</f>
        <v>0</v>
      </c>
      <c r="S158" s="36">
        <f>-ROUND(SUMIF('3.0'!$D:$D,T_BS!D158,'3.0'!$H:$H),0)</f>
        <v>0</v>
      </c>
      <c r="T158" s="272">
        <f>-ROUND(SUMIF('4.0'!$D:$D,T_BS!D158,'4.0'!$J:$J),0)</f>
        <v>0</v>
      </c>
      <c r="U158" s="36">
        <f>-ROUND(SUMIF('5.0'!$D:$D,T_BS!D158,'5.0'!$J:$J),0)</f>
        <v>0</v>
      </c>
      <c r="V158" s="272">
        <f>-ROUND(SUMIF('6.0'!$D:$D,T_BS!D158,'6.0'!$J:$J),0)</f>
        <v>0</v>
      </c>
      <c r="W158" s="272">
        <f>-ROUND(SUMIF('7.0'!$D:$D,T_BS!D158,'7.0'!$I:$I),0)</f>
        <v>0</v>
      </c>
      <c r="X158" s="272">
        <f>-ROUND(SUMIF('8.0'!$D:$D,T_BS!D158,'8.0'!$H:$H),0)</f>
        <v>0</v>
      </c>
      <c r="Y158" s="201">
        <f t="shared" si="108"/>
        <v>0</v>
      </c>
      <c r="AA158" s="215">
        <f t="shared" si="109"/>
        <v>0</v>
      </c>
      <c r="AD158" s="28"/>
    </row>
    <row r="159" spans="1:30" ht="18" customHeight="1">
      <c r="A159" s="28"/>
      <c r="D159" s="590">
        <v>230321</v>
      </c>
      <c r="E159" s="164" t="s">
        <v>156</v>
      </c>
      <c r="F159" s="166">
        <v>3502</v>
      </c>
      <c r="G159" s="164" t="s">
        <v>159</v>
      </c>
      <c r="H159" s="259">
        <v>0</v>
      </c>
      <c r="I159" s="272">
        <v>0</v>
      </c>
      <c r="J159" s="272"/>
      <c r="K159" s="272"/>
      <c r="L159" s="259">
        <v>0</v>
      </c>
      <c r="M159" s="36"/>
      <c r="N159" s="36"/>
      <c r="O159" s="201">
        <f t="shared" si="100"/>
        <v>0</v>
      </c>
      <c r="Q159" s="636">
        <f>-SUMIF('1.0'!$D:$D,T_BS!D159,'1.0'!$J:$J)</f>
        <v>0</v>
      </c>
      <c r="R159" s="259">
        <f>-SUMIF('2.0'!$D:$D,T_BS!D159,'2.0'!$J:$J)</f>
        <v>0</v>
      </c>
      <c r="S159" s="36">
        <f>-ROUND(SUMIF('3.0'!$D:$D,T_BS!D159,'3.0'!$H:$H),0)</f>
        <v>0</v>
      </c>
      <c r="T159" s="272">
        <f>-ROUND(SUMIF('4.0'!$D:$D,T_BS!D159,'4.0'!$J:$J),0)</f>
        <v>0</v>
      </c>
      <c r="U159" s="36">
        <f>-ROUND(SUMIF('5.0'!$D:$D,T_BS!D159,'5.0'!$J:$J),0)</f>
        <v>0</v>
      </c>
      <c r="V159" s="272">
        <f>-ROUND(SUMIF('6.0'!$D:$D,T_BS!D159,'6.0'!$J:$J),0)</f>
        <v>0</v>
      </c>
      <c r="W159" s="272">
        <f>-ROUND(SUMIF('7.0'!$D:$D,T_BS!D159,'7.0'!$I:$I),0)</f>
        <v>0</v>
      </c>
      <c r="X159" s="272">
        <f>-ROUND(SUMIF('8.0'!$D:$D,T_BS!D159,'8.0'!$H:$H),0)</f>
        <v>0</v>
      </c>
      <c r="Y159" s="201">
        <f t="shared" si="108"/>
        <v>0</v>
      </c>
      <c r="AA159" s="215">
        <f t="shared" si="109"/>
        <v>0</v>
      </c>
      <c r="AC159" s="641"/>
    </row>
    <row r="160" spans="1:30" ht="18" customHeight="1">
      <c r="A160" s="28"/>
      <c r="D160" s="590">
        <v>230322</v>
      </c>
      <c r="E160" s="164" t="s">
        <v>156</v>
      </c>
      <c r="F160" s="166">
        <v>3503</v>
      </c>
      <c r="G160" s="164" t="s">
        <v>160</v>
      </c>
      <c r="H160" s="259">
        <v>0</v>
      </c>
      <c r="I160" s="272">
        <v>0</v>
      </c>
      <c r="J160" s="272"/>
      <c r="K160" s="272"/>
      <c r="L160" s="259">
        <v>0</v>
      </c>
      <c r="M160" s="36"/>
      <c r="N160" s="36"/>
      <c r="O160" s="201">
        <f t="shared" si="100"/>
        <v>0</v>
      </c>
      <c r="Q160" s="636">
        <f>-SUMIF('1.0'!$D:$D,T_BS!D160,'1.0'!$J:$J)</f>
        <v>0</v>
      </c>
      <c r="R160" s="259">
        <f>-SUMIF('2.0'!$D:$D,T_BS!D160,'2.0'!$J:$J)</f>
        <v>0</v>
      </c>
      <c r="S160" s="36">
        <f>-ROUND(SUMIF('3.0'!$D:$D,T_BS!D160,'3.0'!$H:$H),0)</f>
        <v>0</v>
      </c>
      <c r="T160" s="272">
        <f>-ROUND(SUMIF('4.0'!$D:$D,T_BS!D160,'4.0'!$J:$J),0)</f>
        <v>0</v>
      </c>
      <c r="U160" s="36">
        <f>-ROUND(SUMIF('5.0'!$D:$D,T_BS!D160,'5.0'!$J:$J),0)</f>
        <v>0</v>
      </c>
      <c r="V160" s="272">
        <f>-ROUND(SUMIF('6.0'!$D:$D,T_BS!D160,'6.0'!$J:$J),0)</f>
        <v>0</v>
      </c>
      <c r="W160" s="272">
        <f>-ROUND(SUMIF('7.0'!$D:$D,T_BS!D160,'7.0'!$I:$I),0)</f>
        <v>0</v>
      </c>
      <c r="X160" s="272">
        <f>-ROUND(SUMIF('8.0'!$D:$D,T_BS!D160,'8.0'!$H:$H),0)</f>
        <v>0</v>
      </c>
      <c r="Y160" s="201">
        <f t="shared" si="108"/>
        <v>0</v>
      </c>
      <c r="AA160" s="215">
        <f t="shared" si="109"/>
        <v>0</v>
      </c>
    </row>
    <row r="161" spans="1:27" ht="18" customHeight="1">
      <c r="A161" s="28"/>
      <c r="D161" s="590">
        <v>230325</v>
      </c>
      <c r="E161" s="164" t="s">
        <v>156</v>
      </c>
      <c r="F161" s="166">
        <v>3502</v>
      </c>
      <c r="G161" s="164" t="s">
        <v>161</v>
      </c>
      <c r="H161" s="259">
        <v>0</v>
      </c>
      <c r="I161" s="272">
        <v>0</v>
      </c>
      <c r="J161" s="272"/>
      <c r="K161" s="272"/>
      <c r="L161" s="259">
        <v>0</v>
      </c>
      <c r="M161" s="36"/>
      <c r="N161" s="36"/>
      <c r="O161" s="201">
        <f t="shared" si="100"/>
        <v>0</v>
      </c>
      <c r="Q161" s="636">
        <f>-SUMIF('1.0'!$D:$D,T_BS!D161,'1.0'!$J:$J)</f>
        <v>0</v>
      </c>
      <c r="R161" s="259">
        <f>-SUMIF('2.0'!$D:$D,T_BS!D161,'2.0'!$J:$J)</f>
        <v>0</v>
      </c>
      <c r="S161" s="36">
        <f>-ROUND(SUMIF('3.0'!$D:$D,T_BS!D161,'3.0'!$H:$H),0)</f>
        <v>0</v>
      </c>
      <c r="T161" s="272">
        <f>-ROUND(SUMIF('4.0'!$D:$D,T_BS!D161,'4.0'!$J:$J),0)</f>
        <v>0</v>
      </c>
      <c r="U161" s="36">
        <f>-ROUND(SUMIF('5.0'!$D:$D,T_BS!D161,'5.0'!$J:$J),0)</f>
        <v>0</v>
      </c>
      <c r="V161" s="272">
        <f>-ROUND(SUMIF('6.0'!$D:$D,T_BS!D161,'6.0'!$J:$J),0)</f>
        <v>0</v>
      </c>
      <c r="W161" s="272">
        <f>-ROUND(SUMIF('7.0'!$D:$D,T_BS!D161,'7.0'!$I:$I),0)</f>
        <v>0</v>
      </c>
      <c r="X161" s="272">
        <f>-ROUND(SUMIF('8.0'!$D:$D,T_BS!D161,'8.0'!$H:$H),0)</f>
        <v>0</v>
      </c>
      <c r="Y161" s="201">
        <f t="shared" si="108"/>
        <v>0</v>
      </c>
      <c r="AA161" s="215">
        <f t="shared" si="109"/>
        <v>0</v>
      </c>
    </row>
    <row r="162" spans="1:27" ht="18" customHeight="1">
      <c r="A162" s="28"/>
      <c r="D162" s="586"/>
      <c r="E162" s="587"/>
      <c r="F162" s="588"/>
      <c r="G162" s="587" t="s">
        <v>162</v>
      </c>
      <c r="H162" s="52">
        <f>SUM(H163:H184)</f>
        <v>10858048377</v>
      </c>
      <c r="I162" s="52">
        <f t="shared" ref="I162:N162" si="110">SUM(I163:I184)</f>
        <v>16403231</v>
      </c>
      <c r="J162" s="52">
        <f t="shared" si="110"/>
        <v>0</v>
      </c>
      <c r="K162" s="52">
        <f t="shared" si="110"/>
        <v>0</v>
      </c>
      <c r="L162" s="52">
        <f t="shared" si="110"/>
        <v>35109930</v>
      </c>
      <c r="M162" s="52"/>
      <c r="N162" s="52">
        <f t="shared" si="110"/>
        <v>0</v>
      </c>
      <c r="O162" s="589">
        <f t="shared" ref="O162" si="111">SUM(O163:O184)</f>
        <v>10909561538</v>
      </c>
      <c r="Q162" s="634">
        <f t="shared" ref="Q162:V162" si="112">SUM(Q163:Q184)</f>
        <v>0</v>
      </c>
      <c r="R162" s="52">
        <f t="shared" si="112"/>
        <v>0</v>
      </c>
      <c r="S162" s="52">
        <f t="shared" si="112"/>
        <v>0</v>
      </c>
      <c r="T162" s="52">
        <f t="shared" si="112"/>
        <v>0</v>
      </c>
      <c r="U162" s="52">
        <f t="shared" si="112"/>
        <v>0</v>
      </c>
      <c r="V162" s="52">
        <f t="shared" si="112"/>
        <v>0</v>
      </c>
      <c r="W162" s="52">
        <f t="shared" ref="W162:X162" si="113">SUM(W163:W184)</f>
        <v>0</v>
      </c>
      <c r="X162" s="52">
        <f t="shared" si="113"/>
        <v>0</v>
      </c>
      <c r="Y162" s="589">
        <f t="shared" ref="Y162:AA162" si="114">SUM(Y163:Y184)</f>
        <v>0</v>
      </c>
      <c r="AA162" s="614">
        <f t="shared" si="114"/>
        <v>10909561538</v>
      </c>
    </row>
    <row r="163" spans="1:27" ht="18" customHeight="1">
      <c r="A163" s="28"/>
      <c r="D163" s="590">
        <v>214100</v>
      </c>
      <c r="E163" s="164" t="s">
        <v>162</v>
      </c>
      <c r="F163" s="166">
        <v>3406</v>
      </c>
      <c r="G163" s="164" t="s">
        <v>163</v>
      </c>
      <c r="H163" s="259">
        <v>11845062</v>
      </c>
      <c r="I163" s="272">
        <v>0</v>
      </c>
      <c r="J163" s="272"/>
      <c r="K163" s="272"/>
      <c r="L163" s="259">
        <v>0</v>
      </c>
      <c r="M163" s="36"/>
      <c r="N163" s="36"/>
      <c r="O163" s="201">
        <f t="shared" si="100"/>
        <v>11845062</v>
      </c>
      <c r="Q163" s="636">
        <f>-SUMIF('1.0'!$D:$D,T_BS!D163,'1.0'!$J:$J)</f>
        <v>0</v>
      </c>
      <c r="R163" s="259">
        <f>-SUMIF('2.0'!$D:$D,T_BS!D163,'2.0'!$J:$J)</f>
        <v>0</v>
      </c>
      <c r="S163" s="36">
        <f>-ROUND(SUMIF('3.0'!$D:$D,T_BS!D163,'3.0'!$H:$H),0)</f>
        <v>0</v>
      </c>
      <c r="T163" s="272">
        <f>-ROUND(SUMIF('4.0'!$D:$D,T_BS!D163,'4.0'!$J:$J),0)</f>
        <v>0</v>
      </c>
      <c r="U163" s="36">
        <f>-ROUND(SUMIF('5.0'!$D:$D,T_BS!D163,'5.0'!$J:$J),0)</f>
        <v>0</v>
      </c>
      <c r="V163" s="272">
        <f>-ROUND(SUMIF('6.0'!$D:$D,T_BS!D163,'6.0'!$J:$J),0)</f>
        <v>0</v>
      </c>
      <c r="W163" s="272">
        <f>-ROUND(SUMIF('7.0'!$D:$D,T_BS!D163,'7.0'!$I:$I),0)</f>
        <v>0</v>
      </c>
      <c r="X163" s="272">
        <f>-ROUND(SUMIF('8.0'!$D:$D,T_BS!D163,'8.0'!$H:$H),0)</f>
        <v>0</v>
      </c>
      <c r="Y163" s="201">
        <f t="shared" si="108"/>
        <v>0</v>
      </c>
      <c r="AA163" s="215">
        <f t="shared" ref="AA163:AA184" si="115">Y163+O163</f>
        <v>11845062</v>
      </c>
    </row>
    <row r="164" spans="1:27" ht="18" customHeight="1">
      <c r="A164" s="28"/>
      <c r="D164" s="590">
        <v>214200</v>
      </c>
      <c r="E164" s="164" t="s">
        <v>162</v>
      </c>
      <c r="F164" s="166">
        <v>3406</v>
      </c>
      <c r="G164" s="164" t="s">
        <v>164</v>
      </c>
      <c r="H164" s="259">
        <v>96390</v>
      </c>
      <c r="I164" s="272">
        <v>16403231</v>
      </c>
      <c r="J164" s="272"/>
      <c r="K164" s="272"/>
      <c r="L164" s="259">
        <v>13764705</v>
      </c>
      <c r="M164" s="36"/>
      <c r="N164" s="36"/>
      <c r="O164" s="201">
        <f t="shared" si="100"/>
        <v>30264326</v>
      </c>
      <c r="Q164" s="636">
        <f>-SUMIF('1.0'!$D:$D,T_BS!D164,'1.0'!$J:$J)</f>
        <v>0</v>
      </c>
      <c r="R164" s="259">
        <f>-SUMIF('2.0'!$D:$D,T_BS!D164,'2.0'!$J:$J)</f>
        <v>0</v>
      </c>
      <c r="S164" s="36">
        <f>-ROUND(SUMIF('3.0'!$D:$D,T_BS!D164,'3.0'!$H:$H),0)</f>
        <v>0</v>
      </c>
      <c r="T164" s="272">
        <f>-ROUND(SUMIF('4.0'!$D:$D,T_BS!D164,'4.0'!$J:$J),0)</f>
        <v>0</v>
      </c>
      <c r="U164" s="36">
        <f>-ROUND(SUMIF('5.0'!$D:$D,T_BS!D164,'5.0'!$J:$J),0)</f>
        <v>0</v>
      </c>
      <c r="V164" s="272">
        <f>-ROUND(SUMIF('6.0'!$D:$D,T_BS!D164,'6.0'!$J:$J),0)</f>
        <v>0</v>
      </c>
      <c r="W164" s="272">
        <f>-ROUND(SUMIF('7.0'!$D:$D,T_BS!D164,'7.0'!$I:$I),0)</f>
        <v>0</v>
      </c>
      <c r="X164" s="272">
        <f>-ROUND(SUMIF('8.0'!$D:$D,T_BS!D164,'8.0'!$H:$H),0)</f>
        <v>0</v>
      </c>
      <c r="Y164" s="201">
        <f t="shared" si="108"/>
        <v>0</v>
      </c>
      <c r="AA164" s="215">
        <f t="shared" si="115"/>
        <v>30264326</v>
      </c>
    </row>
    <row r="165" spans="1:27" ht="18" customHeight="1">
      <c r="A165" s="28"/>
      <c r="D165" s="590">
        <v>214350</v>
      </c>
      <c r="E165" s="164" t="s">
        <v>162</v>
      </c>
      <c r="F165" s="166">
        <v>3406</v>
      </c>
      <c r="G165" s="164" t="s">
        <v>165</v>
      </c>
      <c r="H165" s="259">
        <v>0</v>
      </c>
      <c r="I165" s="272">
        <v>0</v>
      </c>
      <c r="J165" s="272"/>
      <c r="K165" s="272"/>
      <c r="L165" s="259">
        <v>0</v>
      </c>
      <c r="M165" s="36"/>
      <c r="N165" s="36"/>
      <c r="O165" s="201">
        <f t="shared" si="100"/>
        <v>0</v>
      </c>
      <c r="Q165" s="636">
        <f>-SUMIF('1.0'!$D:$D,T_BS!D165,'1.0'!$J:$J)</f>
        <v>0</v>
      </c>
      <c r="R165" s="259">
        <f>-SUMIF('2.0'!$D:$D,T_BS!D165,'2.0'!$J:$J)</f>
        <v>0</v>
      </c>
      <c r="S165" s="36">
        <f>-ROUND(SUMIF('3.0'!$D:$D,T_BS!D165,'3.0'!$H:$H),0)</f>
        <v>0</v>
      </c>
      <c r="T165" s="272">
        <f>-ROUND(SUMIF('4.0'!$D:$D,T_BS!D165,'4.0'!$J:$J),0)</f>
        <v>0</v>
      </c>
      <c r="U165" s="36">
        <f>-ROUND(SUMIF('5.0'!$D:$D,T_BS!D165,'5.0'!$J:$J),0)</f>
        <v>0</v>
      </c>
      <c r="V165" s="272">
        <f>-ROUND(SUMIF('6.0'!$D:$D,T_BS!D165,'6.0'!$J:$J),0)</f>
        <v>0</v>
      </c>
      <c r="W165" s="272">
        <f>-ROUND(SUMIF('7.0'!$D:$D,T_BS!D165,'7.0'!$I:$I),0)</f>
        <v>0</v>
      </c>
      <c r="X165" s="272">
        <f>-ROUND(SUMIF('8.0'!$D:$D,T_BS!D165,'8.0'!$H:$H),0)</f>
        <v>0</v>
      </c>
      <c r="Y165" s="201">
        <f t="shared" si="108"/>
        <v>0</v>
      </c>
      <c r="AA165" s="215">
        <f t="shared" si="115"/>
        <v>0</v>
      </c>
    </row>
    <row r="166" spans="1:27" ht="18" customHeight="1">
      <c r="A166" s="28"/>
      <c r="D166" s="590">
        <v>214360</v>
      </c>
      <c r="E166" s="164" t="s">
        <v>162</v>
      </c>
      <c r="F166" s="166">
        <v>3406</v>
      </c>
      <c r="G166" s="164" t="s">
        <v>166</v>
      </c>
      <c r="H166" s="259">
        <v>0</v>
      </c>
      <c r="I166" s="272">
        <v>0</v>
      </c>
      <c r="J166" s="272"/>
      <c r="K166" s="272"/>
      <c r="L166" s="259">
        <v>0</v>
      </c>
      <c r="M166" s="36"/>
      <c r="N166" s="36"/>
      <c r="O166" s="201">
        <f t="shared" si="100"/>
        <v>0</v>
      </c>
      <c r="Q166" s="636">
        <f>-SUMIF('1.0'!$D:$D,T_BS!D166,'1.0'!$J:$J)</f>
        <v>0</v>
      </c>
      <c r="R166" s="259">
        <f>-SUMIF('2.0'!$D:$D,T_BS!D166,'2.0'!$J:$J)</f>
        <v>0</v>
      </c>
      <c r="S166" s="36">
        <f>-ROUND(SUMIF('3.0'!$D:$D,T_BS!D166,'3.0'!$H:$H),0)</f>
        <v>0</v>
      </c>
      <c r="T166" s="272">
        <f>-ROUND(SUMIF('4.0'!$D:$D,T_BS!D166,'4.0'!$J:$J),0)</f>
        <v>0</v>
      </c>
      <c r="U166" s="36">
        <f>-ROUND(SUMIF('5.0'!$D:$D,T_BS!D166,'5.0'!$J:$J),0)</f>
        <v>0</v>
      </c>
      <c r="V166" s="272">
        <f>-ROUND(SUMIF('6.0'!$D:$D,T_BS!D166,'6.0'!$J:$J),0)</f>
        <v>0</v>
      </c>
      <c r="W166" s="272">
        <f>-ROUND(SUMIF('7.0'!$D:$D,T_BS!D166,'7.0'!$I:$I),0)</f>
        <v>0</v>
      </c>
      <c r="X166" s="272">
        <f>-ROUND(SUMIF('8.0'!$D:$D,T_BS!D166,'8.0'!$H:$H),0)</f>
        <v>0</v>
      </c>
      <c r="Y166" s="201">
        <f t="shared" si="108"/>
        <v>0</v>
      </c>
      <c r="AA166" s="215">
        <f t="shared" si="115"/>
        <v>0</v>
      </c>
    </row>
    <row r="167" spans="1:27" ht="18" customHeight="1">
      <c r="A167" s="28"/>
      <c r="D167" s="590">
        <v>214150</v>
      </c>
      <c r="E167" s="164" t="s">
        <v>162</v>
      </c>
      <c r="F167" s="166">
        <v>3406</v>
      </c>
      <c r="G167" s="164" t="s">
        <v>167</v>
      </c>
      <c r="H167" s="259">
        <v>0</v>
      </c>
      <c r="I167" s="272">
        <v>0</v>
      </c>
      <c r="J167" s="272"/>
      <c r="K167" s="272"/>
      <c r="L167" s="259">
        <v>0</v>
      </c>
      <c r="M167" s="36"/>
      <c r="N167" s="36"/>
      <c r="O167" s="201">
        <f t="shared" si="100"/>
        <v>0</v>
      </c>
      <c r="Q167" s="636">
        <f>-SUMIF('1.0'!$D:$D,T_BS!D167,'1.0'!$J:$J)</f>
        <v>0</v>
      </c>
      <c r="R167" s="259">
        <f>-SUMIF('2.0'!$D:$D,T_BS!D167,'2.0'!$J:$J)</f>
        <v>0</v>
      </c>
      <c r="S167" s="36">
        <f>-ROUND(SUMIF('3.0'!$D:$D,T_BS!D167,'3.0'!$H:$H),0)</f>
        <v>0</v>
      </c>
      <c r="T167" s="272">
        <f>-ROUND(SUMIF('4.0'!$D:$D,T_BS!D167,'4.0'!$J:$J),0)</f>
        <v>0</v>
      </c>
      <c r="U167" s="36">
        <f>-ROUND(SUMIF('5.0'!$D:$D,T_BS!D167,'5.0'!$J:$J),0)</f>
        <v>0</v>
      </c>
      <c r="V167" s="272">
        <f>-ROUND(SUMIF('6.0'!$D:$D,T_BS!D167,'6.0'!$J:$J),0)</f>
        <v>0</v>
      </c>
      <c r="W167" s="272">
        <f>-ROUND(SUMIF('7.0'!$D:$D,T_BS!D167,'7.0'!$I:$I),0)</f>
        <v>0</v>
      </c>
      <c r="X167" s="272">
        <f>-ROUND(SUMIF('8.0'!$D:$D,T_BS!D167,'8.0'!$H:$H),0)</f>
        <v>0</v>
      </c>
      <c r="Y167" s="201">
        <f t="shared" si="108"/>
        <v>0</v>
      </c>
      <c r="AA167" s="215">
        <f t="shared" si="115"/>
        <v>0</v>
      </c>
    </row>
    <row r="168" spans="1:27" ht="18" customHeight="1">
      <c r="A168" s="28"/>
      <c r="D168" s="590">
        <v>214250</v>
      </c>
      <c r="E168" s="164" t="s">
        <v>162</v>
      </c>
      <c r="F168" s="166">
        <v>3406</v>
      </c>
      <c r="G168" s="164" t="s">
        <v>168</v>
      </c>
      <c r="H168" s="259">
        <v>0</v>
      </c>
      <c r="I168" s="272">
        <v>0</v>
      </c>
      <c r="J168" s="272"/>
      <c r="K168" s="272"/>
      <c r="L168" s="259">
        <v>0</v>
      </c>
      <c r="M168" s="36"/>
      <c r="N168" s="36"/>
      <c r="O168" s="201">
        <f t="shared" si="100"/>
        <v>0</v>
      </c>
      <c r="Q168" s="636">
        <f>-SUMIF('1.0'!$D:$D,T_BS!D168,'1.0'!$J:$J)</f>
        <v>0</v>
      </c>
      <c r="R168" s="259">
        <f>-SUMIF('2.0'!$D:$D,T_BS!D168,'2.0'!$J:$J)</f>
        <v>0</v>
      </c>
      <c r="S168" s="36">
        <f>-ROUND(SUMIF('3.0'!$D:$D,T_BS!D168,'3.0'!$H:$H),0)</f>
        <v>0</v>
      </c>
      <c r="T168" s="272">
        <f>-ROUND(SUMIF('4.0'!$D:$D,T_BS!D168,'4.0'!$J:$J),0)</f>
        <v>0</v>
      </c>
      <c r="U168" s="36">
        <f>-ROUND(SUMIF('5.0'!$D:$D,T_BS!D168,'5.0'!$J:$J),0)</f>
        <v>0</v>
      </c>
      <c r="V168" s="272">
        <f>-ROUND(SUMIF('6.0'!$D:$D,T_BS!D168,'6.0'!$J:$J),0)</f>
        <v>0</v>
      </c>
      <c r="W168" s="272">
        <f>-ROUND(SUMIF('7.0'!$D:$D,T_BS!D168,'7.0'!$I:$I),0)</f>
        <v>0</v>
      </c>
      <c r="X168" s="272">
        <f>-ROUND(SUMIF('8.0'!$D:$D,T_BS!D168,'8.0'!$H:$H),0)</f>
        <v>0</v>
      </c>
      <c r="Y168" s="201">
        <f t="shared" si="108"/>
        <v>0</v>
      </c>
      <c r="AA168" s="215">
        <f t="shared" si="115"/>
        <v>0</v>
      </c>
    </row>
    <row r="169" spans="1:27" ht="18" customHeight="1">
      <c r="A169" s="28"/>
      <c r="D169" s="590">
        <v>214400</v>
      </c>
      <c r="E169" s="164" t="s">
        <v>162</v>
      </c>
      <c r="F169" s="166">
        <v>3406</v>
      </c>
      <c r="G169" s="164" t="s">
        <v>169</v>
      </c>
      <c r="H169" s="259">
        <v>540991800</v>
      </c>
      <c r="I169" s="272">
        <v>0</v>
      </c>
      <c r="J169" s="272"/>
      <c r="K169" s="272"/>
      <c r="L169" s="259">
        <v>0</v>
      </c>
      <c r="M169" s="36"/>
      <c r="N169" s="36"/>
      <c r="O169" s="201">
        <f t="shared" si="100"/>
        <v>540991800</v>
      </c>
      <c r="Q169" s="636">
        <f>-SUMIF('1.0'!$D:$D,T_BS!D169,'1.0'!$J:$J)</f>
        <v>0</v>
      </c>
      <c r="R169" s="259">
        <f>-SUMIF('2.0'!$D:$D,T_BS!D169,'2.0'!$J:$J)</f>
        <v>0</v>
      </c>
      <c r="S169" s="36">
        <f>-ROUND(SUMIF('3.0'!$D:$D,T_BS!D169,'3.0'!$H:$H),0)</f>
        <v>0</v>
      </c>
      <c r="T169" s="272">
        <f>-ROUND(SUMIF('4.0'!$D:$D,T_BS!D169,'4.0'!$J:$J),0)</f>
        <v>0</v>
      </c>
      <c r="U169" s="36">
        <f>-ROUND(SUMIF('5.0'!$D:$D,T_BS!D169,'5.0'!$J:$J),0)</f>
        <v>0</v>
      </c>
      <c r="V169" s="272">
        <f>-ROUND(SUMIF('6.0'!$D:$D,T_BS!D169,'6.0'!$J:$J),0)</f>
        <v>0</v>
      </c>
      <c r="W169" s="272">
        <f>-ROUND(SUMIF('7.0'!$D:$D,T_BS!D169,'7.0'!$I:$I),0)</f>
        <v>0</v>
      </c>
      <c r="X169" s="272">
        <f>-ROUND(SUMIF('8.0'!$D:$D,T_BS!D169,'8.0'!$H:$H),0)</f>
        <v>0</v>
      </c>
      <c r="Y169" s="201">
        <f t="shared" si="108"/>
        <v>0</v>
      </c>
      <c r="AA169" s="215">
        <f t="shared" si="115"/>
        <v>540991800</v>
      </c>
    </row>
    <row r="170" spans="1:27" ht="18" customHeight="1">
      <c r="A170" s="28"/>
      <c r="D170" s="590">
        <v>214600</v>
      </c>
      <c r="E170" s="164" t="s">
        <v>162</v>
      </c>
      <c r="F170" s="166">
        <v>3406</v>
      </c>
      <c r="G170" s="164" t="s">
        <v>170</v>
      </c>
      <c r="H170" s="259">
        <v>34748333</v>
      </c>
      <c r="I170" s="272">
        <v>0</v>
      </c>
      <c r="J170" s="272"/>
      <c r="K170" s="272"/>
      <c r="L170" s="259">
        <v>0</v>
      </c>
      <c r="M170" s="36"/>
      <c r="N170" s="36"/>
      <c r="O170" s="201">
        <f t="shared" si="100"/>
        <v>34748333</v>
      </c>
      <c r="Q170" s="636">
        <f>-SUMIF('1.0'!$D:$D,T_BS!D170,'1.0'!$J:$J)</f>
        <v>0</v>
      </c>
      <c r="R170" s="259">
        <f>-SUMIF('2.0'!$D:$D,T_BS!D170,'2.0'!$J:$J)</f>
        <v>0</v>
      </c>
      <c r="S170" s="36">
        <f>-ROUND(SUMIF('3.0'!$D:$D,T_BS!D170,'3.0'!$H:$H),0)</f>
        <v>0</v>
      </c>
      <c r="T170" s="272">
        <f>-ROUND(SUMIF('4.0'!$D:$D,T_BS!D170,'4.0'!$J:$J),0)</f>
        <v>0</v>
      </c>
      <c r="U170" s="36">
        <f>-ROUND(SUMIF('5.0'!$D:$D,T_BS!D170,'5.0'!$J:$J),0)</f>
        <v>0</v>
      </c>
      <c r="V170" s="272">
        <f>-ROUND(SUMIF('6.0'!$D:$D,T_BS!D170,'6.0'!$J:$J),0)</f>
        <v>0</v>
      </c>
      <c r="W170" s="272">
        <f>-ROUND(SUMIF('7.0'!$D:$D,T_BS!D170,'7.0'!$I:$I),0)</f>
        <v>0</v>
      </c>
      <c r="X170" s="272">
        <f>-ROUND(SUMIF('8.0'!$D:$D,T_BS!D170,'8.0'!$H:$H),0)</f>
        <v>0</v>
      </c>
      <c r="Y170" s="201">
        <f t="shared" si="108"/>
        <v>0</v>
      </c>
      <c r="AA170" s="215">
        <f t="shared" si="115"/>
        <v>34748333</v>
      </c>
    </row>
    <row r="171" spans="1:27" ht="18" customHeight="1">
      <c r="A171" s="28"/>
      <c r="D171" s="590" t="s">
        <v>1902</v>
      </c>
      <c r="E171" s="164" t="s">
        <v>162</v>
      </c>
      <c r="F171" s="166">
        <v>3406</v>
      </c>
      <c r="G171" s="164" t="s">
        <v>1904</v>
      </c>
      <c r="H171" s="259">
        <v>0</v>
      </c>
      <c r="I171" s="272"/>
      <c r="J171" s="272"/>
      <c r="K171" s="272"/>
      <c r="L171" s="259">
        <v>0</v>
      </c>
      <c r="M171" s="36"/>
      <c r="N171" s="36"/>
      <c r="O171" s="201">
        <f t="shared" si="100"/>
        <v>0</v>
      </c>
      <c r="Q171" s="636"/>
      <c r="R171" s="259">
        <f>-SUMIF('2.0'!$D:$D,T_BS!D171,'2.0'!$J:$J)</f>
        <v>0</v>
      </c>
      <c r="S171" s="36">
        <f>-ROUND(SUMIF('3.0'!$D:$D,T_BS!D171,'3.0'!$H:$H),0)</f>
        <v>0</v>
      </c>
      <c r="T171" s="272">
        <f>-ROUND(SUMIF('4.0'!$D:$D,T_BS!D171,'4.0'!$J:$J),0)</f>
        <v>0</v>
      </c>
      <c r="U171" s="36">
        <f>-ROUND(SUMIF('5.0'!$D:$D,T_BS!D171,'5.0'!$J:$J),0)</f>
        <v>0</v>
      </c>
      <c r="V171" s="272">
        <f>-ROUND(SUMIF('6.0'!$D:$D,T_BS!D171,'6.0'!$J:$J),0)</f>
        <v>0</v>
      </c>
      <c r="W171" s="272">
        <f>-ROUND(SUMIF('7.0'!$D:$D,T_BS!D171,'7.0'!$I:$I),0)</f>
        <v>0</v>
      </c>
      <c r="X171" s="272">
        <f>-ROUND(SUMIF('8.0'!$D:$D,T_BS!D171,'8.0'!$H:$H),0)</f>
        <v>0</v>
      </c>
      <c r="Y171" s="201">
        <f t="shared" si="108"/>
        <v>0</v>
      </c>
      <c r="AA171" s="215">
        <f t="shared" si="115"/>
        <v>0</v>
      </c>
    </row>
    <row r="172" spans="1:27" ht="18" customHeight="1">
      <c r="A172" s="28"/>
      <c r="D172" s="590" t="s">
        <v>1903</v>
      </c>
      <c r="E172" s="164" t="s">
        <v>162</v>
      </c>
      <c r="F172" s="166">
        <v>3406</v>
      </c>
      <c r="G172" s="164" t="s">
        <v>1905</v>
      </c>
      <c r="H172" s="259">
        <v>302671985</v>
      </c>
      <c r="I172" s="272"/>
      <c r="J172" s="272"/>
      <c r="K172" s="272"/>
      <c r="L172" s="259">
        <v>0</v>
      </c>
      <c r="M172" s="36"/>
      <c r="N172" s="36"/>
      <c r="O172" s="201">
        <f t="shared" si="100"/>
        <v>302671985</v>
      </c>
      <c r="Q172" s="636"/>
      <c r="R172" s="259">
        <f>-SUMIF('2.0'!$D:$D,T_BS!D172,'2.0'!$J:$J)</f>
        <v>0</v>
      </c>
      <c r="S172" s="36">
        <f>-ROUND(SUMIF('3.0'!$D:$D,T_BS!D172,'3.0'!$H:$H),0)</f>
        <v>0</v>
      </c>
      <c r="T172" s="272">
        <f>-ROUND(SUMIF('4.0'!$D:$D,T_BS!D172,'4.0'!$J:$J),0)</f>
        <v>0</v>
      </c>
      <c r="U172" s="36">
        <f>-ROUND(SUMIF('5.0'!$D:$D,T_BS!D172,'5.0'!$J:$J),0)</f>
        <v>0</v>
      </c>
      <c r="V172" s="272">
        <f>-ROUND(SUMIF('6.0'!$D:$D,T_BS!D172,'6.0'!$J:$J),0)</f>
        <v>0</v>
      </c>
      <c r="W172" s="272">
        <f>-ROUND(SUMIF('7.0'!$D:$D,T_BS!D172,'7.0'!$I:$I),0)</f>
        <v>0</v>
      </c>
      <c r="X172" s="272">
        <f>-ROUND(SUMIF('8.0'!$D:$D,T_BS!D172,'8.0'!$H:$H),0)</f>
        <v>0</v>
      </c>
      <c r="Y172" s="201">
        <f t="shared" si="108"/>
        <v>0</v>
      </c>
      <c r="AA172" s="215">
        <f t="shared" si="115"/>
        <v>302671985</v>
      </c>
    </row>
    <row r="173" spans="1:27" ht="18" customHeight="1">
      <c r="A173" s="28"/>
      <c r="D173" s="590">
        <v>214700</v>
      </c>
      <c r="E173" s="164" t="s">
        <v>162</v>
      </c>
      <c r="F173" s="166">
        <v>3406</v>
      </c>
      <c r="G173" s="164" t="s">
        <v>171</v>
      </c>
      <c r="H173" s="259">
        <v>3330894565</v>
      </c>
      <c r="I173" s="272">
        <v>0</v>
      </c>
      <c r="J173" s="272"/>
      <c r="K173" s="272"/>
      <c r="L173" s="259">
        <v>0</v>
      </c>
      <c r="M173" s="36"/>
      <c r="N173" s="36"/>
      <c r="O173" s="201">
        <f t="shared" si="100"/>
        <v>3330894565</v>
      </c>
      <c r="Q173" s="636">
        <f>-SUMIF('1.0'!$D:$D,T_BS!D173,'1.0'!$J:$J)</f>
        <v>0</v>
      </c>
      <c r="R173" s="259">
        <f>-SUMIF('2.0'!$D:$D,T_BS!D173,'2.0'!$J:$J)</f>
        <v>0</v>
      </c>
      <c r="S173" s="36">
        <f>-ROUND(SUMIF('3.0'!$D:$D,T_BS!D173,'3.0'!$H:$H),0)</f>
        <v>0</v>
      </c>
      <c r="T173" s="272">
        <f>-ROUND(SUMIF('4.0'!$D:$D,T_BS!D173,'4.0'!$J:$J),0)</f>
        <v>0</v>
      </c>
      <c r="U173" s="36">
        <f>-ROUND(SUMIF('5.0'!$D:$D,T_BS!D173,'5.0'!$J:$J),0)</f>
        <v>0</v>
      </c>
      <c r="V173" s="272">
        <f>-ROUND(SUMIF('6.0'!$D:$D,T_BS!D173,'6.0'!$J:$J),0)</f>
        <v>0</v>
      </c>
      <c r="W173" s="272">
        <f>-ROUND(SUMIF('7.0'!$D:$D,T_BS!D173,'7.0'!$I:$I),0)</f>
        <v>0</v>
      </c>
      <c r="X173" s="272">
        <f>-ROUND(SUMIF('8.0'!$D:$D,T_BS!D173,'8.0'!$H:$H),0)</f>
        <v>0</v>
      </c>
      <c r="Y173" s="201">
        <f t="shared" si="108"/>
        <v>0</v>
      </c>
      <c r="AA173" s="215">
        <f t="shared" si="115"/>
        <v>3330894565</v>
      </c>
    </row>
    <row r="174" spans="1:27" ht="18" customHeight="1">
      <c r="A174" s="28"/>
      <c r="D174" s="590">
        <v>215100</v>
      </c>
      <c r="E174" s="164" t="s">
        <v>162</v>
      </c>
      <c r="F174" s="166">
        <v>3402</v>
      </c>
      <c r="G174" s="164" t="s">
        <v>172</v>
      </c>
      <c r="H174" s="259">
        <v>120750553</v>
      </c>
      <c r="I174" s="272">
        <v>0</v>
      </c>
      <c r="J174" s="272"/>
      <c r="K174" s="272"/>
      <c r="L174" s="259">
        <v>0</v>
      </c>
      <c r="M174" s="36"/>
      <c r="N174" s="36"/>
      <c r="O174" s="201">
        <f t="shared" si="100"/>
        <v>120750553</v>
      </c>
      <c r="Q174" s="636">
        <f>-SUMIF('1.0'!$D:$D,T_BS!D174,'1.0'!$J:$J)</f>
        <v>0</v>
      </c>
      <c r="R174" s="259">
        <f>-SUMIF('2.0'!$D:$D,T_BS!D174,'2.0'!$J:$J)</f>
        <v>0</v>
      </c>
      <c r="S174" s="36">
        <f>-ROUND(SUMIF('3.0'!$D:$D,T_BS!D174,'3.0'!$H:$H),0)</f>
        <v>0</v>
      </c>
      <c r="T174" s="272">
        <f>-ROUND(SUMIF('4.0'!$D:$D,T_BS!D174,'4.0'!$J:$J),0)</f>
        <v>0</v>
      </c>
      <c r="U174" s="36">
        <f>-ROUND(SUMIF('5.0'!$D:$D,T_BS!D174,'5.0'!$J:$J),0)</f>
        <v>0</v>
      </c>
      <c r="V174" s="272">
        <f>-ROUND(SUMIF('6.0'!$D:$D,T_BS!D174,'6.0'!$J:$J),0)</f>
        <v>0</v>
      </c>
      <c r="W174" s="272">
        <f>-ROUND(SUMIF('7.0'!$D:$D,T_BS!D174,'7.0'!$I:$I),0)</f>
        <v>0</v>
      </c>
      <c r="X174" s="272">
        <f>-ROUND(SUMIF('8.0'!$D:$D,T_BS!D174,'8.0'!$H:$H),0)</f>
        <v>0</v>
      </c>
      <c r="Y174" s="201">
        <f t="shared" si="108"/>
        <v>0</v>
      </c>
      <c r="AA174" s="215">
        <f t="shared" si="115"/>
        <v>120750553</v>
      </c>
    </row>
    <row r="175" spans="1:27" ht="18" customHeight="1">
      <c r="A175" s="28"/>
      <c r="D175" s="590">
        <v>215200</v>
      </c>
      <c r="E175" s="164" t="s">
        <v>162</v>
      </c>
      <c r="F175" s="166">
        <v>3402</v>
      </c>
      <c r="G175" s="164" t="s">
        <v>173</v>
      </c>
      <c r="H175" s="259">
        <v>10533174</v>
      </c>
      <c r="I175" s="272">
        <v>0</v>
      </c>
      <c r="J175" s="272"/>
      <c r="K175" s="272"/>
      <c r="L175" s="259">
        <v>0</v>
      </c>
      <c r="M175" s="36"/>
      <c r="N175" s="36"/>
      <c r="O175" s="201">
        <f t="shared" si="100"/>
        <v>10533174</v>
      </c>
      <c r="Q175" s="636">
        <f>-SUMIF('1.0'!$D:$D,T_BS!D175,'1.0'!$J:$J)</f>
        <v>0</v>
      </c>
      <c r="R175" s="259">
        <f>-SUMIF('2.0'!$D:$D,T_BS!D175,'2.0'!$J:$J)</f>
        <v>0</v>
      </c>
      <c r="S175" s="36">
        <f>-ROUND(SUMIF('3.0'!$D:$D,T_BS!D175,'3.0'!$H:$H),0)</f>
        <v>0</v>
      </c>
      <c r="T175" s="272">
        <f>-ROUND(SUMIF('4.0'!$D:$D,T_BS!D175,'4.0'!$J:$J),0)</f>
        <v>0</v>
      </c>
      <c r="U175" s="36">
        <f>-ROUND(SUMIF('5.0'!$D:$D,T_BS!D175,'5.0'!$J:$J),0)</f>
        <v>0</v>
      </c>
      <c r="V175" s="272">
        <f>-ROUND(SUMIF('6.0'!$D:$D,T_BS!D175,'6.0'!$J:$J),0)</f>
        <v>0</v>
      </c>
      <c r="W175" s="272">
        <f>-ROUND(SUMIF('7.0'!$D:$D,T_BS!D175,'7.0'!$I:$I),0)</f>
        <v>0</v>
      </c>
      <c r="X175" s="272">
        <f>-ROUND(SUMIF('8.0'!$D:$D,T_BS!D175,'8.0'!$H:$H),0)</f>
        <v>0</v>
      </c>
      <c r="Y175" s="201">
        <f t="shared" si="108"/>
        <v>0</v>
      </c>
      <c r="AA175" s="215">
        <f t="shared" si="115"/>
        <v>10533174</v>
      </c>
    </row>
    <row r="176" spans="1:27" ht="18" customHeight="1">
      <c r="A176" s="28"/>
      <c r="D176" s="590">
        <v>215300</v>
      </c>
      <c r="E176" s="164" t="s">
        <v>162</v>
      </c>
      <c r="F176" s="166">
        <v>3402</v>
      </c>
      <c r="G176" s="164" t="s">
        <v>174</v>
      </c>
      <c r="H176" s="259">
        <v>-1451850</v>
      </c>
      <c r="I176" s="272">
        <v>0</v>
      </c>
      <c r="J176" s="272"/>
      <c r="K176" s="272"/>
      <c r="L176" s="259">
        <v>0</v>
      </c>
      <c r="M176" s="36"/>
      <c r="N176" s="36"/>
      <c r="O176" s="201">
        <f t="shared" si="100"/>
        <v>-1451850</v>
      </c>
      <c r="Q176" s="636">
        <f>-SUMIF('1.0'!$D:$D,T_BS!D176,'1.0'!$J:$J)</f>
        <v>0</v>
      </c>
      <c r="R176" s="259">
        <f>-SUMIF('2.0'!$D:$D,T_BS!D176,'2.0'!$J:$J)</f>
        <v>0</v>
      </c>
      <c r="S176" s="36">
        <f>-ROUND(SUMIF('3.0'!$D:$D,T_BS!D176,'3.0'!$H:$H),0)</f>
        <v>0</v>
      </c>
      <c r="T176" s="272">
        <f>-ROUND(SUMIF('4.0'!$D:$D,T_BS!D176,'4.0'!$J:$J),0)</f>
        <v>0</v>
      </c>
      <c r="U176" s="36">
        <f>-ROUND(SUMIF('5.0'!$D:$D,T_BS!D176,'5.0'!$J:$J),0)</f>
        <v>0</v>
      </c>
      <c r="V176" s="272">
        <f>-ROUND(SUMIF('6.0'!$D:$D,T_BS!D176,'6.0'!$J:$J),0)</f>
        <v>0</v>
      </c>
      <c r="W176" s="272">
        <f>-ROUND(SUMIF('7.0'!$D:$D,T_BS!D176,'7.0'!$I:$I),0)</f>
        <v>0</v>
      </c>
      <c r="X176" s="272">
        <f>-ROUND(SUMIF('8.0'!$D:$D,T_BS!D176,'8.0'!$H:$H),0)</f>
        <v>0</v>
      </c>
      <c r="Y176" s="201">
        <f t="shared" si="108"/>
        <v>0</v>
      </c>
      <c r="AA176" s="215">
        <f t="shared" si="115"/>
        <v>-1451850</v>
      </c>
    </row>
    <row r="177" spans="1:29" ht="18" customHeight="1">
      <c r="A177" s="28"/>
      <c r="D177" s="590">
        <v>215400</v>
      </c>
      <c r="E177" s="164" t="s">
        <v>162</v>
      </c>
      <c r="F177" s="166">
        <v>3402</v>
      </c>
      <c r="G177" s="164" t="s">
        <v>175</v>
      </c>
      <c r="H177" s="259">
        <v>1710365</v>
      </c>
      <c r="I177" s="272">
        <v>0</v>
      </c>
      <c r="J177" s="272"/>
      <c r="K177" s="272"/>
      <c r="L177" s="259">
        <v>0</v>
      </c>
      <c r="M177" s="36"/>
      <c r="N177" s="36"/>
      <c r="O177" s="201">
        <f t="shared" si="100"/>
        <v>1710365</v>
      </c>
      <c r="Q177" s="636">
        <f>-SUMIF('1.0'!$D:$D,T_BS!D177,'1.0'!$J:$J)</f>
        <v>0</v>
      </c>
      <c r="R177" s="259">
        <f>-SUMIF('2.0'!$D:$D,T_BS!D177,'2.0'!$J:$J)</f>
        <v>0</v>
      </c>
      <c r="S177" s="36">
        <f>-ROUND(SUMIF('3.0'!$D:$D,T_BS!D177,'3.0'!$H:$H),0)</f>
        <v>0</v>
      </c>
      <c r="T177" s="272">
        <f>-ROUND(SUMIF('4.0'!$D:$D,T_BS!D177,'4.0'!$J:$J),0)</f>
        <v>0</v>
      </c>
      <c r="U177" s="36">
        <f>-ROUND(SUMIF('5.0'!$D:$D,T_BS!D177,'5.0'!$J:$J),0)</f>
        <v>0</v>
      </c>
      <c r="V177" s="272">
        <f>-ROUND(SUMIF('6.0'!$D:$D,T_BS!D177,'6.0'!$J:$J),0)</f>
        <v>0</v>
      </c>
      <c r="W177" s="272">
        <f>-ROUND(SUMIF('7.0'!$D:$D,T_BS!D177,'7.0'!$I:$I),0)</f>
        <v>0</v>
      </c>
      <c r="X177" s="272">
        <f>-ROUND(SUMIF('8.0'!$D:$D,T_BS!D177,'8.0'!$H:$H),0)</f>
        <v>0</v>
      </c>
      <c r="Y177" s="201">
        <f t="shared" si="108"/>
        <v>0</v>
      </c>
      <c r="AA177" s="215">
        <f t="shared" si="115"/>
        <v>1710365</v>
      </c>
    </row>
    <row r="178" spans="1:29" ht="18" customHeight="1">
      <c r="A178" s="28"/>
      <c r="D178" s="590">
        <v>215500</v>
      </c>
      <c r="E178" s="164" t="s">
        <v>162</v>
      </c>
      <c r="F178" s="166">
        <v>3402</v>
      </c>
      <c r="G178" s="164" t="s">
        <v>176</v>
      </c>
      <c r="H178" s="259">
        <v>8949340</v>
      </c>
      <c r="I178" s="272">
        <v>0</v>
      </c>
      <c r="J178" s="272"/>
      <c r="K178" s="272"/>
      <c r="L178" s="259">
        <v>0</v>
      </c>
      <c r="M178" s="36"/>
      <c r="N178" s="36"/>
      <c r="O178" s="201">
        <f t="shared" si="100"/>
        <v>8949340</v>
      </c>
      <c r="Q178" s="636">
        <f>-SUMIF('1.0'!$D:$D,T_BS!D178,'1.0'!$J:$J)</f>
        <v>0</v>
      </c>
      <c r="R178" s="259">
        <f>-SUMIF('2.0'!$D:$D,T_BS!D178,'2.0'!$J:$J)</f>
        <v>0</v>
      </c>
      <c r="S178" s="36">
        <f>-ROUND(SUMIF('3.0'!$D:$D,T_BS!D178,'3.0'!$H:$H),0)</f>
        <v>0</v>
      </c>
      <c r="T178" s="272">
        <f>-ROUND(SUMIF('4.0'!$D:$D,T_BS!D178,'4.0'!$J:$J),0)</f>
        <v>0</v>
      </c>
      <c r="U178" s="36">
        <f>-ROUND(SUMIF('5.0'!$D:$D,T_BS!D178,'5.0'!$J:$J),0)</f>
        <v>0</v>
      </c>
      <c r="V178" s="272">
        <f>-ROUND(SUMIF('6.0'!$D:$D,T_BS!D178,'6.0'!$J:$J),0)</f>
        <v>0</v>
      </c>
      <c r="W178" s="272">
        <f>-ROUND(SUMIF('7.0'!$D:$D,T_BS!D178,'7.0'!$I:$I),0)</f>
        <v>0</v>
      </c>
      <c r="X178" s="272">
        <f>-ROUND(SUMIF('8.0'!$D:$D,T_BS!D178,'8.0'!$H:$H),0)</f>
        <v>0</v>
      </c>
      <c r="Y178" s="201">
        <f t="shared" si="108"/>
        <v>0</v>
      </c>
      <c r="AA178" s="215">
        <f t="shared" si="115"/>
        <v>8949340</v>
      </c>
    </row>
    <row r="179" spans="1:29" ht="18" customHeight="1">
      <c r="A179" s="28"/>
      <c r="D179" s="590">
        <v>215900</v>
      </c>
      <c r="E179" s="164" t="s">
        <v>162</v>
      </c>
      <c r="F179" s="166">
        <v>3402</v>
      </c>
      <c r="G179" s="164" t="s">
        <v>177</v>
      </c>
      <c r="H179" s="259">
        <v>28387170</v>
      </c>
      <c r="I179" s="272">
        <v>0</v>
      </c>
      <c r="J179" s="272"/>
      <c r="K179" s="272"/>
      <c r="L179" s="259">
        <v>10311724</v>
      </c>
      <c r="M179" s="36"/>
      <c r="N179" s="36"/>
      <c r="O179" s="201">
        <f t="shared" si="100"/>
        <v>38698894</v>
      </c>
      <c r="Q179" s="636">
        <f>-SUMIF('1.0'!$D:$D,T_BS!D179,'1.0'!$J:$J)</f>
        <v>0</v>
      </c>
      <c r="R179" s="259">
        <f>-SUMIF('2.0'!$D:$D,T_BS!D179,'2.0'!$J:$J)</f>
        <v>0</v>
      </c>
      <c r="S179" s="36">
        <f>-ROUND(SUMIF('3.0'!$D:$D,T_BS!D179,'3.0'!$H:$H),0)</f>
        <v>0</v>
      </c>
      <c r="T179" s="272">
        <f>-ROUND(SUMIF('4.0'!$D:$D,T_BS!D179,'4.0'!$J:$J),0)</f>
        <v>0</v>
      </c>
      <c r="U179" s="36">
        <f>-ROUND(SUMIF('5.0'!$D:$D,T_BS!D179,'5.0'!$J:$J),0)</f>
        <v>0</v>
      </c>
      <c r="V179" s="272">
        <f>-ROUND(SUMIF('6.0'!$D:$D,T_BS!D179,'6.0'!$J:$J),0)</f>
        <v>0</v>
      </c>
      <c r="W179" s="272">
        <f>-ROUND(SUMIF('7.0'!$D:$D,T_BS!D179,'7.0'!$I:$I),0)</f>
        <v>0</v>
      </c>
      <c r="X179" s="272">
        <f>-ROUND(SUMIF('8.0'!$D:$D,T_BS!D179,'8.0'!$H:$H),0)</f>
        <v>0</v>
      </c>
      <c r="Y179" s="201">
        <f t="shared" si="108"/>
        <v>0</v>
      </c>
      <c r="AA179" s="215">
        <f t="shared" si="115"/>
        <v>38698894</v>
      </c>
    </row>
    <row r="180" spans="1:29" ht="18" customHeight="1">
      <c r="A180" s="28"/>
      <c r="D180" s="590">
        <v>215700</v>
      </c>
      <c r="E180" s="164" t="s">
        <v>162</v>
      </c>
      <c r="F180" s="166">
        <v>3402</v>
      </c>
      <c r="G180" s="164" t="s">
        <v>178</v>
      </c>
      <c r="H180" s="259">
        <v>0</v>
      </c>
      <c r="I180" s="272">
        <v>0</v>
      </c>
      <c r="J180" s="272"/>
      <c r="K180" s="272"/>
      <c r="L180" s="259">
        <v>0</v>
      </c>
      <c r="M180" s="36"/>
      <c r="N180" s="36"/>
      <c r="O180" s="201">
        <f t="shared" si="100"/>
        <v>0</v>
      </c>
      <c r="Q180" s="636">
        <f>-SUMIF('1.0'!$D:$D,T_BS!D180,'1.0'!$J:$J)</f>
        <v>0</v>
      </c>
      <c r="R180" s="259">
        <f>-SUMIF('2.0'!$D:$D,T_BS!D180,'2.0'!$J:$J)</f>
        <v>0</v>
      </c>
      <c r="S180" s="36">
        <f>-ROUND(SUMIF('3.0'!$D:$D,T_BS!D180,'3.0'!$H:$H),0)</f>
        <v>0</v>
      </c>
      <c r="T180" s="272">
        <f>-ROUND(SUMIF('4.0'!$D:$D,T_BS!D180,'4.0'!$J:$J),0)</f>
        <v>0</v>
      </c>
      <c r="U180" s="36">
        <f>-ROUND(SUMIF('5.0'!$D:$D,T_BS!D180,'5.0'!$J:$J),0)</f>
        <v>0</v>
      </c>
      <c r="V180" s="272">
        <f>-ROUND(SUMIF('6.0'!$D:$D,T_BS!D180,'6.0'!$J:$J),0)</f>
        <v>0</v>
      </c>
      <c r="W180" s="272">
        <f>-ROUND(SUMIF('7.0'!$D:$D,T_BS!D180,'7.0'!$I:$I),0)</f>
        <v>0</v>
      </c>
      <c r="X180" s="272">
        <f>-ROUND(SUMIF('8.0'!$D:$D,T_BS!D180,'8.0'!$H:$H),0)</f>
        <v>0</v>
      </c>
      <c r="Y180" s="201">
        <f t="shared" si="108"/>
        <v>0</v>
      </c>
      <c r="AA180" s="215">
        <f t="shared" si="115"/>
        <v>0</v>
      </c>
    </row>
    <row r="181" spans="1:29" ht="18" customHeight="1">
      <c r="A181" s="28"/>
      <c r="D181" s="590">
        <v>215800</v>
      </c>
      <c r="E181" s="164" t="s">
        <v>162</v>
      </c>
      <c r="F181" s="166">
        <v>3402</v>
      </c>
      <c r="G181" s="164" t="s">
        <v>179</v>
      </c>
      <c r="H181" s="259">
        <v>4954273310</v>
      </c>
      <c r="I181" s="272">
        <v>0</v>
      </c>
      <c r="J181" s="272"/>
      <c r="K181" s="272"/>
      <c r="L181" s="259">
        <v>0</v>
      </c>
      <c r="M181" s="36"/>
      <c r="N181" s="36"/>
      <c r="O181" s="201">
        <f t="shared" si="100"/>
        <v>4954273310</v>
      </c>
      <c r="Q181" s="636">
        <f>-SUMIF('1.0'!$D:$D,T_BS!D181,'1.0'!$J:$J)</f>
        <v>0</v>
      </c>
      <c r="R181" s="259">
        <f>-SUMIF('2.0'!$D:$D,T_BS!D181,'2.0'!$J:$J)</f>
        <v>0</v>
      </c>
      <c r="S181" s="36">
        <f>-ROUND(SUMIF('3.0'!$D:$D,T_BS!D181,'3.0'!$H:$H),0)</f>
        <v>0</v>
      </c>
      <c r="T181" s="272">
        <f>-ROUND(SUMIF('4.0'!$D:$D,T_BS!D181,'4.0'!$J:$J),0)</f>
        <v>0</v>
      </c>
      <c r="U181" s="36">
        <f>-ROUND(SUMIF('5.0'!$D:$D,T_BS!D181,'5.0'!$J:$J),0)</f>
        <v>0</v>
      </c>
      <c r="V181" s="272">
        <f>-ROUND(SUMIF('6.0'!$D:$D,T_BS!D181,'6.0'!$J:$J),0)</f>
        <v>0</v>
      </c>
      <c r="W181" s="272">
        <f>-ROUND(SUMIF('7.0'!$D:$D,T_BS!D181,'7.0'!$I:$I),0)</f>
        <v>0</v>
      </c>
      <c r="X181" s="272">
        <f>-ROUND(SUMIF('8.0'!$D:$D,T_BS!D181,'8.0'!$H:$H),0)</f>
        <v>0</v>
      </c>
      <c r="Y181" s="201">
        <f t="shared" si="108"/>
        <v>0</v>
      </c>
      <c r="AA181" s="215">
        <f t="shared" si="115"/>
        <v>4954273310</v>
      </c>
    </row>
    <row r="182" spans="1:29" ht="18" customHeight="1">
      <c r="A182" s="28"/>
      <c r="D182" s="590">
        <v>219000</v>
      </c>
      <c r="E182" s="164" t="s">
        <v>162</v>
      </c>
      <c r="F182" s="166">
        <v>219000</v>
      </c>
      <c r="G182" s="164" t="s">
        <v>180</v>
      </c>
      <c r="H182" s="259">
        <v>764545427</v>
      </c>
      <c r="I182" s="272">
        <v>0</v>
      </c>
      <c r="J182" s="272"/>
      <c r="K182" s="272"/>
      <c r="L182" s="259">
        <v>11033501</v>
      </c>
      <c r="M182" s="36"/>
      <c r="N182" s="36"/>
      <c r="O182" s="201">
        <f t="shared" si="100"/>
        <v>775578928</v>
      </c>
      <c r="Q182" s="636">
        <f>-SUMIF('1.0'!$D:$D,T_BS!D182,'1.0'!$J:$J)</f>
        <v>0</v>
      </c>
      <c r="R182" s="259">
        <f>-SUMIF('2.0'!$D:$D,T_BS!D182,'2.0'!$J:$J)</f>
        <v>0</v>
      </c>
      <c r="S182" s="36">
        <f>-ROUND(SUMIF('3.0'!$D:$D,T_BS!D182,'3.0'!$H:$H),0)</f>
        <v>0</v>
      </c>
      <c r="T182" s="272">
        <f>-ROUND(SUMIF('4.0'!$D:$D,T_BS!D182,'4.0'!$J:$J),0)</f>
        <v>0</v>
      </c>
      <c r="U182" s="36">
        <f>-ROUND(SUMIF('5.0'!$D:$D,T_BS!D182,'5.0'!$J:$J),0)</f>
        <v>0</v>
      </c>
      <c r="V182" s="272">
        <f>-ROUND(SUMIF('6.0'!$D:$D,T_BS!D182,'6.0'!$J:$J),0)</f>
        <v>0</v>
      </c>
      <c r="W182" s="272">
        <f>-ROUND(SUMIF('7.0'!$D:$D,T_BS!D182,'7.0'!$I:$I),0)</f>
        <v>0</v>
      </c>
      <c r="X182" s="272">
        <f>-ROUND(SUMIF('8.0'!$D:$D,T_BS!D182,'8.0'!$H:$H),0)</f>
        <v>0</v>
      </c>
      <c r="Y182" s="201">
        <f t="shared" si="108"/>
        <v>0</v>
      </c>
      <c r="AA182" s="215">
        <f t="shared" si="115"/>
        <v>775578928</v>
      </c>
    </row>
    <row r="183" spans="1:29" ht="18" customHeight="1">
      <c r="A183" s="28"/>
      <c r="D183" s="590">
        <v>223100</v>
      </c>
      <c r="E183" s="164" t="s">
        <v>162</v>
      </c>
      <c r="F183" s="166">
        <v>3404</v>
      </c>
      <c r="G183" s="164" t="s">
        <v>181</v>
      </c>
      <c r="H183" s="259">
        <v>369496026</v>
      </c>
      <c r="I183" s="272">
        <v>0</v>
      </c>
      <c r="J183" s="272"/>
      <c r="K183" s="272"/>
      <c r="L183" s="259">
        <v>0</v>
      </c>
      <c r="M183" s="36"/>
      <c r="N183" s="36"/>
      <c r="O183" s="201">
        <f t="shared" si="100"/>
        <v>369496026</v>
      </c>
      <c r="Q183" s="636">
        <f>-SUMIF('1.0'!$D:$D,T_BS!D183,'1.0'!$J:$J)</f>
        <v>0</v>
      </c>
      <c r="R183" s="259">
        <f>-SUMIF('2.0'!$D:$D,T_BS!D183,'2.0'!$J:$J)</f>
        <v>0</v>
      </c>
      <c r="S183" s="36">
        <f>-ROUND(SUMIF('3.0'!$D:$D,T_BS!D183,'3.0'!$H:$H),0)</f>
        <v>0</v>
      </c>
      <c r="T183" s="272">
        <f>-ROUND(SUMIF('4.0'!$D:$D,T_BS!D183,'4.0'!$J:$J),0)</f>
        <v>0</v>
      </c>
      <c r="U183" s="36">
        <f>-ROUND(SUMIF('5.0'!$D:$D,T_BS!D183,'5.0'!$J:$J),0)</f>
        <v>0</v>
      </c>
      <c r="V183" s="272">
        <f>-ROUND(SUMIF('6.0'!$D:$D,T_BS!D183,'6.0'!$J:$J),0)</f>
        <v>0</v>
      </c>
      <c r="W183" s="272">
        <f>-ROUND(SUMIF('7.0'!$D:$D,T_BS!D183,'7.0'!$I:$I),0)</f>
        <v>0</v>
      </c>
      <c r="X183" s="272">
        <f>-ROUND(SUMIF('8.0'!$D:$D,T_BS!D183,'8.0'!$H:$H),0)</f>
        <v>0</v>
      </c>
      <c r="Y183" s="201">
        <f t="shared" si="108"/>
        <v>0</v>
      </c>
      <c r="AA183" s="215">
        <f t="shared" si="115"/>
        <v>369496026</v>
      </c>
    </row>
    <row r="184" spans="1:29" ht="18" customHeight="1">
      <c r="A184" s="28"/>
      <c r="D184" s="590">
        <v>223130</v>
      </c>
      <c r="E184" s="164" t="s">
        <v>162</v>
      </c>
      <c r="F184" s="166">
        <v>3406</v>
      </c>
      <c r="G184" s="164" t="s">
        <v>182</v>
      </c>
      <c r="H184" s="259">
        <v>379606727</v>
      </c>
      <c r="I184" s="272">
        <v>0</v>
      </c>
      <c r="J184" s="272"/>
      <c r="K184" s="272"/>
      <c r="L184" s="259">
        <v>0</v>
      </c>
      <c r="M184" s="36"/>
      <c r="N184" s="36"/>
      <c r="O184" s="201">
        <f t="shared" si="100"/>
        <v>379606727</v>
      </c>
      <c r="Q184" s="636">
        <f>-SUMIF('1.0'!$D:$D,T_BS!D184,'1.0'!$J:$J)</f>
        <v>0</v>
      </c>
      <c r="R184" s="259">
        <f>-SUMIF('2.0'!$D:$D,T_BS!D184,'2.0'!$J:$J)</f>
        <v>0</v>
      </c>
      <c r="S184" s="36">
        <f>-ROUND(SUMIF('3.0'!$D:$D,T_BS!D184,'3.0'!$H:$H),0)</f>
        <v>0</v>
      </c>
      <c r="T184" s="272">
        <f>-ROUND(SUMIF('4.0'!$D:$D,T_BS!D184,'4.0'!$J:$J),0)</f>
        <v>0</v>
      </c>
      <c r="U184" s="36">
        <f>-ROUND(SUMIF('5.0'!$D:$D,T_BS!D184,'5.0'!$J:$J),0)</f>
        <v>0</v>
      </c>
      <c r="V184" s="272">
        <f>-ROUND(SUMIF('6.0'!$D:$D,T_BS!D184,'6.0'!$J:$J),0)</f>
        <v>0</v>
      </c>
      <c r="W184" s="272">
        <f>-ROUND(SUMIF('7.0'!$D:$D,T_BS!D184,'7.0'!$I:$I),0)</f>
        <v>0</v>
      </c>
      <c r="X184" s="272">
        <f>-ROUND(SUMIF('8.0'!$D:$D,T_BS!D184,'8.0'!$H:$H),0)</f>
        <v>0</v>
      </c>
      <c r="Y184" s="201">
        <f t="shared" si="108"/>
        <v>0</v>
      </c>
      <c r="AA184" s="215">
        <f t="shared" si="115"/>
        <v>379606727</v>
      </c>
    </row>
    <row r="185" spans="1:29" ht="18" customHeight="1">
      <c r="A185" s="28"/>
      <c r="D185" s="586"/>
      <c r="E185" s="587"/>
      <c r="F185" s="588"/>
      <c r="G185" s="587" t="s">
        <v>183</v>
      </c>
      <c r="H185" s="52">
        <f>H186</f>
        <v>2150155385</v>
      </c>
      <c r="I185" s="52">
        <f t="shared" ref="I185:O185" si="116">I186</f>
        <v>12638925</v>
      </c>
      <c r="J185" s="52">
        <f t="shared" si="116"/>
        <v>0</v>
      </c>
      <c r="K185" s="52">
        <f t="shared" si="116"/>
        <v>0</v>
      </c>
      <c r="L185" s="52">
        <f t="shared" si="116"/>
        <v>387897556</v>
      </c>
      <c r="M185" s="52">
        <f t="shared" si="116"/>
        <v>0</v>
      </c>
      <c r="N185" s="52">
        <f t="shared" si="116"/>
        <v>0</v>
      </c>
      <c r="O185" s="589">
        <f t="shared" si="116"/>
        <v>2550691866</v>
      </c>
      <c r="Q185" s="634">
        <f t="shared" ref="Q185:AA185" si="117">Q186</f>
        <v>0</v>
      </c>
      <c r="R185" s="52">
        <f t="shared" si="117"/>
        <v>0</v>
      </c>
      <c r="S185" s="52">
        <f t="shared" si="117"/>
        <v>0</v>
      </c>
      <c r="T185" s="52">
        <f t="shared" si="117"/>
        <v>0</v>
      </c>
      <c r="U185" s="52">
        <f t="shared" si="117"/>
        <v>0</v>
      </c>
      <c r="V185" s="52">
        <f t="shared" si="117"/>
        <v>0</v>
      </c>
      <c r="W185" s="52">
        <f t="shared" si="117"/>
        <v>0</v>
      </c>
      <c r="X185" s="52">
        <f t="shared" si="117"/>
        <v>0</v>
      </c>
      <c r="Y185" s="589">
        <f t="shared" si="117"/>
        <v>0</v>
      </c>
      <c r="AA185" s="614">
        <f t="shared" si="117"/>
        <v>2550691866</v>
      </c>
    </row>
    <row r="186" spans="1:29" ht="18" customHeight="1">
      <c r="A186" s="28"/>
      <c r="D186" s="590">
        <v>223110</v>
      </c>
      <c r="E186" s="164" t="s">
        <v>1751</v>
      </c>
      <c r="F186" s="166">
        <v>3504</v>
      </c>
      <c r="G186" s="164" t="s">
        <v>183</v>
      </c>
      <c r="H186" s="259">
        <v>2150155385</v>
      </c>
      <c r="I186" s="272">
        <v>12638925</v>
      </c>
      <c r="J186" s="272"/>
      <c r="K186" s="272"/>
      <c r="L186" s="259">
        <v>387897556</v>
      </c>
      <c r="M186" s="36"/>
      <c r="N186" s="36">
        <v>0</v>
      </c>
      <c r="O186" s="201">
        <f t="shared" si="100"/>
        <v>2550691866</v>
      </c>
      <c r="Q186" s="636">
        <f>-SUMIF('1.0'!$D:$D,T_BS!D186,'1.0'!$J:$J)</f>
        <v>0</v>
      </c>
      <c r="R186" s="259">
        <f>-SUMIF('2.0'!$D:$D,T_BS!D186,'2.0'!$J:$J)</f>
        <v>0</v>
      </c>
      <c r="S186" s="36">
        <f>-ROUND(SUMIF('3.0'!$D:$D,T_BS!D186,'3.0'!$H:$H),0)</f>
        <v>0</v>
      </c>
      <c r="T186" s="272">
        <f>-ROUND(SUMIF('4.0'!$D:$D,T_BS!D186,'4.0'!$J:$J),0)</f>
        <v>0</v>
      </c>
      <c r="U186" s="36">
        <f>-ROUND(SUMIF('5.0'!$D:$D,T_BS!D186,'5.0'!$J:$J),0)</f>
        <v>0</v>
      </c>
      <c r="V186" s="272">
        <f>-ROUND(SUMIF('6.0'!$D:$D,T_BS!D186,'6.0'!$J:$J),0)</f>
        <v>0</v>
      </c>
      <c r="W186" s="272">
        <f>-ROUND(SUMIF('7.0'!$D:$D,T_BS!D186,'7.0'!$I:$I),0)</f>
        <v>0</v>
      </c>
      <c r="X186" s="272">
        <f>-ROUND(SUMIF('8.0'!$D:$D,T_BS!D186,'8.0'!$H:$H),0)</f>
        <v>0</v>
      </c>
      <c r="Y186" s="201">
        <f t="shared" si="108"/>
        <v>0</v>
      </c>
      <c r="AA186" s="215">
        <f t="shared" ref="AA186" si="118">Y186+O186</f>
        <v>2550691866</v>
      </c>
      <c r="AC186" s="641"/>
    </row>
    <row r="187" spans="1:29" s="29" customFormat="1" ht="18" customHeight="1">
      <c r="A187" s="28"/>
      <c r="B187" s="162"/>
      <c r="C187" s="162"/>
      <c r="D187" s="586"/>
      <c r="E187" s="587"/>
      <c r="F187" s="588"/>
      <c r="G187" s="587" t="s">
        <v>219</v>
      </c>
      <c r="H187" s="52">
        <f>H188</f>
        <v>0</v>
      </c>
      <c r="I187" s="52">
        <f t="shared" ref="I187:O187" si="119">I188</f>
        <v>0</v>
      </c>
      <c r="J187" s="52">
        <f t="shared" si="119"/>
        <v>0</v>
      </c>
      <c r="K187" s="52">
        <f t="shared" si="119"/>
        <v>0</v>
      </c>
      <c r="L187" s="52">
        <f t="shared" si="119"/>
        <v>61759957</v>
      </c>
      <c r="M187" s="52">
        <f t="shared" si="119"/>
        <v>0</v>
      </c>
      <c r="N187" s="52">
        <f t="shared" si="119"/>
        <v>0</v>
      </c>
      <c r="O187" s="589">
        <f t="shared" si="119"/>
        <v>61759957</v>
      </c>
      <c r="P187" s="643"/>
      <c r="Q187" s="634">
        <f t="shared" ref="Q187:AA187" si="120">Q188</f>
        <v>0</v>
      </c>
      <c r="R187" s="52">
        <f t="shared" si="120"/>
        <v>0</v>
      </c>
      <c r="S187" s="52">
        <f t="shared" si="120"/>
        <v>0</v>
      </c>
      <c r="T187" s="52">
        <f t="shared" si="120"/>
        <v>0</v>
      </c>
      <c r="U187" s="52">
        <f t="shared" si="120"/>
        <v>0</v>
      </c>
      <c r="V187" s="52">
        <f t="shared" si="120"/>
        <v>0</v>
      </c>
      <c r="W187" s="52">
        <f t="shared" si="120"/>
        <v>0</v>
      </c>
      <c r="X187" s="52">
        <f t="shared" si="120"/>
        <v>0</v>
      </c>
      <c r="Y187" s="589">
        <f t="shared" si="120"/>
        <v>0</v>
      </c>
      <c r="AA187" s="614">
        <f t="shared" si="120"/>
        <v>61759957</v>
      </c>
      <c r="AC187" s="620"/>
    </row>
    <row r="188" spans="1:29" ht="18" customHeight="1">
      <c r="A188" s="28"/>
      <c r="D188" s="644" t="s">
        <v>1355</v>
      </c>
      <c r="E188" s="164" t="s">
        <v>1752</v>
      </c>
      <c r="F188" s="166">
        <v>3201</v>
      </c>
      <c r="G188" s="164" t="s">
        <v>219</v>
      </c>
      <c r="H188" s="259">
        <v>0</v>
      </c>
      <c r="I188" s="272">
        <v>0</v>
      </c>
      <c r="J188" s="272"/>
      <c r="K188" s="272">
        <v>0</v>
      </c>
      <c r="L188" s="259">
        <v>61759957</v>
      </c>
      <c r="M188" s="36"/>
      <c r="N188" s="36"/>
      <c r="O188" s="201">
        <f t="shared" si="100"/>
        <v>61759957</v>
      </c>
      <c r="Q188" s="636">
        <f>-SUMIF('1.0'!$D:$D,T_BS!D188,'1.0'!$J:$J)</f>
        <v>0</v>
      </c>
      <c r="R188" s="259">
        <f>-SUMIF('2.0'!$D:$D,T_BS!D188,'2.0'!$J:$J)</f>
        <v>0</v>
      </c>
      <c r="S188" s="36">
        <f>-ROUND(SUMIF('3.0'!$D:$D,T_BS!D188,'3.0'!$H:$H),0)</f>
        <v>0</v>
      </c>
      <c r="T188" s="272">
        <f>-ROUND(SUMIF('4.0'!$D:$D,T_BS!D188,'4.0'!$J:$J),0)</f>
        <v>0</v>
      </c>
      <c r="U188" s="36">
        <f>-ROUND(SUMIF('5.0'!$D:$D,T_BS!D188,'5.0'!$J:$J),0)</f>
        <v>0</v>
      </c>
      <c r="V188" s="272">
        <f>-ROUND(SUMIF('6.0'!$D:$D,T_BS!D188,'6.0'!$J:$J),0)</f>
        <v>0</v>
      </c>
      <c r="W188" s="272">
        <f>-ROUND(SUMIF('7.0'!$D:$D,T_BS!D188,'7.0'!$I:$I),0)</f>
        <v>0</v>
      </c>
      <c r="X188" s="272">
        <f>-ROUND(SUMIF('8.0'!$D:$D,T_BS!D188,'8.0'!$H:$H),0)</f>
        <v>0</v>
      </c>
      <c r="Y188" s="201">
        <f t="shared" si="108"/>
        <v>0</v>
      </c>
      <c r="AA188" s="215">
        <f t="shared" ref="AA188" si="121">Y188+O188</f>
        <v>61759957</v>
      </c>
    </row>
    <row r="189" spans="1:29" ht="18" customHeight="1">
      <c r="A189" s="28"/>
      <c r="D189" s="583"/>
      <c r="E189" s="584"/>
      <c r="F189" s="585"/>
      <c r="G189" s="584" t="s">
        <v>184</v>
      </c>
      <c r="H189" s="49">
        <f>SUM(H190,H193,H195)+H197+H199</f>
        <v>1974632703</v>
      </c>
      <c r="I189" s="49">
        <f t="shared" ref="I189:O189" si="122">SUM(I190,I193,I195)+I197+I199</f>
        <v>25355301</v>
      </c>
      <c r="J189" s="49">
        <f t="shared" si="122"/>
        <v>0</v>
      </c>
      <c r="K189" s="49">
        <f t="shared" si="122"/>
        <v>0</v>
      </c>
      <c r="L189" s="49">
        <f t="shared" si="122"/>
        <v>40674080</v>
      </c>
      <c r="M189" s="49">
        <f t="shared" si="122"/>
        <v>0</v>
      </c>
      <c r="N189" s="49">
        <f t="shared" si="122"/>
        <v>0</v>
      </c>
      <c r="O189" s="340">
        <f t="shared" si="122"/>
        <v>2040662084</v>
      </c>
      <c r="Q189" s="325">
        <f t="shared" ref="Q189" si="123">SUM(Q190,Q193,Q195)+Q197</f>
        <v>0</v>
      </c>
      <c r="R189" s="49">
        <f t="shared" ref="R189" si="124">SUM(R190,R193,R195)+R197</f>
        <v>0</v>
      </c>
      <c r="S189" s="49">
        <f t="shared" ref="S189" si="125">SUM(S190,S193,S195)+S197</f>
        <v>0</v>
      </c>
      <c r="T189" s="49">
        <f t="shared" ref="T189" si="126">SUM(T190,T193,T195)+T197</f>
        <v>0</v>
      </c>
      <c r="U189" s="49">
        <f>SUM(U190,U193,U195)+U197+U199</f>
        <v>1852533634</v>
      </c>
      <c r="V189" s="49">
        <f>SUM(V190,V193,V195)+V197+V199</f>
        <v>0</v>
      </c>
      <c r="W189" s="49">
        <f t="shared" ref="W189:X189" si="127">SUM(W190,W193,W195)+W197+W199</f>
        <v>0</v>
      </c>
      <c r="X189" s="49">
        <f t="shared" si="127"/>
        <v>0</v>
      </c>
      <c r="Y189" s="340">
        <f>SUM(Y190,Y193,Y195)+Y197+Y199</f>
        <v>1852533634</v>
      </c>
      <c r="AA189" s="608">
        <f>SUM(AA190,AA193,AA195)+AA197+AA199</f>
        <v>3893195718</v>
      </c>
    </row>
    <row r="190" spans="1:29" ht="18" customHeight="1">
      <c r="A190" s="28"/>
      <c r="D190" s="586"/>
      <c r="E190" s="587"/>
      <c r="F190" s="588"/>
      <c r="G190" s="587" t="s">
        <v>185</v>
      </c>
      <c r="H190" s="52">
        <f>SUM(H191:H192)</f>
        <v>1174995191</v>
      </c>
      <c r="I190" s="52">
        <f t="shared" ref="I190:N190" si="128">SUM(I191:I192)</f>
        <v>0</v>
      </c>
      <c r="J190" s="52">
        <f t="shared" si="128"/>
        <v>0</v>
      </c>
      <c r="K190" s="52">
        <f t="shared" si="128"/>
        <v>0</v>
      </c>
      <c r="L190" s="52">
        <f t="shared" si="128"/>
        <v>40674080</v>
      </c>
      <c r="M190" s="52"/>
      <c r="N190" s="52">
        <f t="shared" si="128"/>
        <v>0</v>
      </c>
      <c r="O190" s="589">
        <f t="shared" ref="O190" si="129">SUM(O191:O192)</f>
        <v>1215669271</v>
      </c>
      <c r="Q190" s="634">
        <f t="shared" ref="Q190:V190" si="130">SUM(Q191:Q192)</f>
        <v>0</v>
      </c>
      <c r="R190" s="52">
        <f t="shared" si="130"/>
        <v>0</v>
      </c>
      <c r="S190" s="52">
        <f t="shared" si="130"/>
        <v>0</v>
      </c>
      <c r="T190" s="52">
        <f t="shared" si="130"/>
        <v>0</v>
      </c>
      <c r="U190" s="52">
        <f t="shared" si="130"/>
        <v>0</v>
      </c>
      <c r="V190" s="52">
        <f t="shared" si="130"/>
        <v>0</v>
      </c>
      <c r="W190" s="52">
        <f t="shared" ref="W190:X190" si="131">SUM(W191:W192)</f>
        <v>0</v>
      </c>
      <c r="X190" s="52">
        <f t="shared" si="131"/>
        <v>0</v>
      </c>
      <c r="Y190" s="589">
        <f t="shared" ref="Y190:AA190" si="132">SUM(Y191:Y192)</f>
        <v>0</v>
      </c>
      <c r="AA190" s="614">
        <f t="shared" si="132"/>
        <v>1215669271</v>
      </c>
    </row>
    <row r="191" spans="1:29" ht="18" customHeight="1">
      <c r="A191" s="28"/>
      <c r="D191" s="590">
        <v>230700</v>
      </c>
      <c r="E191" s="164" t="s">
        <v>185</v>
      </c>
      <c r="F191" s="166">
        <v>4201</v>
      </c>
      <c r="G191" s="164" t="s">
        <v>186</v>
      </c>
      <c r="H191" s="259">
        <v>5490585992</v>
      </c>
      <c r="I191" s="272">
        <v>0</v>
      </c>
      <c r="J191" s="272"/>
      <c r="K191" s="272">
        <v>0</v>
      </c>
      <c r="L191" s="259">
        <v>40674080</v>
      </c>
      <c r="M191" s="36"/>
      <c r="N191" s="36"/>
      <c r="O191" s="201">
        <f t="shared" ref="O191:O192" si="133">SUM(H191:N191)</f>
        <v>5531260072</v>
      </c>
      <c r="Q191" s="636">
        <f>-SUMIF('1.0'!$D:$D,T_BS!D191,'1.0'!$J:$J)</f>
        <v>0</v>
      </c>
      <c r="R191" s="259">
        <f>-SUMIF('2.0'!$D:$D,T_BS!D191,'2.0'!$J:$J)</f>
        <v>0</v>
      </c>
      <c r="S191" s="36">
        <f>-ROUND(SUMIF('3.0'!$D:$D,T_BS!D191,'3.0'!$H:$H),0)</f>
        <v>0</v>
      </c>
      <c r="T191" s="272">
        <f>-ROUND(SUMIF('4.0'!$D:$D,T_BS!D191,'4.0'!$J:$J),0)</f>
        <v>0</v>
      </c>
      <c r="U191" s="36">
        <f>-ROUND(SUMIF('5.0'!$D:$D,T_BS!D191,'5.0'!$J:$J),0)</f>
        <v>0</v>
      </c>
      <c r="V191" s="272">
        <f>-ROUND(SUMIF('6.0'!$D:$D,T_BS!D191,'6.0'!$J:$J),0)</f>
        <v>0</v>
      </c>
      <c r="W191" s="272">
        <f>-ROUND(SUMIF('7.0'!$D:$D,T_BS!D191,'7.0'!$I:$I),0)</f>
        <v>0</v>
      </c>
      <c r="X191" s="272">
        <f>-ROUND(SUMIF('8.0'!$D:$D,T_BS!D191,'8.0'!$H:$H),0)</f>
        <v>0</v>
      </c>
      <c r="Y191" s="201">
        <f t="shared" ref="Y191:Y192" si="134">SUM(Q191:X191)</f>
        <v>0</v>
      </c>
      <c r="AA191" s="215">
        <f t="shared" ref="AA191:AA192" si="135">Y191+O191</f>
        <v>5531260072</v>
      </c>
    </row>
    <row r="192" spans="1:29" ht="18" customHeight="1">
      <c r="A192" s="28"/>
      <c r="D192" s="590">
        <v>122110</v>
      </c>
      <c r="E192" s="164" t="s">
        <v>185</v>
      </c>
      <c r="F192" s="166">
        <v>4202</v>
      </c>
      <c r="G192" s="164" t="s">
        <v>187</v>
      </c>
      <c r="H192" s="259">
        <v>-4315590801</v>
      </c>
      <c r="I192" s="272">
        <v>0</v>
      </c>
      <c r="J192" s="272"/>
      <c r="K192" s="272">
        <v>0</v>
      </c>
      <c r="L192" s="259">
        <v>0</v>
      </c>
      <c r="M192" s="36"/>
      <c r="N192" s="36"/>
      <c r="O192" s="201">
        <f t="shared" si="133"/>
        <v>-4315590801</v>
      </c>
      <c r="Q192" s="636">
        <f>-SUMIF('1.0'!$D:$D,T_BS!D192,'1.0'!$J:$J)</f>
        <v>0</v>
      </c>
      <c r="R192" s="259">
        <f>-SUMIF('2.0'!$D:$D,T_BS!D192,'2.0'!$J:$J)</f>
        <v>0</v>
      </c>
      <c r="S192" s="36">
        <f>-ROUND(SUMIF('3.0'!$D:$D,T_BS!D192,'3.0'!$H:$H),0)</f>
        <v>0</v>
      </c>
      <c r="T192" s="272">
        <f>-ROUND(SUMIF('4.0'!$D:$D,T_BS!D192,'4.0'!$J:$J),0)</f>
        <v>0</v>
      </c>
      <c r="U192" s="36">
        <f>-ROUND(SUMIF('5.0'!$D:$D,T_BS!D192,'5.0'!$J:$J),0)</f>
        <v>0</v>
      </c>
      <c r="V192" s="272">
        <f>-ROUND(SUMIF('6.0'!$D:$D,T_BS!D192,'6.0'!$J:$J),0)</f>
        <v>0</v>
      </c>
      <c r="W192" s="272">
        <f>-ROUND(SUMIF('7.0'!$D:$D,T_BS!D192,'7.0'!$I:$I),0)</f>
        <v>0</v>
      </c>
      <c r="X192" s="272">
        <f>-ROUND(SUMIF('8.0'!$D:$D,T_BS!D192,'8.0'!$H:$H),0)</f>
        <v>0</v>
      </c>
      <c r="Y192" s="201">
        <f t="shared" si="134"/>
        <v>0</v>
      </c>
      <c r="AA192" s="215">
        <f t="shared" si="135"/>
        <v>-4315590801</v>
      </c>
    </row>
    <row r="193" spans="1:30" ht="18" customHeight="1">
      <c r="A193" s="28"/>
      <c r="D193" s="586"/>
      <c r="E193" s="587"/>
      <c r="F193" s="588"/>
      <c r="G193" s="587" t="s">
        <v>188</v>
      </c>
      <c r="H193" s="52">
        <f>H194</f>
        <v>118066714</v>
      </c>
      <c r="I193" s="52">
        <f t="shared" ref="I193:AA193" si="136">I194</f>
        <v>0</v>
      </c>
      <c r="J193" s="52">
        <f t="shared" si="136"/>
        <v>0</v>
      </c>
      <c r="K193" s="52">
        <f t="shared" si="136"/>
        <v>0</v>
      </c>
      <c r="L193" s="52">
        <f t="shared" si="136"/>
        <v>0</v>
      </c>
      <c r="M193" s="52"/>
      <c r="N193" s="52">
        <f t="shared" si="136"/>
        <v>0</v>
      </c>
      <c r="O193" s="589">
        <f t="shared" si="136"/>
        <v>118066714</v>
      </c>
      <c r="Q193" s="634">
        <f t="shared" si="136"/>
        <v>0</v>
      </c>
      <c r="R193" s="52">
        <f t="shared" si="136"/>
        <v>0</v>
      </c>
      <c r="S193" s="52">
        <f t="shared" si="136"/>
        <v>0</v>
      </c>
      <c r="T193" s="52">
        <f t="shared" si="136"/>
        <v>0</v>
      </c>
      <c r="U193" s="52">
        <f t="shared" si="136"/>
        <v>0</v>
      </c>
      <c r="V193" s="52">
        <f t="shared" si="136"/>
        <v>0</v>
      </c>
      <c r="W193" s="52">
        <f t="shared" si="136"/>
        <v>0</v>
      </c>
      <c r="X193" s="52">
        <f t="shared" si="136"/>
        <v>0</v>
      </c>
      <c r="Y193" s="589">
        <f t="shared" si="136"/>
        <v>0</v>
      </c>
      <c r="AA193" s="614">
        <f t="shared" si="136"/>
        <v>118066714</v>
      </c>
    </row>
    <row r="194" spans="1:30" ht="18" customHeight="1">
      <c r="A194" s="28"/>
      <c r="D194" s="590">
        <v>230900</v>
      </c>
      <c r="E194" s="164" t="s">
        <v>1753</v>
      </c>
      <c r="F194" s="166">
        <v>4402</v>
      </c>
      <c r="G194" s="164" t="s">
        <v>189</v>
      </c>
      <c r="H194" s="259">
        <v>118066714</v>
      </c>
      <c r="I194" s="272">
        <v>0</v>
      </c>
      <c r="J194" s="272"/>
      <c r="K194" s="272">
        <v>0</v>
      </c>
      <c r="L194" s="259">
        <v>0</v>
      </c>
      <c r="M194" s="36"/>
      <c r="N194" s="36"/>
      <c r="O194" s="201">
        <f t="shared" ref="O194" si="137">SUM(H194:N194)</f>
        <v>118066714</v>
      </c>
      <c r="Q194" s="636">
        <f>-SUMIF('1.0'!$D:$D,T_BS!D194,'1.0'!$J:$J)</f>
        <v>0</v>
      </c>
      <c r="R194" s="259">
        <f>-SUMIF('2.0'!$D:$D,T_BS!D194,'2.0'!$J:$J)</f>
        <v>0</v>
      </c>
      <c r="S194" s="36">
        <f>-ROUND(SUMIF('3.0'!$D:$D,T_BS!D194,'3.0'!$H:$H),0)</f>
        <v>0</v>
      </c>
      <c r="T194" s="272">
        <f>-ROUND(SUMIF('4.0'!$D:$D,T_BS!D194,'4.0'!$J:$J),0)</f>
        <v>0</v>
      </c>
      <c r="U194" s="36">
        <f>-ROUND(SUMIF('5.0'!$D:$D,T_BS!D194,'5.0'!$J:$J),0)</f>
        <v>0</v>
      </c>
      <c r="V194" s="272">
        <f>-ROUND(SUMIF('6.0'!$D:$D,T_BS!D194,'6.0'!$J:$J),0)</f>
        <v>0</v>
      </c>
      <c r="W194" s="272">
        <f>-ROUND(SUMIF('7.0'!$D:$D,T_BS!D194,'7.0'!$I:$I),0)</f>
        <v>0</v>
      </c>
      <c r="X194" s="272">
        <f>-ROUND(SUMIF('8.0'!$D:$D,T_BS!D194,'8.0'!$H:$H),0)</f>
        <v>0</v>
      </c>
      <c r="Y194" s="201">
        <f t="shared" ref="Y194" si="138">SUM(Q194:X194)</f>
        <v>0</v>
      </c>
      <c r="AA194" s="215">
        <f t="shared" ref="AA194" si="139">Y194+O194</f>
        <v>118066714</v>
      </c>
    </row>
    <row r="195" spans="1:30" ht="18" customHeight="1">
      <c r="A195" s="28"/>
      <c r="D195" s="586"/>
      <c r="E195" s="587"/>
      <c r="F195" s="588"/>
      <c r="G195" s="587" t="s">
        <v>190</v>
      </c>
      <c r="H195" s="52">
        <f>H196</f>
        <v>670070798</v>
      </c>
      <c r="I195" s="52">
        <f t="shared" ref="I195:AA197" si="140">I196</f>
        <v>25355301</v>
      </c>
      <c r="J195" s="52">
        <f t="shared" si="140"/>
        <v>0</v>
      </c>
      <c r="K195" s="52">
        <f t="shared" si="140"/>
        <v>0</v>
      </c>
      <c r="L195" s="52">
        <f t="shared" si="140"/>
        <v>0</v>
      </c>
      <c r="M195" s="52"/>
      <c r="N195" s="52">
        <f t="shared" si="140"/>
        <v>0</v>
      </c>
      <c r="O195" s="589">
        <f t="shared" si="140"/>
        <v>695426099</v>
      </c>
      <c r="Q195" s="634">
        <f t="shared" si="140"/>
        <v>0</v>
      </c>
      <c r="R195" s="52">
        <f t="shared" si="140"/>
        <v>0</v>
      </c>
      <c r="S195" s="52">
        <f t="shared" si="140"/>
        <v>0</v>
      </c>
      <c r="T195" s="52">
        <f t="shared" si="140"/>
        <v>0</v>
      </c>
      <c r="U195" s="52">
        <f t="shared" si="140"/>
        <v>0</v>
      </c>
      <c r="V195" s="52">
        <f t="shared" si="140"/>
        <v>0</v>
      </c>
      <c r="W195" s="52">
        <f t="shared" si="140"/>
        <v>0</v>
      </c>
      <c r="X195" s="52">
        <f t="shared" si="140"/>
        <v>0</v>
      </c>
      <c r="Y195" s="589">
        <f t="shared" si="140"/>
        <v>0</v>
      </c>
      <c r="AA195" s="614">
        <f t="shared" si="140"/>
        <v>695426099</v>
      </c>
    </row>
    <row r="196" spans="1:30" ht="18" customHeight="1">
      <c r="A196" s="28"/>
      <c r="D196" s="590">
        <v>231600</v>
      </c>
      <c r="E196" s="164" t="s">
        <v>1754</v>
      </c>
      <c r="F196" s="166">
        <v>4601</v>
      </c>
      <c r="G196" s="164" t="s">
        <v>190</v>
      </c>
      <c r="H196" s="259">
        <v>670070798</v>
      </c>
      <c r="I196" s="272">
        <v>25355301</v>
      </c>
      <c r="J196" s="272"/>
      <c r="K196" s="272"/>
      <c r="L196" s="259">
        <v>0</v>
      </c>
      <c r="M196" s="36"/>
      <c r="N196" s="36">
        <v>0</v>
      </c>
      <c r="O196" s="201">
        <f t="shared" ref="O196" si="141">SUM(H196:N196)</f>
        <v>695426099</v>
      </c>
      <c r="Q196" s="636">
        <f>-SUMIF('1.0'!$D:$D,T_BS!D196,'1.0'!$J:$J)</f>
        <v>0</v>
      </c>
      <c r="R196" s="259">
        <f>-SUMIF('2.0'!$D:$D,T_BS!D196,'2.0'!$J:$J)</f>
        <v>0</v>
      </c>
      <c r="S196" s="36">
        <f>-ROUND(SUMIF('3.0'!$D:$D,T_BS!D196,'3.0'!$H:$H),0)</f>
        <v>0</v>
      </c>
      <c r="T196" s="272">
        <f>-ROUND(SUMIF('4.0'!$D:$D,T_BS!D196,'4.0'!$J:$J),0)</f>
        <v>0</v>
      </c>
      <c r="U196" s="36">
        <f>-ROUND(SUMIF('5.0'!$D:$D,T_BS!D196,'5.0'!$J:$J),0)</f>
        <v>0</v>
      </c>
      <c r="V196" s="272">
        <f>-ROUND(SUMIF('6.0'!$D:$D,T_BS!D196,'6.0'!$J:$J),0)</f>
        <v>0</v>
      </c>
      <c r="W196" s="272">
        <f>-ROUND(SUMIF('7.0'!$D:$D,T_BS!D196,'7.0'!$I:$I),0)</f>
        <v>0</v>
      </c>
      <c r="X196" s="272">
        <f>-ROUND(SUMIF('8.0'!$D:$D,T_BS!D196,'8.0'!$H:$H),0)</f>
        <v>0</v>
      </c>
      <c r="Y196" s="201">
        <f t="shared" ref="Y196" si="142">SUM(Q196:X196)</f>
        <v>0</v>
      </c>
      <c r="AA196" s="215">
        <f t="shared" ref="AA196" si="143">Y196+O196</f>
        <v>695426099</v>
      </c>
    </row>
    <row r="197" spans="1:30" ht="18" customHeight="1">
      <c r="A197" s="28"/>
      <c r="D197" s="586"/>
      <c r="E197" s="587"/>
      <c r="F197" s="588"/>
      <c r="G197" s="587" t="s">
        <v>488</v>
      </c>
      <c r="H197" s="52">
        <f>H198</f>
        <v>0</v>
      </c>
      <c r="I197" s="52">
        <f t="shared" si="140"/>
        <v>0</v>
      </c>
      <c r="J197" s="52">
        <f t="shared" si="140"/>
        <v>0</v>
      </c>
      <c r="K197" s="52">
        <f t="shared" si="140"/>
        <v>0</v>
      </c>
      <c r="L197" s="52">
        <f t="shared" si="140"/>
        <v>0</v>
      </c>
      <c r="M197" s="52"/>
      <c r="N197" s="52">
        <f t="shared" si="140"/>
        <v>0</v>
      </c>
      <c r="O197" s="589">
        <f t="shared" si="140"/>
        <v>0</v>
      </c>
      <c r="Q197" s="634">
        <f t="shared" si="140"/>
        <v>0</v>
      </c>
      <c r="R197" s="52">
        <f t="shared" si="140"/>
        <v>0</v>
      </c>
      <c r="S197" s="52">
        <f t="shared" si="140"/>
        <v>0</v>
      </c>
      <c r="T197" s="52">
        <f t="shared" si="140"/>
        <v>0</v>
      </c>
      <c r="U197" s="52">
        <f t="shared" si="140"/>
        <v>1852533634</v>
      </c>
      <c r="V197" s="52">
        <f t="shared" si="140"/>
        <v>0</v>
      </c>
      <c r="W197" s="52">
        <f t="shared" si="140"/>
        <v>0</v>
      </c>
      <c r="X197" s="52">
        <f t="shared" si="140"/>
        <v>0</v>
      </c>
      <c r="Y197" s="589">
        <f t="shared" si="140"/>
        <v>1852533634</v>
      </c>
      <c r="AA197" s="614">
        <f t="shared" si="140"/>
        <v>1852533634</v>
      </c>
    </row>
    <row r="198" spans="1:30" ht="18" customHeight="1">
      <c r="A198" s="28"/>
      <c r="D198" s="644" t="s">
        <v>1356</v>
      </c>
      <c r="E198" s="164" t="s">
        <v>1755</v>
      </c>
      <c r="F198" s="166">
        <v>4301</v>
      </c>
      <c r="G198" s="164" t="s">
        <v>488</v>
      </c>
      <c r="H198" s="259">
        <v>0</v>
      </c>
      <c r="I198" s="272">
        <v>0</v>
      </c>
      <c r="J198" s="272"/>
      <c r="K198" s="272"/>
      <c r="L198" s="259">
        <v>0</v>
      </c>
      <c r="M198" s="36"/>
      <c r="N198" s="36"/>
      <c r="O198" s="201">
        <f t="shared" ref="O198" si="144">SUM(H198:N198)</f>
        <v>0</v>
      </c>
      <c r="Q198" s="636">
        <f>-SUMIF('1.0'!$D:$D,T_BS!D198,'1.0'!$J:$J)</f>
        <v>0</v>
      </c>
      <c r="R198" s="259">
        <f>-SUMIF('2.0'!$D:$D,T_BS!D198,'2.0'!$J:$J)</f>
        <v>0</v>
      </c>
      <c r="S198" s="36">
        <f>-ROUND(SUMIF('3.0'!$D:$D,T_BS!D198,'3.0'!$H:$H),0)</f>
        <v>0</v>
      </c>
      <c r="T198" s="272">
        <f>-ROUND(SUMIF('4.0'!$D:$D,T_BS!D198,'4.0'!$J:$J),0)</f>
        <v>0</v>
      </c>
      <c r="U198" s="36">
        <f>-ROUND(SUMIF('5.0'!$D:$D,T_BS!D198,'5.0'!$J:$J),0)</f>
        <v>1852533634</v>
      </c>
      <c r="V198" s="272">
        <f>-ROUND(SUMIF('6.0'!$D:$D,T_BS!D198,'6.0'!$J:$J),0)</f>
        <v>0</v>
      </c>
      <c r="W198" s="272">
        <f>-ROUND(SUMIF('7.0'!$D:$D,T_BS!D198,'7.0'!$I:$I),0)</f>
        <v>0</v>
      </c>
      <c r="X198" s="272">
        <f>-ROUND(SUMIF('8.0'!$D:$D,T_BS!D198,'8.0'!$H:$H),0)</f>
        <v>0</v>
      </c>
      <c r="Y198" s="201">
        <f t="shared" ref="Y198" si="145">SUM(Q198:X198)</f>
        <v>1852533634</v>
      </c>
      <c r="AA198" s="215">
        <f t="shared" ref="AA198" si="146">Y198+O198</f>
        <v>1852533634</v>
      </c>
    </row>
    <row r="199" spans="1:30" ht="18" customHeight="1">
      <c r="A199" s="28"/>
      <c r="D199" s="586"/>
      <c r="E199" s="587"/>
      <c r="F199" s="588"/>
      <c r="G199" s="587" t="s">
        <v>1631</v>
      </c>
      <c r="H199" s="52">
        <f>SUM(H200:H202)</f>
        <v>11500000</v>
      </c>
      <c r="I199" s="52">
        <f t="shared" ref="I199:O199" si="147">SUM(I200:I202)</f>
        <v>0</v>
      </c>
      <c r="J199" s="52">
        <f t="shared" si="147"/>
        <v>0</v>
      </c>
      <c r="K199" s="52">
        <f t="shared" si="147"/>
        <v>0</v>
      </c>
      <c r="L199" s="52">
        <f t="shared" si="147"/>
        <v>0</v>
      </c>
      <c r="M199" s="52">
        <f t="shared" si="147"/>
        <v>0</v>
      </c>
      <c r="N199" s="52">
        <f t="shared" si="147"/>
        <v>0</v>
      </c>
      <c r="O199" s="589">
        <f t="shared" si="147"/>
        <v>11500000</v>
      </c>
      <c r="Q199" s="634"/>
      <c r="R199" s="52"/>
      <c r="S199" s="52"/>
      <c r="T199" s="52"/>
      <c r="U199" s="52">
        <f>SUM(U200:U202)</f>
        <v>0</v>
      </c>
      <c r="V199" s="52">
        <f t="shared" ref="V199:X199" si="148">SUM(V200:V202)</f>
        <v>0</v>
      </c>
      <c r="W199" s="52">
        <f t="shared" si="148"/>
        <v>0</v>
      </c>
      <c r="X199" s="52">
        <f t="shared" si="148"/>
        <v>0</v>
      </c>
      <c r="Y199" s="589">
        <f>SUM(Y200:Y202)</f>
        <v>0</v>
      </c>
      <c r="AA199" s="614">
        <f t="shared" ref="AA199" si="149">SUM(AA200:AA202)</f>
        <v>11500000</v>
      </c>
    </row>
    <row r="200" spans="1:30" ht="18" customHeight="1">
      <c r="A200" s="28"/>
      <c r="B200" s="471" t="s">
        <v>1628</v>
      </c>
      <c r="D200" s="644" t="s">
        <v>1634</v>
      </c>
      <c r="E200" s="164" t="s">
        <v>1631</v>
      </c>
      <c r="F200" s="595">
        <v>4103</v>
      </c>
      <c r="G200" s="164" t="s">
        <v>1632</v>
      </c>
      <c r="H200" s="259">
        <v>0</v>
      </c>
      <c r="I200" s="272">
        <v>0</v>
      </c>
      <c r="J200" s="272"/>
      <c r="K200" s="272"/>
      <c r="L200" s="259">
        <v>0</v>
      </c>
      <c r="M200" s="36"/>
      <c r="N200" s="36"/>
      <c r="O200" s="201">
        <f t="shared" ref="O200:O202" si="150">SUM(H200:N200)</f>
        <v>0</v>
      </c>
      <c r="Q200" s="636"/>
      <c r="R200" s="259">
        <f>-SUMIF('2.0'!$D:$D,T_BS!D200,'2.0'!$J:$J)</f>
        <v>0</v>
      </c>
      <c r="S200" s="36">
        <f>-ROUND(SUMIF('3.0'!$D:$D,T_BS!D200,'3.0'!$H:$H),0)</f>
        <v>0</v>
      </c>
      <c r="T200" s="272">
        <f>-ROUND(SUMIF('4.0'!$D:$D,T_BS!D200,'4.0'!$J:$J),0)</f>
        <v>0</v>
      </c>
      <c r="U200" s="36">
        <f>-ROUND(SUMIF('5.0'!$D:$D,T_BS!D200,'5.0'!$J:$J),0)</f>
        <v>0</v>
      </c>
      <c r="V200" s="272">
        <f>-ROUND(SUMIF('6.0'!$D:$D,T_BS!D200,'6.0'!$J:$J),0)</f>
        <v>0</v>
      </c>
      <c r="W200" s="272">
        <f>-ROUND(SUMIF('7.0'!$D:$D,T_BS!D200,'7.0'!$I:$I),0)</f>
        <v>0</v>
      </c>
      <c r="X200" s="272">
        <f>-ROUND(SUMIF('8.0'!$D:$D,T_BS!D200,'8.0'!$H:$H),0)</f>
        <v>0</v>
      </c>
      <c r="Y200" s="201">
        <f t="shared" ref="Y200:Y202" si="151">SUM(Q200:X200)</f>
        <v>0</v>
      </c>
      <c r="AA200" s="215">
        <f t="shared" ref="AA200:AA202" si="152">Y200+O200</f>
        <v>0</v>
      </c>
    </row>
    <row r="201" spans="1:30" ht="18" customHeight="1">
      <c r="A201" s="28"/>
      <c r="B201" s="471"/>
      <c r="D201" s="645">
        <v>231200</v>
      </c>
      <c r="E201" s="519" t="s">
        <v>1631</v>
      </c>
      <c r="F201" s="646">
        <v>4104</v>
      </c>
      <c r="G201" s="519" t="s">
        <v>1840</v>
      </c>
      <c r="H201" s="259">
        <v>11500000</v>
      </c>
      <c r="I201" s="272">
        <v>0</v>
      </c>
      <c r="J201" s="272"/>
      <c r="K201" s="272"/>
      <c r="L201" s="259">
        <v>0</v>
      </c>
      <c r="M201" s="36"/>
      <c r="N201" s="36"/>
      <c r="O201" s="201">
        <f t="shared" si="150"/>
        <v>11500000</v>
      </c>
      <c r="Q201" s="636"/>
      <c r="R201" s="259">
        <f>-SUMIF('2.0'!$D:$D,T_BS!D201,'2.0'!$J:$J)</f>
        <v>0</v>
      </c>
      <c r="S201" s="36">
        <f>-ROUND(SUMIF('3.0'!$D:$D,T_BS!D201,'3.0'!$H:$H),0)</f>
        <v>0</v>
      </c>
      <c r="T201" s="272">
        <f>-ROUND(SUMIF('4.0'!$D:$D,T_BS!D201,'4.0'!$J:$J),0)</f>
        <v>0</v>
      </c>
      <c r="U201" s="36">
        <f>-ROUND(SUMIF('5.0'!$D:$D,T_BS!D201,'5.0'!$J:$J),0)</f>
        <v>0</v>
      </c>
      <c r="V201" s="272">
        <f>-ROUND(SUMIF('6.0'!$D:$D,T_BS!D201,'6.0'!$J:$J),0)</f>
        <v>0</v>
      </c>
      <c r="W201" s="272">
        <f>-ROUND(SUMIF('7.0'!$D:$D,T_BS!D201,'7.0'!$I:$I),0)</f>
        <v>0</v>
      </c>
      <c r="X201" s="272">
        <f>-ROUND(SUMIF('8.0'!$D:$D,T_BS!D201,'8.0'!$H:$H),0)</f>
        <v>0</v>
      </c>
      <c r="Y201" s="201">
        <f t="shared" si="151"/>
        <v>0</v>
      </c>
      <c r="AA201" s="215">
        <f t="shared" si="152"/>
        <v>11500000</v>
      </c>
    </row>
    <row r="202" spans="1:30" ht="18" customHeight="1">
      <c r="A202" s="28"/>
      <c r="B202" s="471" t="s">
        <v>1628</v>
      </c>
      <c r="D202" s="644" t="s">
        <v>1635</v>
      </c>
      <c r="E202" s="164" t="s">
        <v>1631</v>
      </c>
      <c r="F202" s="595">
        <v>4103</v>
      </c>
      <c r="G202" s="164" t="s">
        <v>1633</v>
      </c>
      <c r="H202" s="259">
        <v>0</v>
      </c>
      <c r="I202" s="272">
        <v>0</v>
      </c>
      <c r="J202" s="272"/>
      <c r="K202" s="272"/>
      <c r="L202" s="259">
        <v>0</v>
      </c>
      <c r="M202" s="36"/>
      <c r="N202" s="36"/>
      <c r="O202" s="201">
        <f t="shared" si="150"/>
        <v>0</v>
      </c>
      <c r="Q202" s="636"/>
      <c r="R202" s="259">
        <f>-SUMIF('2.0'!$D:$D,T_BS!D202,'2.0'!$J:$J)</f>
        <v>0</v>
      </c>
      <c r="S202" s="36">
        <f>-ROUND(SUMIF('3.0'!$D:$D,T_BS!D202,'3.0'!$H:$H),0)</f>
        <v>0</v>
      </c>
      <c r="T202" s="272">
        <f>-ROUND(SUMIF('4.0'!$D:$D,T_BS!D202,'4.0'!$J:$J),0)</f>
        <v>0</v>
      </c>
      <c r="U202" s="36">
        <f>-ROUND(SUMIF('5.0'!$D:$D,T_BS!D202,'5.0'!$J:$J),0)</f>
        <v>0</v>
      </c>
      <c r="V202" s="272">
        <f>-ROUND(SUMIF('6.0'!$D:$D,T_BS!D202,'6.0'!$J:$J),0)</f>
        <v>0</v>
      </c>
      <c r="W202" s="272">
        <f>-ROUND(SUMIF('7.0'!$D:$D,T_BS!D202,'7.0'!$I:$I),0)</f>
        <v>0</v>
      </c>
      <c r="X202" s="272">
        <f>-ROUND(SUMIF('8.0'!$D:$D,T_BS!D202,'8.0'!$H:$H),0)</f>
        <v>0</v>
      </c>
      <c r="Y202" s="201">
        <f t="shared" si="151"/>
        <v>0</v>
      </c>
      <c r="AA202" s="215">
        <f t="shared" si="152"/>
        <v>0</v>
      </c>
    </row>
    <row r="203" spans="1:30" ht="18" customHeight="1">
      <c r="A203" s="28"/>
      <c r="D203" s="579"/>
      <c r="E203" s="580"/>
      <c r="F203" s="581"/>
      <c r="G203" s="580" t="s">
        <v>14</v>
      </c>
      <c r="H203" s="46">
        <f>SUM(H204,H225)</f>
        <v>114560798939</v>
      </c>
      <c r="I203" s="46">
        <f t="shared" ref="I203:N203" si="153">SUM(I204,I225)</f>
        <v>1502323625</v>
      </c>
      <c r="J203" s="46">
        <f t="shared" si="153"/>
        <v>0</v>
      </c>
      <c r="K203" s="46">
        <f t="shared" si="153"/>
        <v>0</v>
      </c>
      <c r="L203" s="46">
        <f t="shared" si="153"/>
        <v>4323552557</v>
      </c>
      <c r="M203" s="46"/>
      <c r="N203" s="46">
        <f t="shared" si="153"/>
        <v>0</v>
      </c>
      <c r="O203" s="582">
        <f t="shared" ref="O203" si="154">SUM(O204,O225)</f>
        <v>120386675121</v>
      </c>
      <c r="Q203" s="632">
        <f t="shared" ref="Q203:V203" si="155">SUM(Q204,Q225)</f>
        <v>19842800</v>
      </c>
      <c r="R203" s="46">
        <f t="shared" si="155"/>
        <v>0</v>
      </c>
      <c r="S203" s="46">
        <f t="shared" si="155"/>
        <v>0</v>
      </c>
      <c r="T203" s="46">
        <f t="shared" si="155"/>
        <v>-3658730</v>
      </c>
      <c r="U203" s="46">
        <f t="shared" si="155"/>
        <v>5485464260</v>
      </c>
      <c r="V203" s="46">
        <f t="shared" si="155"/>
        <v>0</v>
      </c>
      <c r="W203" s="46">
        <f t="shared" ref="W203:X203" si="156">SUM(W204,W225)</f>
        <v>0</v>
      </c>
      <c r="X203" s="46">
        <f t="shared" si="156"/>
        <v>-7971283612</v>
      </c>
      <c r="Y203" s="582">
        <f t="shared" ref="Y203:AA203" si="157">SUM(Y204,Y225)</f>
        <v>-2469635282</v>
      </c>
      <c r="AA203" s="633">
        <f t="shared" si="157"/>
        <v>117917039839</v>
      </c>
    </row>
    <row r="204" spans="1:30" ht="18" customHeight="1">
      <c r="A204" s="28"/>
      <c r="D204" s="583"/>
      <c r="E204" s="584"/>
      <c r="F204" s="585"/>
      <c r="G204" s="584" t="s">
        <v>11</v>
      </c>
      <c r="H204" s="49">
        <f>SUM(H205,H207,H211,H221)</f>
        <v>114560798939</v>
      </c>
      <c r="I204" s="49">
        <f t="shared" ref="I204:N204" si="158">SUM(I205,I207,I211,I221)</f>
        <v>1502323625</v>
      </c>
      <c r="J204" s="49">
        <f t="shared" si="158"/>
        <v>0</v>
      </c>
      <c r="K204" s="49">
        <f t="shared" si="158"/>
        <v>0</v>
      </c>
      <c r="L204" s="49">
        <f t="shared" si="158"/>
        <v>4323552557</v>
      </c>
      <c r="M204" s="49"/>
      <c r="N204" s="49">
        <f t="shared" si="158"/>
        <v>0</v>
      </c>
      <c r="O204" s="340">
        <f t="shared" ref="O204" si="159">SUM(O205,O207,O211,O221)</f>
        <v>120386675121</v>
      </c>
      <c r="Q204" s="325">
        <f t="shared" ref="Q204:V204" si="160">SUM(Q205,Q207,Q211,Q221)</f>
        <v>19842800</v>
      </c>
      <c r="R204" s="49">
        <f t="shared" si="160"/>
        <v>0</v>
      </c>
      <c r="S204" s="49">
        <f t="shared" si="160"/>
        <v>0</v>
      </c>
      <c r="T204" s="49">
        <f t="shared" si="160"/>
        <v>-3658730</v>
      </c>
      <c r="U204" s="49">
        <f t="shared" si="160"/>
        <v>5485464260</v>
      </c>
      <c r="V204" s="49">
        <f t="shared" si="160"/>
        <v>0</v>
      </c>
      <c r="W204" s="49">
        <f t="shared" ref="W204:X204" si="161">SUM(W205,W207,W211,W221)</f>
        <v>0</v>
      </c>
      <c r="X204" s="49">
        <f t="shared" si="161"/>
        <v>-7971283612</v>
      </c>
      <c r="Y204" s="340">
        <f t="shared" ref="Y204:AA204" si="162">SUM(Y205,Y207,Y211,Y221)</f>
        <v>-2469635282</v>
      </c>
      <c r="AA204" s="608">
        <f t="shared" si="162"/>
        <v>117917039839</v>
      </c>
      <c r="AC204" s="641"/>
    </row>
    <row r="205" spans="1:30" ht="18" customHeight="1">
      <c r="A205" s="28"/>
      <c r="D205" s="586"/>
      <c r="E205" s="587"/>
      <c r="F205" s="588"/>
      <c r="G205" s="587" t="s">
        <v>10</v>
      </c>
      <c r="H205" s="52">
        <f>H206</f>
        <v>28429923500</v>
      </c>
      <c r="I205" s="52">
        <f t="shared" ref="I205:AA205" si="163">I206</f>
        <v>37013277500</v>
      </c>
      <c r="J205" s="52">
        <f t="shared" si="163"/>
        <v>0</v>
      </c>
      <c r="K205" s="52">
        <f t="shared" si="163"/>
        <v>0</v>
      </c>
      <c r="L205" s="52">
        <f t="shared" si="163"/>
        <v>511470000</v>
      </c>
      <c r="M205" s="52"/>
      <c r="N205" s="52">
        <f t="shared" si="163"/>
        <v>0</v>
      </c>
      <c r="O205" s="589">
        <f t="shared" si="163"/>
        <v>65954671000</v>
      </c>
      <c r="Q205" s="634">
        <f t="shared" si="163"/>
        <v>0</v>
      </c>
      <c r="R205" s="52">
        <f t="shared" si="163"/>
        <v>0</v>
      </c>
      <c r="S205" s="52">
        <f t="shared" si="163"/>
        <v>0</v>
      </c>
      <c r="T205" s="52">
        <f t="shared" si="163"/>
        <v>0</v>
      </c>
      <c r="U205" s="52">
        <f t="shared" si="163"/>
        <v>0</v>
      </c>
      <c r="V205" s="52">
        <f t="shared" si="163"/>
        <v>0</v>
      </c>
      <c r="W205" s="52">
        <f t="shared" si="163"/>
        <v>0</v>
      </c>
      <c r="X205" s="52">
        <f t="shared" si="163"/>
        <v>-37524747500</v>
      </c>
      <c r="Y205" s="589">
        <f t="shared" si="163"/>
        <v>-37524747500</v>
      </c>
      <c r="AA205" s="614">
        <f t="shared" si="163"/>
        <v>28429923500</v>
      </c>
      <c r="AC205" s="620"/>
    </row>
    <row r="206" spans="1:30" ht="18" customHeight="1">
      <c r="A206" s="28"/>
      <c r="D206" s="590">
        <v>310100</v>
      </c>
      <c r="E206" s="164" t="s">
        <v>10</v>
      </c>
      <c r="F206" s="166">
        <v>5101</v>
      </c>
      <c r="G206" s="164" t="s">
        <v>191</v>
      </c>
      <c r="H206" s="259">
        <v>28429923500</v>
      </c>
      <c r="I206" s="272">
        <v>37013277500</v>
      </c>
      <c r="J206" s="272"/>
      <c r="K206" s="272"/>
      <c r="L206" s="259">
        <v>511470000</v>
      </c>
      <c r="M206" s="36"/>
      <c r="N206" s="36"/>
      <c r="O206" s="201">
        <f t="shared" ref="O206" si="164">SUM(H206:N206)</f>
        <v>65954671000</v>
      </c>
      <c r="Q206" s="636">
        <f>-SUMIF('1.0'!$D:$D,T_BS!D206,'1.0'!$J:$J)</f>
        <v>0</v>
      </c>
      <c r="R206" s="259">
        <f>-SUMIF('2.0'!$D:$D,T_BS!D206,'2.0'!$J:$J)</f>
        <v>0</v>
      </c>
      <c r="S206" s="36">
        <f>-ROUND(SUMIF('3.0'!$D:$D,T_BS!D206,'3.0'!$H:$H),0)</f>
        <v>0</v>
      </c>
      <c r="T206" s="272">
        <f>-ROUND(SUMIF('4.0'!$D:$D,T_BS!D206,'4.0'!$J:$J),0)</f>
        <v>0</v>
      </c>
      <c r="U206" s="36">
        <f>-ROUND(SUMIF('5.0'!$D:$D,T_BS!D206,'5.0'!$J:$J),0)</f>
        <v>0</v>
      </c>
      <c r="V206" s="272">
        <f>-ROUND(SUMIF('6.0'!$D:$D,T_BS!D206,'6.0'!$J:$J),0)</f>
        <v>0</v>
      </c>
      <c r="W206" s="272">
        <f>-ROUND(SUMIF('7.0'!$D:$D,T_BS!D206,'7.0'!$I:$I),0)</f>
        <v>0</v>
      </c>
      <c r="X206" s="272">
        <f>-ROUND(SUMIF('8.0'!$D:$D,T_BS!D206,'8.0'!$H:$H),0)</f>
        <v>-37524747500</v>
      </c>
      <c r="Y206" s="201">
        <f t="shared" ref="Y206" si="165">SUM(Q206:X206)</f>
        <v>-37524747500</v>
      </c>
      <c r="AA206" s="215">
        <f t="shared" ref="AA206" si="166">Y206+O206</f>
        <v>28429923500</v>
      </c>
      <c r="AC206" s="620" t="b">
        <f>AA206=H206</f>
        <v>1</v>
      </c>
      <c r="AD206" s="28"/>
    </row>
    <row r="207" spans="1:30" ht="18" customHeight="1">
      <c r="A207" s="28"/>
      <c r="D207" s="586"/>
      <c r="E207" s="587"/>
      <c r="F207" s="588"/>
      <c r="G207" s="587" t="s">
        <v>12</v>
      </c>
      <c r="H207" s="52">
        <f>SUM(H208:H210)</f>
        <v>178678362377</v>
      </c>
      <c r="I207" s="52">
        <f t="shared" ref="I207:N207" si="167">SUM(I208:I210)</f>
        <v>0</v>
      </c>
      <c r="J207" s="52">
        <f t="shared" si="167"/>
        <v>0</v>
      </c>
      <c r="K207" s="52">
        <f t="shared" si="167"/>
        <v>0</v>
      </c>
      <c r="L207" s="52">
        <f t="shared" si="167"/>
        <v>0</v>
      </c>
      <c r="M207" s="52"/>
      <c r="N207" s="52">
        <f t="shared" si="167"/>
        <v>0</v>
      </c>
      <c r="O207" s="589">
        <f t="shared" ref="O207" si="168">SUM(O208:O210)</f>
        <v>178678362377</v>
      </c>
      <c r="Q207" s="634">
        <f t="shared" ref="Q207:V207" si="169">SUM(Q208:Q210)</f>
        <v>-118784521</v>
      </c>
      <c r="R207" s="52">
        <f t="shared" si="169"/>
        <v>0</v>
      </c>
      <c r="S207" s="52">
        <f t="shared" si="169"/>
        <v>0</v>
      </c>
      <c r="T207" s="52">
        <f t="shared" si="169"/>
        <v>0</v>
      </c>
      <c r="U207" s="52">
        <f t="shared" si="169"/>
        <v>0</v>
      </c>
      <c r="V207" s="52">
        <f t="shared" si="169"/>
        <v>0</v>
      </c>
      <c r="W207" s="52">
        <f t="shared" ref="W207:X207" si="170">SUM(W208:W210)</f>
        <v>0</v>
      </c>
      <c r="X207" s="52">
        <f t="shared" si="170"/>
        <v>0</v>
      </c>
      <c r="Y207" s="589">
        <f t="shared" ref="Y207:AA207" si="171">SUM(Y208:Y210)</f>
        <v>-118784521</v>
      </c>
      <c r="AA207" s="614">
        <f t="shared" si="171"/>
        <v>178559577856</v>
      </c>
      <c r="AC207" s="620"/>
      <c r="AD207" s="28"/>
    </row>
    <row r="208" spans="1:30" ht="18" customHeight="1">
      <c r="A208" s="28"/>
      <c r="D208" s="590">
        <v>320100</v>
      </c>
      <c r="E208" s="164" t="s">
        <v>12</v>
      </c>
      <c r="F208" s="166">
        <v>5201</v>
      </c>
      <c r="G208" s="164" t="s">
        <v>192</v>
      </c>
      <c r="H208" s="259">
        <v>177997002186</v>
      </c>
      <c r="I208" s="272">
        <v>0</v>
      </c>
      <c r="J208" s="272"/>
      <c r="K208" s="272">
        <v>0</v>
      </c>
      <c r="L208" s="259">
        <v>0</v>
      </c>
      <c r="M208" s="36"/>
      <c r="N208" s="36"/>
      <c r="O208" s="201">
        <f t="shared" ref="O208:O226" si="172">SUM(H208:N208)</f>
        <v>177997002186</v>
      </c>
      <c r="Q208" s="636">
        <f>-SUMIF('1.0'!$D:$D,T_BS!D208,'1.0'!$J:$J)</f>
        <v>0</v>
      </c>
      <c r="R208" s="259">
        <f>-SUMIF('2.0'!$D:$D,T_BS!D208,'2.0'!$J:$J)</f>
        <v>0</v>
      </c>
      <c r="S208" s="36">
        <f>-ROUND(SUMIF('3.0'!$D:$D,T_BS!D208,'3.0'!$H:$H),0)</f>
        <v>0</v>
      </c>
      <c r="T208" s="272">
        <f>-ROUND(SUMIF('4.0'!$D:$D,T_BS!D208,'4.0'!$J:$J),0)</f>
        <v>0</v>
      </c>
      <c r="U208" s="36">
        <f>-ROUND(SUMIF('5.0'!$D:$D,T_BS!D208,'5.0'!$J:$J),0)</f>
        <v>0</v>
      </c>
      <c r="V208" s="272">
        <f>-ROUND(SUMIF('6.0'!$D:$D,T_BS!D208,'6.0'!$J:$J),0)</f>
        <v>0</v>
      </c>
      <c r="W208" s="272">
        <f>-ROUND(SUMIF('7.0'!$D:$D,T_BS!D208,'7.0'!$I:$I),0)</f>
        <v>0</v>
      </c>
      <c r="X208" s="272">
        <f>-ROUND(SUMIF('8.0'!$D:$D,T_BS!D208,'8.0'!$H:$H),0)</f>
        <v>0</v>
      </c>
      <c r="Y208" s="201">
        <f t="shared" ref="Y208:Y226" si="173">SUM(Q208:X208)</f>
        <v>0</v>
      </c>
      <c r="AA208" s="215">
        <f t="shared" ref="AA208:AA210" si="174">Y208+O208</f>
        <v>177997002186</v>
      </c>
      <c r="AC208" s="620" t="b">
        <f t="shared" ref="AC208:AC226" si="175">AA208=H208</f>
        <v>1</v>
      </c>
      <c r="AD208" s="28"/>
    </row>
    <row r="209" spans="1:30" ht="18" customHeight="1">
      <c r="A209" s="28"/>
      <c r="D209" s="590">
        <v>320500</v>
      </c>
      <c r="E209" s="164" t="s">
        <v>12</v>
      </c>
      <c r="F209" s="166">
        <v>5203</v>
      </c>
      <c r="G209" s="164" t="s">
        <v>193</v>
      </c>
      <c r="H209" s="259">
        <v>0</v>
      </c>
      <c r="I209" s="272">
        <v>0</v>
      </c>
      <c r="J209" s="272"/>
      <c r="K209" s="272">
        <v>0</v>
      </c>
      <c r="L209" s="259">
        <v>0</v>
      </c>
      <c r="M209" s="36"/>
      <c r="N209" s="36"/>
      <c r="O209" s="201">
        <f t="shared" si="172"/>
        <v>0</v>
      </c>
      <c r="Q209" s="636">
        <f>-SUMIF('1.0'!$D:$D,T_BS!D209,'1.0'!$J:$J)</f>
        <v>0</v>
      </c>
      <c r="R209" s="259">
        <f>-SUMIF('2.0'!$D:$D,T_BS!D209,'2.0'!$J:$J)</f>
        <v>0</v>
      </c>
      <c r="S209" s="36">
        <f>-ROUND(SUMIF('3.0'!$D:$D,T_BS!D209,'3.0'!$H:$H),0)</f>
        <v>0</v>
      </c>
      <c r="T209" s="272">
        <f>-ROUND(SUMIF('4.0'!$D:$D,T_BS!D209,'4.0'!$J:$J),0)</f>
        <v>0</v>
      </c>
      <c r="U209" s="36">
        <f>-ROUND(SUMIF('5.0'!$D:$D,T_BS!D209,'5.0'!$J:$J),0)</f>
        <v>0</v>
      </c>
      <c r="V209" s="272">
        <f>-ROUND(SUMIF('6.0'!$D:$D,T_BS!D209,'6.0'!$J:$J),0)</f>
        <v>0</v>
      </c>
      <c r="W209" s="272">
        <f>-ROUND(SUMIF('7.0'!$D:$D,T_BS!D209,'7.0'!$I:$I),0)</f>
        <v>0</v>
      </c>
      <c r="X209" s="272">
        <f>-ROUND(SUMIF('8.0'!$D:$D,T_BS!D209,'8.0'!$H:$H),0)</f>
        <v>0</v>
      </c>
      <c r="Y209" s="201">
        <f t="shared" si="173"/>
        <v>0</v>
      </c>
      <c r="AA209" s="215">
        <f t="shared" si="174"/>
        <v>0</v>
      </c>
      <c r="AC209" s="620" t="b">
        <f t="shared" si="175"/>
        <v>1</v>
      </c>
      <c r="AD209" s="28"/>
    </row>
    <row r="210" spans="1:30" ht="18" customHeight="1">
      <c r="A210" s="28"/>
      <c r="D210" s="590">
        <v>320300</v>
      </c>
      <c r="E210" s="164" t="s">
        <v>12</v>
      </c>
      <c r="F210" s="166">
        <v>5202</v>
      </c>
      <c r="G210" s="164" t="s">
        <v>194</v>
      </c>
      <c r="H210" s="259">
        <v>681360191</v>
      </c>
      <c r="I210" s="272">
        <v>0</v>
      </c>
      <c r="J210" s="272"/>
      <c r="K210" s="272">
        <v>0</v>
      </c>
      <c r="L210" s="259">
        <v>0</v>
      </c>
      <c r="M210" s="36"/>
      <c r="N210" s="36"/>
      <c r="O210" s="201">
        <f t="shared" si="172"/>
        <v>681360191</v>
      </c>
      <c r="Q210" s="636">
        <f>-SUMIF('1.0'!$D:$D,T_BS!D210,'1.0'!$J:$J)</f>
        <v>-118784521</v>
      </c>
      <c r="R210" s="259">
        <f>-SUMIF('2.0'!$D:$D,T_BS!D210,'2.0'!$J:$J)</f>
        <v>0</v>
      </c>
      <c r="S210" s="36">
        <f>-ROUND(SUMIF('3.0'!$D:$D,T_BS!D210,'3.0'!$H:$H),0)</f>
        <v>0</v>
      </c>
      <c r="T210" s="272">
        <f>-ROUND(SUMIF('4.0'!$D:$D,T_BS!D210,'4.0'!$J:$J),0)</f>
        <v>0</v>
      </c>
      <c r="U210" s="36">
        <f>-ROUND(SUMIF('5.0'!$D:$D,T_BS!D210,'5.0'!$J:$J),0)</f>
        <v>0</v>
      </c>
      <c r="V210" s="272">
        <f>-ROUND(SUMIF('6.0'!$D:$D,T_BS!D210,'6.0'!$J:$J),0)</f>
        <v>0</v>
      </c>
      <c r="W210" s="272">
        <f>-ROUND(SUMIF('7.0'!$D:$D,T_BS!D210,'7.0'!$I:$I),0)</f>
        <v>0</v>
      </c>
      <c r="X210" s="272">
        <f>-ROUND(SUMIF('8.0'!$D:$D,T_BS!D210,'8.0'!$H:$H),0)</f>
        <v>0</v>
      </c>
      <c r="Y210" s="201">
        <f t="shared" si="173"/>
        <v>-118784521</v>
      </c>
      <c r="AA210" s="215">
        <f t="shared" si="174"/>
        <v>562575670</v>
      </c>
      <c r="AC210" s="620"/>
      <c r="AD210" s="28"/>
    </row>
    <row r="211" spans="1:30" ht="18" customHeight="1">
      <c r="A211" s="28"/>
      <c r="D211" s="586"/>
      <c r="E211" s="587"/>
      <c r="F211" s="588"/>
      <c r="G211" s="587" t="s">
        <v>195</v>
      </c>
      <c r="H211" s="52">
        <f>SUM(H212:H220)</f>
        <v>-8341868290</v>
      </c>
      <c r="I211" s="52">
        <f t="shared" ref="I211:O211" si="176">SUM(I212:I220)</f>
        <v>766811473</v>
      </c>
      <c r="J211" s="52">
        <f t="shared" si="176"/>
        <v>0</v>
      </c>
      <c r="K211" s="52">
        <f t="shared" si="176"/>
        <v>0</v>
      </c>
      <c r="L211" s="52">
        <f t="shared" si="176"/>
        <v>-751002100</v>
      </c>
      <c r="M211" s="52">
        <f t="shared" si="176"/>
        <v>0</v>
      </c>
      <c r="N211" s="52">
        <f t="shared" si="176"/>
        <v>0</v>
      </c>
      <c r="O211" s="589">
        <f t="shared" si="176"/>
        <v>-8326058917</v>
      </c>
      <c r="Q211" s="634">
        <f>SUM(Q212:Q220)</f>
        <v>0</v>
      </c>
      <c r="R211" s="52">
        <f>SUM(R212:R220)</f>
        <v>0</v>
      </c>
      <c r="S211" s="52">
        <f t="shared" ref="S211:W211" si="177">SUM(S212:S220)</f>
        <v>0</v>
      </c>
      <c r="T211" s="52">
        <f t="shared" si="177"/>
        <v>0</v>
      </c>
      <c r="U211" s="52">
        <f t="shared" si="177"/>
        <v>987762609</v>
      </c>
      <c r="V211" s="52">
        <f t="shared" si="177"/>
        <v>0</v>
      </c>
      <c r="W211" s="52">
        <f t="shared" si="177"/>
        <v>0</v>
      </c>
      <c r="X211" s="52">
        <f>SUM(X212:X220)</f>
        <v>6036794558</v>
      </c>
      <c r="Y211" s="589">
        <f>SUM(Y212:Y220)</f>
        <v>7024557167</v>
      </c>
      <c r="AA211" s="614">
        <f>SUM(AA212:AA220)</f>
        <v>-1301501750</v>
      </c>
      <c r="AC211" s="620"/>
      <c r="AD211" s="28"/>
    </row>
    <row r="212" spans="1:30" ht="18" customHeight="1">
      <c r="A212" s="28"/>
      <c r="D212" s="590">
        <v>350300</v>
      </c>
      <c r="E212" s="164" t="s">
        <v>195</v>
      </c>
      <c r="F212" s="166">
        <v>5304</v>
      </c>
      <c r="G212" s="164" t="s">
        <v>196</v>
      </c>
      <c r="H212" s="259">
        <v>-4240000</v>
      </c>
      <c r="I212" s="272">
        <v>0</v>
      </c>
      <c r="J212" s="272"/>
      <c r="K212" s="272"/>
      <c r="L212" s="259">
        <v>0</v>
      </c>
      <c r="M212" s="36"/>
      <c r="N212" s="36"/>
      <c r="O212" s="201">
        <f t="shared" si="172"/>
        <v>-4240000</v>
      </c>
      <c r="Q212" s="636">
        <f>-SUMIF('1.0'!$D:$D,T_BS!D212,'1.0'!$J:$J)</f>
        <v>0</v>
      </c>
      <c r="R212" s="259">
        <f>-SUMIF('2.0'!$D:$D,T_BS!D212,'2.0'!$J:$J)</f>
        <v>0</v>
      </c>
      <c r="S212" s="36">
        <f>-ROUND(SUMIF('3.0'!$D:$D,T_BS!D212,'3.0'!$H:$H),0)</f>
        <v>0</v>
      </c>
      <c r="T212" s="272">
        <f>-ROUND(SUMIF('4.0'!$D:$D,T_BS!D212,'4.0'!$J:$J),0)</f>
        <v>0</v>
      </c>
      <c r="U212" s="36">
        <f>-ROUND(SUMIF('5.0'!$D:$D,T_BS!D212,'5.0'!$J:$J),0)</f>
        <v>0</v>
      </c>
      <c r="V212" s="272">
        <f>-ROUND(SUMIF('6.0'!$D:$D,T_BS!D212,'6.0'!$J:$J),0)</f>
        <v>0</v>
      </c>
      <c r="W212" s="272">
        <f>-ROUND(SUMIF('7.0'!$D:$D,T_BS!D212,'7.0'!$I:$I),0)</f>
        <v>0</v>
      </c>
      <c r="X212" s="272">
        <f>-ROUND(SUMIF('8.0'!$D:$D,T_BS!D212,'8.0'!$H:$H),0)</f>
        <v>0</v>
      </c>
      <c r="Y212" s="201">
        <f t="shared" si="173"/>
        <v>0</v>
      </c>
      <c r="AA212" s="215">
        <f t="shared" ref="AA212:AA220" si="178">Y212+O212</f>
        <v>-4240000</v>
      </c>
      <c r="AC212" s="620" t="b">
        <f t="shared" si="175"/>
        <v>1</v>
      </c>
      <c r="AD212" s="28"/>
    </row>
    <row r="213" spans="1:30" ht="18" customHeight="1">
      <c r="A213" s="28"/>
      <c r="D213" s="590">
        <v>350350</v>
      </c>
      <c r="E213" s="164" t="s">
        <v>195</v>
      </c>
      <c r="F213" s="166">
        <v>5301</v>
      </c>
      <c r="G213" s="164" t="s">
        <v>197</v>
      </c>
      <c r="H213" s="259">
        <v>-1292039719</v>
      </c>
      <c r="I213" s="272">
        <v>0</v>
      </c>
      <c r="J213" s="272"/>
      <c r="K213" s="272"/>
      <c r="L213" s="259">
        <v>0</v>
      </c>
      <c r="M213" s="36"/>
      <c r="N213" s="36"/>
      <c r="O213" s="201">
        <f t="shared" si="172"/>
        <v>-1292039719</v>
      </c>
      <c r="Q213" s="636">
        <f>-SUMIF('1.0'!$D:$D,T_BS!D213,'1.0'!$J:$J)</f>
        <v>0</v>
      </c>
      <c r="R213" s="259">
        <f>-SUMIF('2.0'!$D:$D,T_BS!D213,'2.0'!$J:$J)</f>
        <v>0</v>
      </c>
      <c r="S213" s="36">
        <f>-ROUND(SUMIF('3.0'!$D:$D,T_BS!D213,'3.0'!$H:$H),0)</f>
        <v>0</v>
      </c>
      <c r="T213" s="272">
        <f>-ROUND(SUMIF('4.0'!$D:$D,T_BS!D213,'4.0'!$J:$J),0)</f>
        <v>0</v>
      </c>
      <c r="U213" s="36">
        <f>-ROUND(SUMIF('5.0'!$D:$D,T_BS!D213,'5.0'!$J:$J),0)</f>
        <v>0</v>
      </c>
      <c r="V213" s="272">
        <f>-ROUND(SUMIF('6.0'!$D:$D,T_BS!D213,'6.0'!$J:$J),0)</f>
        <v>0</v>
      </c>
      <c r="W213" s="272">
        <f>-ROUND(SUMIF('7.0'!$D:$D,T_BS!D213,'7.0'!$I:$I),0)</f>
        <v>0</v>
      </c>
      <c r="X213" s="272">
        <f>-ROUND(SUMIF('8.0'!$D:$D,T_BS!D213,'8.0'!$H:$H),0)</f>
        <v>0</v>
      </c>
      <c r="Y213" s="201">
        <f t="shared" si="173"/>
        <v>0</v>
      </c>
      <c r="AA213" s="215">
        <f t="shared" si="178"/>
        <v>-1292039719</v>
      </c>
      <c r="AC213" s="620" t="b">
        <f t="shared" si="175"/>
        <v>1</v>
      </c>
      <c r="AD213" s="28"/>
    </row>
    <row r="214" spans="1:30" ht="18" customHeight="1">
      <c r="A214" s="28"/>
      <c r="D214" s="590" t="s">
        <v>1357</v>
      </c>
      <c r="E214" s="164" t="s">
        <v>195</v>
      </c>
      <c r="F214" s="166" t="s">
        <v>616</v>
      </c>
      <c r="G214" s="164" t="s">
        <v>226</v>
      </c>
      <c r="H214" s="259">
        <v>0</v>
      </c>
      <c r="I214" s="272">
        <v>0</v>
      </c>
      <c r="J214" s="272"/>
      <c r="K214" s="272"/>
      <c r="L214" s="259">
        <v>0</v>
      </c>
      <c r="M214" s="36"/>
      <c r="N214" s="36"/>
      <c r="O214" s="201">
        <f t="shared" si="172"/>
        <v>0</v>
      </c>
      <c r="Q214" s="636">
        <f>-SUMIF('1.0'!$D:$D,T_BS!D214,'1.0'!$J:$J)</f>
        <v>0</v>
      </c>
      <c r="R214" s="259">
        <f>-SUMIF('2.0'!$D:$D,T_BS!D214,'2.0'!$J:$J)</f>
        <v>0</v>
      </c>
      <c r="S214" s="36">
        <f>-ROUND(SUMIF('3.0'!$D:$D,T_BS!D214,'3.0'!$H:$H),0)</f>
        <v>0</v>
      </c>
      <c r="T214" s="272">
        <f>-ROUND(SUMIF('4.0'!$D:$D,T_BS!D214,'4.0'!$J:$J),0)</f>
        <v>0</v>
      </c>
      <c r="U214" s="36">
        <f>-ROUND(SUMIF('5.0'!$D:$D,T_BS!D214,'5.0'!$J:$J),0)</f>
        <v>0</v>
      </c>
      <c r="V214" s="272">
        <f>-ROUND(SUMIF('6.0'!$D:$D,T_BS!D214,'6.0'!$J:$J),0)</f>
        <v>0</v>
      </c>
      <c r="W214" s="272">
        <f>-ROUND(SUMIF('7.0'!$D:$D,T_BS!D214,'7.0'!$I:$I),0)</f>
        <v>0</v>
      </c>
      <c r="X214" s="272">
        <f>-ROUND(SUMIF('8.0'!$D:$D,T_BS!D214,'8.0'!$H:$H),0)</f>
        <v>0</v>
      </c>
      <c r="Y214" s="201">
        <f t="shared" si="173"/>
        <v>0</v>
      </c>
      <c r="AA214" s="215">
        <f t="shared" si="178"/>
        <v>0</v>
      </c>
      <c r="AC214" s="620" t="b">
        <f t="shared" si="175"/>
        <v>1</v>
      </c>
      <c r="AD214" s="28"/>
    </row>
    <row r="215" spans="1:30" ht="18" customHeight="1">
      <c r="A215" s="28"/>
      <c r="D215" s="590">
        <v>350400</v>
      </c>
      <c r="E215" s="164" t="s">
        <v>195</v>
      </c>
      <c r="F215" s="166">
        <v>5302</v>
      </c>
      <c r="G215" s="164" t="s">
        <v>198</v>
      </c>
      <c r="H215" s="259">
        <v>674683389</v>
      </c>
      <c r="I215" s="272">
        <v>0</v>
      </c>
      <c r="J215" s="272"/>
      <c r="K215" s="272"/>
      <c r="L215" s="259">
        <v>0</v>
      </c>
      <c r="M215" s="36"/>
      <c r="N215" s="36"/>
      <c r="O215" s="201">
        <f t="shared" si="172"/>
        <v>674683389</v>
      </c>
      <c r="Q215" s="636">
        <f>-SUMIF('1.0'!$D:$D,T_BS!D215,'1.0'!$J:$J)</f>
        <v>0</v>
      </c>
      <c r="R215" s="259">
        <f>-SUMIF('2.0'!$D:$D,T_BS!D215,'2.0'!$J:$J)</f>
        <v>0</v>
      </c>
      <c r="S215" s="36">
        <f>-ROUND(SUMIF('3.0'!$D:$D,T_BS!D215,'3.0'!$H:$H),0)</f>
        <v>0</v>
      </c>
      <c r="T215" s="272">
        <f>-ROUND(SUMIF('4.0'!$D:$D,T_BS!D215,'4.0'!$J:$J),0)</f>
        <v>0</v>
      </c>
      <c r="U215" s="36">
        <f>-ROUND(SUMIF('5.0'!$D:$D,T_BS!D215,'5.0'!$J:$J),0)</f>
        <v>0</v>
      </c>
      <c r="V215" s="272">
        <f>-ROUND(SUMIF('6.0'!$D:$D,T_BS!D215,'6.0'!$J:$J),0)</f>
        <v>0</v>
      </c>
      <c r="W215" s="272">
        <f>-ROUND(SUMIF('7.0'!$D:$D,T_BS!D215,'7.0'!$I:$I),0)</f>
        <v>0</v>
      </c>
      <c r="X215" s="272">
        <f>-ROUND(SUMIF('8.0'!$D:$D,T_BS!D215,'8.0'!$H:$H),0)</f>
        <v>0</v>
      </c>
      <c r="Y215" s="201">
        <f t="shared" si="173"/>
        <v>0</v>
      </c>
      <c r="AA215" s="215">
        <f t="shared" si="178"/>
        <v>674683389</v>
      </c>
      <c r="AC215" s="620" t="b">
        <f>T_IS!AA39=AA215</f>
        <v>1</v>
      </c>
      <c r="AD215" s="28"/>
    </row>
    <row r="216" spans="1:30" ht="18" customHeight="1">
      <c r="A216" s="28"/>
      <c r="D216" s="590">
        <v>350210</v>
      </c>
      <c r="E216" s="164" t="s">
        <v>195</v>
      </c>
      <c r="F216" s="166">
        <v>5304</v>
      </c>
      <c r="G216" s="164" t="s">
        <v>199</v>
      </c>
      <c r="H216" s="259">
        <v>-7720271960</v>
      </c>
      <c r="I216" s="272">
        <v>0</v>
      </c>
      <c r="J216" s="272"/>
      <c r="K216" s="272"/>
      <c r="L216" s="259">
        <v>-778091133</v>
      </c>
      <c r="M216" s="36"/>
      <c r="N216" s="36"/>
      <c r="O216" s="201">
        <f t="shared" si="172"/>
        <v>-8498363093</v>
      </c>
      <c r="Q216" s="636">
        <f>-SUMIF('1.0'!$D:$D,T_BS!D216,'1.0'!$J:$J)</f>
        <v>0</v>
      </c>
      <c r="R216" s="259">
        <f>-SUMIF('2.0'!$D:$D,T_BS!D216,'2.0'!$J:$J)</f>
        <v>0</v>
      </c>
      <c r="S216" s="36">
        <f>-ROUND(SUMIF('3.0'!$D:$D,T_BS!D216,'3.0'!$H:$H),0)</f>
        <v>0</v>
      </c>
      <c r="T216" s="272">
        <f>-ROUND(SUMIF('4.0'!$D:$D,T_BS!D216,'4.0'!$J:$J),0)</f>
        <v>0</v>
      </c>
      <c r="U216" s="36">
        <f>-ROUND(SUMIF('5.0'!$D:$D,T_BS!D216,'5.0'!$J:$J),0)</f>
        <v>0</v>
      </c>
      <c r="V216" s="272">
        <f>-ROUND(SUMIF('6.0'!$D:$D,T_BS!D216,'6.0'!$J:$J),0)</f>
        <v>0</v>
      </c>
      <c r="W216" s="272">
        <f>-ROUND(SUMIF('7.0'!$D:$D,T_BS!D216,'7.0'!$I:$I),0)</f>
        <v>0</v>
      </c>
      <c r="X216" s="272">
        <f>-ROUND(SUMIF('8.0'!$D:$D,T_BS!D216,'8.0'!$H:$H),0)</f>
        <v>5766494005</v>
      </c>
      <c r="Y216" s="201">
        <f t="shared" si="173"/>
        <v>5766494005</v>
      </c>
      <c r="AA216" s="215">
        <f t="shared" si="178"/>
        <v>-2731869088</v>
      </c>
      <c r="AC216" s="620"/>
      <c r="AD216" s="28"/>
    </row>
    <row r="217" spans="1:30" ht="18" customHeight="1">
      <c r="A217" s="28"/>
      <c r="D217" s="590" t="s">
        <v>1360</v>
      </c>
      <c r="E217" s="164" t="s">
        <v>195</v>
      </c>
      <c r="F217" s="166" t="s">
        <v>616</v>
      </c>
      <c r="G217" s="164" t="s">
        <v>201</v>
      </c>
      <c r="H217" s="259">
        <v>0</v>
      </c>
      <c r="I217" s="272">
        <v>0</v>
      </c>
      <c r="J217" s="272"/>
      <c r="K217" s="272"/>
      <c r="L217" s="259">
        <v>0</v>
      </c>
      <c r="M217" s="36"/>
      <c r="N217" s="36"/>
      <c r="O217" s="201">
        <f t="shared" si="172"/>
        <v>0</v>
      </c>
      <c r="Q217" s="636">
        <f>-SUMIF('1.0'!$D:$D,T_BS!D217,'1.0'!$J:$J)</f>
        <v>0</v>
      </c>
      <c r="R217" s="259">
        <f>-SUMIF('2.0'!$D:$D,T_BS!D217,'2.0'!$J:$J)</f>
        <v>0</v>
      </c>
      <c r="S217" s="36">
        <f>-ROUND(SUMIF('3.0'!$D:$D,T_BS!D217,'3.0'!$H:$H),0)</f>
        <v>0</v>
      </c>
      <c r="T217" s="272">
        <f>-ROUND(SUMIF('4.0'!$D:$D,T_BS!D217,'4.0'!$J:$J),0)</f>
        <v>0</v>
      </c>
      <c r="U217" s="36">
        <f>-ROUND(SUMIF('5.0'!$D:$D,T_BS!D217,'5.0'!$J:$J),0)</f>
        <v>0</v>
      </c>
      <c r="V217" s="272">
        <f>-ROUND(SUMIF('6.0'!$D:$D,T_BS!D217,'6.0'!$J:$J),0)</f>
        <v>0</v>
      </c>
      <c r="W217" s="272">
        <f>-ROUND(SUMIF('7.0'!$D:$D,T_BS!D217,'7.0'!$I:$I),0)</f>
        <v>0</v>
      </c>
      <c r="X217" s="272">
        <f>-ROUND(SUMIF('8.0'!$D:$D,T_BS!D217,'8.0'!$H:$H),0)</f>
        <v>0</v>
      </c>
      <c r="Y217" s="201">
        <f t="shared" si="173"/>
        <v>0</v>
      </c>
      <c r="AA217" s="215">
        <f t="shared" si="178"/>
        <v>0</v>
      </c>
      <c r="AC217" s="620" t="b">
        <f t="shared" si="175"/>
        <v>1</v>
      </c>
      <c r="AD217" s="28"/>
    </row>
    <row r="218" spans="1:30" ht="18" customHeight="1">
      <c r="A218" s="28"/>
      <c r="D218" s="590" t="s">
        <v>1361</v>
      </c>
      <c r="E218" s="164" t="s">
        <v>195</v>
      </c>
      <c r="F218" s="166" t="s">
        <v>616</v>
      </c>
      <c r="G218" s="164" t="s">
        <v>203</v>
      </c>
      <c r="H218" s="259">
        <v>0</v>
      </c>
      <c r="I218" s="272">
        <v>0</v>
      </c>
      <c r="J218" s="272"/>
      <c r="K218" s="272"/>
      <c r="L218" s="259">
        <v>0</v>
      </c>
      <c r="M218" s="36"/>
      <c r="N218" s="36"/>
      <c r="O218" s="201">
        <f t="shared" si="172"/>
        <v>0</v>
      </c>
      <c r="Q218" s="636">
        <f>-SUMIF('1.0'!$D:$D,T_BS!D218,'1.0'!$J:$J)</f>
        <v>0</v>
      </c>
      <c r="R218" s="259">
        <f>-SUMIF('2.0'!$D:$D,T_BS!D218,'2.0'!$J:$J)</f>
        <v>0</v>
      </c>
      <c r="S218" s="36">
        <f>-ROUND(SUMIF('3.0'!$D:$D,T_BS!D218,'3.0'!$H:$H),0)</f>
        <v>0</v>
      </c>
      <c r="T218" s="272">
        <f>-ROUND(SUMIF('4.0'!$D:$D,T_BS!D218,'4.0'!$J:$J),0)</f>
        <v>0</v>
      </c>
      <c r="U218" s="36">
        <f>-ROUND(SUMIF('5.0'!$D:$D,T_BS!D218,'5.0'!$J:$J),0)</f>
        <v>0</v>
      </c>
      <c r="V218" s="272">
        <f>-ROUND(SUMIF('6.0'!$D:$D,T_BS!D218,'6.0'!$J:$J),0)</f>
        <v>0</v>
      </c>
      <c r="W218" s="272">
        <f>-ROUND(SUMIF('7.0'!$D:$D,T_BS!D218,'7.0'!$I:$I),0)</f>
        <v>0</v>
      </c>
      <c r="X218" s="272">
        <f>-ROUND(SUMIF('8.0'!$D:$D,T_BS!D218,'8.0'!$H:$H),0)</f>
        <v>0</v>
      </c>
      <c r="Y218" s="201">
        <f t="shared" si="173"/>
        <v>0</v>
      </c>
      <c r="AA218" s="215">
        <f t="shared" si="178"/>
        <v>0</v>
      </c>
      <c r="AC218" s="620" t="b">
        <f t="shared" si="175"/>
        <v>1</v>
      </c>
      <c r="AD218" s="28"/>
    </row>
    <row r="219" spans="1:30" ht="18" customHeight="1">
      <c r="A219" s="28"/>
      <c r="D219" s="590" t="s">
        <v>1362</v>
      </c>
      <c r="E219" s="164" t="s">
        <v>195</v>
      </c>
      <c r="F219" s="166">
        <v>5307</v>
      </c>
      <c r="G219" s="164" t="s">
        <v>1358</v>
      </c>
      <c r="H219" s="259">
        <v>0</v>
      </c>
      <c r="I219" s="272">
        <v>766811473</v>
      </c>
      <c r="J219" s="272"/>
      <c r="K219" s="272"/>
      <c r="L219" s="259">
        <v>27089033</v>
      </c>
      <c r="M219" s="36"/>
      <c r="N219" s="36"/>
      <c r="O219" s="201">
        <f t="shared" si="172"/>
        <v>793900506</v>
      </c>
      <c r="Q219" s="636">
        <f>-SUMIF('1.0'!$D:$D,T_BS!D219,'1.0'!$J:$J)</f>
        <v>0</v>
      </c>
      <c r="R219" s="259">
        <f>-SUMIF('2.0'!$D:$D,T_BS!D219,'2.0'!$J:$J)</f>
        <v>0</v>
      </c>
      <c r="S219" s="36">
        <f>-ROUND(SUMIF('3.0'!$D:$D,T_BS!D219,'3.0'!$H:$H),0)</f>
        <v>0</v>
      </c>
      <c r="T219" s="272">
        <f>-ROUND(SUMIF('4.0'!$D:$D,T_BS!D219,'4.0'!$J:$J),0)</f>
        <v>0</v>
      </c>
      <c r="U219" s="36">
        <f>-ROUND(SUMIF('5.0'!$D:$D,T_BS!D219,'5.0'!$J:$J),0)</f>
        <v>987762609</v>
      </c>
      <c r="V219" s="272">
        <f>-ROUND(SUMIF('6.0'!$D:$D,T_BS!D219,'6.0'!$J:$J),0)</f>
        <v>0</v>
      </c>
      <c r="W219" s="272">
        <f>-ROUND(SUMIF('7.0'!$D:$D,T_BS!D219,'7.0'!$I:$I),0)</f>
        <v>0</v>
      </c>
      <c r="X219" s="272">
        <f>-ROUND(SUMIF('8.0'!$D:$D,T_BS!D219,'8.0'!$H:$H),0)</f>
        <v>270300553</v>
      </c>
      <c r="Y219" s="201">
        <f t="shared" si="173"/>
        <v>1258063162</v>
      </c>
      <c r="AA219" s="215">
        <f t="shared" si="178"/>
        <v>2051963668</v>
      </c>
      <c r="AC219" s="620"/>
      <c r="AD219" s="28"/>
    </row>
    <row r="220" spans="1:30" ht="18" customHeight="1">
      <c r="A220" s="28"/>
      <c r="D220" s="590" t="s">
        <v>1363</v>
      </c>
      <c r="E220" s="164" t="s">
        <v>195</v>
      </c>
      <c r="F220" s="166"/>
      <c r="G220" s="164" t="s">
        <v>1359</v>
      </c>
      <c r="H220" s="259">
        <v>0</v>
      </c>
      <c r="I220" s="272">
        <v>0</v>
      </c>
      <c r="J220" s="272">
        <v>0</v>
      </c>
      <c r="K220" s="272"/>
      <c r="L220" s="259">
        <v>0</v>
      </c>
      <c r="M220" s="36"/>
      <c r="N220" s="36"/>
      <c r="O220" s="201">
        <f t="shared" si="172"/>
        <v>0</v>
      </c>
      <c r="Q220" s="636">
        <f>-SUMIF('1.0'!$D:$D,T_BS!D220,'1.0'!$J:$J)</f>
        <v>0</v>
      </c>
      <c r="R220" s="259">
        <f>-SUMIF('2.0'!$D:$D,T_BS!D220,'2.0'!$J:$J)</f>
        <v>0</v>
      </c>
      <c r="S220" s="36"/>
      <c r="T220" s="272">
        <f>-ROUND(SUMIF('4.0'!$D:$D,T_BS!D220,'4.0'!$J:$J),0)</f>
        <v>0</v>
      </c>
      <c r="U220" s="36">
        <f>-ROUND(SUMIF('5.0'!$D:$D,T_BS!D220,'5.0'!$J:$J),0)</f>
        <v>0</v>
      </c>
      <c r="V220" s="272">
        <f>-ROUND(SUMIF('6.0'!$D:$D,T_BS!D220,'6.0'!$J:$J),0)</f>
        <v>0</v>
      </c>
      <c r="W220" s="272">
        <f>-ROUND(SUMIF('7.0'!$D:$D,T_BS!D220,'7.0'!$I:$I),0)</f>
        <v>0</v>
      </c>
      <c r="X220" s="272">
        <f>-ROUND(SUMIF('8.0'!$D:$D,T_BS!D220,'8.0'!$H:$H),0)</f>
        <v>0</v>
      </c>
      <c r="Y220" s="201">
        <f t="shared" si="173"/>
        <v>0</v>
      </c>
      <c r="AA220" s="215">
        <f t="shared" si="178"/>
        <v>0</v>
      </c>
      <c r="AC220" s="620" t="b">
        <f t="shared" si="175"/>
        <v>1</v>
      </c>
      <c r="AD220" s="28"/>
    </row>
    <row r="221" spans="1:30" ht="18" customHeight="1">
      <c r="A221" s="28"/>
      <c r="D221" s="586"/>
      <c r="E221" s="587"/>
      <c r="F221" s="588"/>
      <c r="G221" s="587" t="s">
        <v>13</v>
      </c>
      <c r="H221" s="52">
        <f>SUM(H222:H224)</f>
        <v>-84205618648</v>
      </c>
      <c r="I221" s="52">
        <f t="shared" ref="I221:N221" si="179">SUM(I222:I224)</f>
        <v>-36277765348</v>
      </c>
      <c r="J221" s="52">
        <f t="shared" si="179"/>
        <v>0</v>
      </c>
      <c r="K221" s="52">
        <f t="shared" si="179"/>
        <v>0</v>
      </c>
      <c r="L221" s="52">
        <f t="shared" si="179"/>
        <v>4563084657</v>
      </c>
      <c r="M221" s="52"/>
      <c r="N221" s="52">
        <f t="shared" si="179"/>
        <v>0</v>
      </c>
      <c r="O221" s="589">
        <f t="shared" ref="O221" si="180">SUM(O222:O224)</f>
        <v>-115920299339</v>
      </c>
      <c r="Q221" s="634">
        <f t="shared" ref="Q221:V221" si="181">SUM(Q222:Q224)</f>
        <v>138627321</v>
      </c>
      <c r="R221" s="52">
        <f t="shared" si="181"/>
        <v>0</v>
      </c>
      <c r="S221" s="52">
        <f t="shared" si="181"/>
        <v>0</v>
      </c>
      <c r="T221" s="52">
        <f t="shared" si="181"/>
        <v>-3658730</v>
      </c>
      <c r="U221" s="52">
        <f t="shared" si="181"/>
        <v>4497701651</v>
      </c>
      <c r="V221" s="52">
        <f t="shared" si="181"/>
        <v>0</v>
      </c>
      <c r="W221" s="52">
        <f t="shared" ref="W221:X221" si="182">SUM(W222:W224)</f>
        <v>0</v>
      </c>
      <c r="X221" s="52">
        <f t="shared" si="182"/>
        <v>23516669330</v>
      </c>
      <c r="Y221" s="589">
        <f t="shared" ref="Y221:AA221" si="183">SUM(Y222:Y224)</f>
        <v>28149339572</v>
      </c>
      <c r="AA221" s="614">
        <f t="shared" si="183"/>
        <v>-87770959767</v>
      </c>
      <c r="AC221" s="620"/>
      <c r="AD221" s="28"/>
    </row>
    <row r="222" spans="1:30" ht="18" customHeight="1">
      <c r="A222" s="28"/>
      <c r="D222" s="590">
        <v>350951</v>
      </c>
      <c r="E222" s="164" t="s">
        <v>13</v>
      </c>
      <c r="F222" s="166">
        <v>5401</v>
      </c>
      <c r="G222" s="164" t="s">
        <v>206</v>
      </c>
      <c r="H222" s="259">
        <v>-862949102</v>
      </c>
      <c r="I222" s="272">
        <v>0</v>
      </c>
      <c r="J222" s="272"/>
      <c r="K222" s="272"/>
      <c r="L222" s="259">
        <v>0</v>
      </c>
      <c r="M222" s="36"/>
      <c r="N222" s="36"/>
      <c r="O222" s="201">
        <f t="shared" si="172"/>
        <v>-862949102</v>
      </c>
      <c r="Q222" s="636">
        <f>-SUMIF('1.0'!$D:$D,T_BS!D222,'1.0'!$J:$J)</f>
        <v>622390102</v>
      </c>
      <c r="R222" s="259">
        <f>-SUMIF('2.0'!$D:$D,T_BS!D222,'2.0'!$J:$J)</f>
        <v>0</v>
      </c>
      <c r="S222" s="36">
        <f>-ROUND(SUMIF('3.0'!$D:$D,T_BS!D222,'3.0'!$H:$H),0)</f>
        <v>0</v>
      </c>
      <c r="T222" s="272">
        <f>-ROUND(SUMIF('4.0'!$D:$D,T_BS!D222,'4.0'!$J:$J),0)</f>
        <v>0</v>
      </c>
      <c r="U222" s="36">
        <f>-ROUND(SUMIF('5.0'!$D:$D,T_BS!D222,'5.0'!$J:$J),0)</f>
        <v>0</v>
      </c>
      <c r="V222" s="272">
        <f>-ROUND(SUMIF('6.0'!$D:$D,T_BS!D222,'6.0'!$J:$J),0)</f>
        <v>0</v>
      </c>
      <c r="W222" s="272">
        <f>-ROUND(SUMIF('7.0'!$D:$D,T_BS!D222,'7.0'!$I:$I),0)</f>
        <v>0</v>
      </c>
      <c r="X222" s="272">
        <f>-ROUND(SUMIF('8.0'!$D:$D,T_BS!D222,'8.0'!$H:$H),0)</f>
        <v>0</v>
      </c>
      <c r="Y222" s="201">
        <f>SUM(Q222:X222)</f>
        <v>622390102</v>
      </c>
      <c r="AA222" s="215">
        <f t="shared" ref="AA222:AA224" si="184">Y222+O222</f>
        <v>-240559000</v>
      </c>
      <c r="AC222" s="620"/>
      <c r="AD222" s="28"/>
    </row>
    <row r="223" spans="1:30" ht="18" customHeight="1">
      <c r="A223" s="28"/>
      <c r="D223" s="591" t="s">
        <v>1364</v>
      </c>
      <c r="E223" s="164" t="s">
        <v>13</v>
      </c>
      <c r="F223" s="166">
        <v>5402</v>
      </c>
      <c r="G223" s="164" t="s">
        <v>208</v>
      </c>
      <c r="H223" s="259">
        <v>-34761513470</v>
      </c>
      <c r="I223" s="272">
        <v>-36022060065</v>
      </c>
      <c r="J223" s="272"/>
      <c r="K223" s="272"/>
      <c r="L223" s="259">
        <v>4047014238</v>
      </c>
      <c r="M223" s="36"/>
      <c r="N223" s="36"/>
      <c r="O223" s="201">
        <f t="shared" si="172"/>
        <v>-66736559297</v>
      </c>
      <c r="Q223" s="636">
        <f>-SUMIF('1.0'!$D:$D,T_BS!D223,'1.0'!$J:$J)</f>
        <v>-25956360741</v>
      </c>
      <c r="R223" s="259">
        <f>-SUMIF('2.0'!$D:$D,T_BS!D223,'2.0'!$J:$J)</f>
        <v>2590571062</v>
      </c>
      <c r="S223" s="36">
        <f>-ROUND(SUMIF('3.0'!$D:$D,T_BS!D223,'3.0'!$H:$H),0)</f>
        <v>0</v>
      </c>
      <c r="T223" s="272">
        <f>-ROUND(SUMIF('4.0'!$D:$D,T_BS!D223,'4.0'!$J:$J),0)</f>
        <v>-1741527888</v>
      </c>
      <c r="U223" s="36">
        <f>-ROUND(SUMIF('5.0'!$D:$D,T_BS!D223,'5.0'!$J:$J),0)</f>
        <v>25538086561</v>
      </c>
      <c r="V223" s="272">
        <f>-ROUND(SUMIF('6.0'!$D:$D,T_BS!D223,'6.0'!$J:$J),0)</f>
        <v>0</v>
      </c>
      <c r="W223" s="272">
        <f>-ROUND(SUMIF('7.0'!$D:$D,T_BS!D223,'7.0'!$I:$I),0)</f>
        <v>0</v>
      </c>
      <c r="X223" s="272">
        <f>-ROUND(SUMIF('8.0'!$D:$D,T_BS!D223,'8.0'!$H:$H),0)</f>
        <v>26780911682</v>
      </c>
      <c r="Y223" s="201">
        <f t="shared" si="173"/>
        <v>27211680676</v>
      </c>
      <c r="AA223" s="215">
        <f t="shared" si="184"/>
        <v>-39524878621</v>
      </c>
      <c r="AC223" s="620"/>
      <c r="AD223" s="28"/>
    </row>
    <row r="224" spans="1:30" ht="18" customHeight="1">
      <c r="A224" s="28"/>
      <c r="D224" s="591" t="s">
        <v>1365</v>
      </c>
      <c r="E224" s="164" t="s">
        <v>13</v>
      </c>
      <c r="F224" s="166" t="s">
        <v>616</v>
      </c>
      <c r="G224" s="164" t="s">
        <v>210</v>
      </c>
      <c r="H224" s="259">
        <v>-48581156076</v>
      </c>
      <c r="I224" s="272">
        <v>-255705283</v>
      </c>
      <c r="J224" s="272"/>
      <c r="K224" s="272"/>
      <c r="L224" s="259">
        <v>516070419</v>
      </c>
      <c r="M224" s="36"/>
      <c r="N224" s="36"/>
      <c r="O224" s="201">
        <f t="shared" si="172"/>
        <v>-48320790940</v>
      </c>
      <c r="Q224" s="636">
        <f>-SUMIF('1.0'!$D:$D,T_BS!D224,'1.0'!$J:$J)</f>
        <v>25472597960</v>
      </c>
      <c r="R224" s="259">
        <f>-SUMIF('2.0'!$D:$D,T_BS!D224,'2.0'!$J:$J)</f>
        <v>-2590571062</v>
      </c>
      <c r="S224" s="36">
        <f>-ROUND(SUMIF('3.0'!$D:$D,T_BS!D224,'3.0'!$H:$H),0)</f>
        <v>0</v>
      </c>
      <c r="T224" s="272">
        <f>-ROUND(SUMIF('4.0'!$D:$D,T_BS!D224,'4.0'!$J:$J),0)</f>
        <v>1737869158</v>
      </c>
      <c r="U224" s="36">
        <f>-ROUND(SUMIF('5.0'!$D:$D,T_BS!D224,'5.0'!$J:$J),0)</f>
        <v>-21040384910</v>
      </c>
      <c r="V224" s="272">
        <f>-ROUND(SUMIF('6.0'!$D:$D,T_BS!D224,'6.0'!$J:$J),0)</f>
        <v>0</v>
      </c>
      <c r="W224" s="272">
        <f>-ROUND(SUMIF('7.0'!$D:$D,T_BS!D224,'7.0'!$I:$I),0)</f>
        <v>0</v>
      </c>
      <c r="X224" s="272">
        <f>-ROUND(SUMIF('8.0'!$D:$D,T_BS!D224,'8.0'!$H:$H),0)</f>
        <v>-3264242352</v>
      </c>
      <c r="Y224" s="201">
        <f>SUM(Q224:X224)</f>
        <v>315268794</v>
      </c>
      <c r="AA224" s="215">
        <f t="shared" si="184"/>
        <v>-48005522146</v>
      </c>
      <c r="AC224" s="27" t="b">
        <f>T_IS!AA120=AA224</f>
        <v>1</v>
      </c>
      <c r="AD224" s="28"/>
    </row>
    <row r="225" spans="1:29" ht="18" customHeight="1">
      <c r="A225" s="28"/>
      <c r="D225" s="583"/>
      <c r="E225" s="584"/>
      <c r="F225" s="585"/>
      <c r="G225" s="584" t="s">
        <v>211</v>
      </c>
      <c r="H225" s="49">
        <f>H226</f>
        <v>0</v>
      </c>
      <c r="I225" s="49">
        <f t="shared" ref="I225:AA225" si="185">I226</f>
        <v>0</v>
      </c>
      <c r="J225" s="49">
        <f t="shared" si="185"/>
        <v>0</v>
      </c>
      <c r="K225" s="49">
        <f t="shared" si="185"/>
        <v>0</v>
      </c>
      <c r="L225" s="49">
        <f t="shared" si="185"/>
        <v>0</v>
      </c>
      <c r="M225" s="49"/>
      <c r="N225" s="49">
        <f t="shared" si="185"/>
        <v>0</v>
      </c>
      <c r="O225" s="340">
        <f t="shared" si="185"/>
        <v>0</v>
      </c>
      <c r="Q225" s="325">
        <f t="shared" si="185"/>
        <v>0</v>
      </c>
      <c r="R225" s="49">
        <f t="shared" si="185"/>
        <v>0</v>
      </c>
      <c r="S225" s="49">
        <f t="shared" si="185"/>
        <v>0</v>
      </c>
      <c r="T225" s="49">
        <f t="shared" si="185"/>
        <v>0</v>
      </c>
      <c r="U225" s="49">
        <f t="shared" si="185"/>
        <v>0</v>
      </c>
      <c r="V225" s="49">
        <f t="shared" si="185"/>
        <v>0</v>
      </c>
      <c r="W225" s="49">
        <f t="shared" si="185"/>
        <v>0</v>
      </c>
      <c r="X225" s="49">
        <f t="shared" si="185"/>
        <v>0</v>
      </c>
      <c r="Y225" s="340">
        <f t="shared" si="185"/>
        <v>0</v>
      </c>
      <c r="AA225" s="608">
        <f t="shared" si="185"/>
        <v>0</v>
      </c>
      <c r="AC225" s="620" t="b">
        <f t="shared" si="175"/>
        <v>1</v>
      </c>
    </row>
    <row r="226" spans="1:29" ht="18" customHeight="1">
      <c r="A226" s="28"/>
      <c r="D226" s="591" t="s">
        <v>496</v>
      </c>
      <c r="E226" s="162"/>
      <c r="F226" s="166"/>
      <c r="G226" s="162" t="s">
        <v>211</v>
      </c>
      <c r="H226" s="259">
        <v>0</v>
      </c>
      <c r="I226" s="272">
        <v>0</v>
      </c>
      <c r="J226" s="58">
        <v>0</v>
      </c>
      <c r="K226" s="272">
        <v>0</v>
      </c>
      <c r="L226" s="259">
        <v>0</v>
      </c>
      <c r="M226" s="58"/>
      <c r="N226" s="58"/>
      <c r="O226" s="201">
        <f t="shared" si="172"/>
        <v>0</v>
      </c>
      <c r="Q226" s="636">
        <f>-SUMIF('1.0'!$D:$D,T_BS!D226,'1.0'!$J:$J)</f>
        <v>0</v>
      </c>
      <c r="R226" s="259">
        <f>-SUMIF('2.0'!$D:$D,T_BS!D226,'2.0'!$J:$J)</f>
        <v>0</v>
      </c>
      <c r="S226" s="36">
        <f>-ROUND(SUMIF('3.0'!$D:$D,T_BS!D226,'3.0'!$H:$H),0)</f>
        <v>0</v>
      </c>
      <c r="T226" s="272">
        <f>-ROUND(SUMIF('4.0'!$D:$D,T_BS!D226,'4.0'!$J:$J),0)</f>
        <v>0</v>
      </c>
      <c r="U226" s="36">
        <f>-ROUND(SUMIF('5.0'!$D:$D,T_BS!D226,'5.0'!$J:$J),0)</f>
        <v>0</v>
      </c>
      <c r="V226" s="58">
        <v>0</v>
      </c>
      <c r="W226" s="272">
        <f>-ROUND(SUMIF('7.0'!$D:$D,T_BS!D226,'7.0'!$I:$I),0)</f>
        <v>0</v>
      </c>
      <c r="X226" s="272">
        <f>-ROUND(SUMIF('8.0'!$D:$D,T_BS!D226,'8.0'!$H:$H),0)</f>
        <v>0</v>
      </c>
      <c r="Y226" s="201">
        <f t="shared" si="173"/>
        <v>0</v>
      </c>
      <c r="AA226" s="215">
        <f t="shared" ref="AA226" si="186">Y226+O226</f>
        <v>0</v>
      </c>
      <c r="AC226" s="620" t="b">
        <f t="shared" si="175"/>
        <v>1</v>
      </c>
    </row>
    <row r="227" spans="1:29" ht="18" customHeight="1" thickBot="1">
      <c r="A227" s="28"/>
      <c r="D227" s="647"/>
      <c r="E227" s="648"/>
      <c r="F227" s="649"/>
      <c r="G227" s="648" t="s">
        <v>213</v>
      </c>
      <c r="H227" s="650">
        <f>SUM(H204,H133)</f>
        <v>164361524556</v>
      </c>
      <c r="I227" s="650">
        <f>SUM(I204,I133)</f>
        <v>2042247554</v>
      </c>
      <c r="J227" s="650">
        <f>SUM(J204,J133)</f>
        <v>0</v>
      </c>
      <c r="K227" s="650">
        <f>SUM(K204,K133)</f>
        <v>0</v>
      </c>
      <c r="L227" s="650">
        <f>SUM(L204,L133)</f>
        <v>7342109718</v>
      </c>
      <c r="M227" s="650"/>
      <c r="N227" s="650">
        <f>SUM(N204,N133)</f>
        <v>0</v>
      </c>
      <c r="O227" s="651">
        <f>SUM(O204,O133)</f>
        <v>173745881828</v>
      </c>
      <c r="Q227" s="652">
        <f t="shared" ref="Q227:V227" si="187">SUM(Q204,Q133)</f>
        <v>19842800</v>
      </c>
      <c r="R227" s="650">
        <f t="shared" si="187"/>
        <v>0</v>
      </c>
      <c r="S227" s="650">
        <f t="shared" si="187"/>
        <v>-1543225326</v>
      </c>
      <c r="T227" s="650">
        <f t="shared" si="187"/>
        <v>-3658730</v>
      </c>
      <c r="U227" s="650">
        <f t="shared" si="187"/>
        <v>7337997894</v>
      </c>
      <c r="V227" s="650">
        <f t="shared" si="187"/>
        <v>0</v>
      </c>
      <c r="W227" s="650">
        <f t="shared" ref="W227:X227" si="188">SUM(W204,W133)</f>
        <v>0</v>
      </c>
      <c r="X227" s="650">
        <f t="shared" si="188"/>
        <v>-7971283612</v>
      </c>
      <c r="Y227" s="651">
        <f>SUM(Y204,Y133)</f>
        <v>-2160326974</v>
      </c>
      <c r="AA227" s="653">
        <f>SUM(AA204,AA133)</f>
        <v>171585554854</v>
      </c>
    </row>
    <row r="228" spans="1:29" s="620" customFormat="1" ht="18" customHeight="1">
      <c r="B228" s="471"/>
      <c r="C228" s="471"/>
      <c r="D228" s="621"/>
      <c r="F228" s="621"/>
      <c r="H228" s="27" t="b">
        <f>H224-T_IS!H120=0</f>
        <v>1</v>
      </c>
      <c r="I228" s="27" t="b">
        <f>I224=T_IS!I120</f>
        <v>1</v>
      </c>
      <c r="J228" s="27"/>
      <c r="K228" s="27"/>
      <c r="L228" s="27"/>
      <c r="M228" s="27"/>
      <c r="N228" s="27"/>
      <c r="O228" s="27"/>
      <c r="P228" s="622"/>
      <c r="Q228" s="27"/>
      <c r="R228" s="27"/>
      <c r="S228" s="27"/>
      <c r="T228" s="27"/>
      <c r="U228" s="27"/>
      <c r="V228" s="27"/>
      <c r="W228" s="27"/>
      <c r="X228" s="27"/>
      <c r="Y228" s="27"/>
      <c r="AA228" s="27"/>
    </row>
    <row r="229" spans="1:29" ht="18" customHeight="1">
      <c r="Q229" s="28">
        <f>Q224-T_IS!Q120</f>
        <v>0</v>
      </c>
      <c r="S229" s="28">
        <f>S224-T_IS!S120</f>
        <v>0</v>
      </c>
      <c r="T229" s="28">
        <f>T224-T_IS!T120</f>
        <v>0</v>
      </c>
      <c r="U229" s="28">
        <f>U224-T_IS!U120</f>
        <v>0</v>
      </c>
      <c r="V229" s="28">
        <f>V224-T_IS!V120</f>
        <v>0</v>
      </c>
      <c r="W229" s="28">
        <f>W224-T_IS!W120</f>
        <v>0</v>
      </c>
    </row>
  </sheetData>
  <autoFilter ref="D6:AA227" xr:uid="{277B4FDA-A06F-45D1-95D6-4B3C7CD41578}"/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2:AE128"/>
  <sheetViews>
    <sheetView showGridLines="0" zoomScaleNormal="100" workbookViewId="0">
      <pane xSplit="7" ySplit="5" topLeftCell="H105" activePane="bottomRight" state="frozen"/>
      <selection activeCell="F167" sqref="F162:F167"/>
      <selection pane="topRight" activeCell="F167" sqref="F162:F167"/>
      <selection pane="bottomLeft" activeCell="F167" sqref="F162:F167"/>
      <selection pane="bottomRight" activeCell="H111" sqref="H111"/>
    </sheetView>
  </sheetViews>
  <sheetFormatPr defaultColWidth="8.75" defaultRowHeight="18" customHeight="1" outlineLevelCol="1"/>
  <cols>
    <col min="1" max="1" width="13.875" style="164" bestFit="1" customWidth="1"/>
    <col min="2" max="3" width="2.375" style="164" customWidth="1"/>
    <col min="4" max="5" width="15.625" style="164" customWidth="1"/>
    <col min="6" max="6" width="15.625" style="166" customWidth="1"/>
    <col min="7" max="7" width="32.625" style="164" bestFit="1" customWidth="1"/>
    <col min="8" max="14" width="20.375" style="164" customWidth="1" outlineLevel="1"/>
    <col min="15" max="15" width="20.375" style="164" customWidth="1"/>
    <col min="16" max="16" width="2.75" style="164" customWidth="1"/>
    <col min="17" max="24" width="20.375" style="164" customWidth="1" outlineLevel="1"/>
    <col min="25" max="25" width="20.375" style="164" customWidth="1"/>
    <col min="26" max="26" width="2.375" style="164" customWidth="1"/>
    <col min="27" max="27" width="20.375" style="164" customWidth="1"/>
    <col min="28" max="28" width="2.375" style="164" customWidth="1"/>
    <col min="29" max="29" width="20.375" style="164" hidden="1" customWidth="1"/>
    <col min="30" max="30" width="18.875" style="471" customWidth="1"/>
    <col min="31" max="31" width="12.125" style="164" bestFit="1" customWidth="1"/>
    <col min="32" max="16384" width="8.75" style="164"/>
  </cols>
  <sheetData>
    <row r="2" spans="1:31" ht="18" customHeight="1">
      <c r="H2" s="36"/>
      <c r="L2" s="36"/>
    </row>
    <row r="3" spans="1:31" s="166" customFormat="1" ht="18" customHeight="1">
      <c r="J3" s="163"/>
      <c r="Y3" s="267"/>
      <c r="AD3" s="595"/>
    </row>
    <row r="4" spans="1:31" s="595" customFormat="1" ht="18" customHeight="1" thickBot="1">
      <c r="H4" s="536" t="s">
        <v>1636</v>
      </c>
      <c r="I4" s="536" t="s">
        <v>1636</v>
      </c>
      <c r="J4" s="595" t="s">
        <v>1849</v>
      </c>
      <c r="K4" s="536" t="s">
        <v>1915</v>
      </c>
      <c r="L4" s="536" t="s">
        <v>1636</v>
      </c>
      <c r="M4" s="595" t="s">
        <v>1624</v>
      </c>
      <c r="N4" s="595" t="s">
        <v>1625</v>
      </c>
      <c r="U4" s="596">
        <f>-U118/U51</f>
        <v>0.34809998050010432</v>
      </c>
      <c r="AD4" s="597"/>
      <c r="AE4" s="597"/>
    </row>
    <row r="5" spans="1:31" s="497" customFormat="1" ht="26.1" customHeight="1">
      <c r="D5" s="493" t="s">
        <v>16</v>
      </c>
      <c r="E5" s="494" t="s">
        <v>17</v>
      </c>
      <c r="F5" s="494" t="s">
        <v>18</v>
      </c>
      <c r="G5" s="494" t="s">
        <v>19</v>
      </c>
      <c r="H5" s="322" t="s">
        <v>15</v>
      </c>
      <c r="I5" s="322" t="s">
        <v>218</v>
      </c>
      <c r="J5" s="322" t="s">
        <v>214</v>
      </c>
      <c r="K5" s="322" t="s">
        <v>215</v>
      </c>
      <c r="L5" s="322" t="s">
        <v>216</v>
      </c>
      <c r="M5" s="322" t="s">
        <v>534</v>
      </c>
      <c r="N5" s="322" t="s">
        <v>217</v>
      </c>
      <c r="O5" s="323" t="s">
        <v>228</v>
      </c>
      <c r="Q5" s="32" t="s">
        <v>392</v>
      </c>
      <c r="R5" s="33" t="s">
        <v>404</v>
      </c>
      <c r="S5" s="33" t="s">
        <v>405</v>
      </c>
      <c r="T5" s="33" t="s">
        <v>411</v>
      </c>
      <c r="U5" s="33" t="s">
        <v>412</v>
      </c>
      <c r="V5" s="33" t="s">
        <v>491</v>
      </c>
      <c r="W5" s="33" t="s">
        <v>494</v>
      </c>
      <c r="X5" s="33" t="s">
        <v>495</v>
      </c>
      <c r="Y5" s="34" t="s">
        <v>493</v>
      </c>
      <c r="AA5" s="598" t="s">
        <v>543</v>
      </c>
      <c r="AC5" s="598" t="s">
        <v>543</v>
      </c>
      <c r="AD5" s="599"/>
    </row>
    <row r="6" spans="1:31" ht="18" customHeight="1">
      <c r="A6" s="36"/>
      <c r="D6" s="583"/>
      <c r="E6" s="600"/>
      <c r="F6" s="600"/>
      <c r="G6" s="601" t="s">
        <v>229</v>
      </c>
      <c r="H6" s="62">
        <f t="shared" ref="H6:O6" si="0">SUM(H7:H24)</f>
        <v>174357763314</v>
      </c>
      <c r="I6" s="62">
        <f t="shared" si="0"/>
        <v>299577983</v>
      </c>
      <c r="J6" s="62">
        <f t="shared" si="0"/>
        <v>1831074748</v>
      </c>
      <c r="K6" s="62">
        <f t="shared" si="0"/>
        <v>73531590</v>
      </c>
      <c r="L6" s="62">
        <f t="shared" si="0"/>
        <v>17018292097</v>
      </c>
      <c r="M6" s="62">
        <f t="shared" si="0"/>
        <v>0</v>
      </c>
      <c r="N6" s="62">
        <f t="shared" si="0"/>
        <v>5139760965</v>
      </c>
      <c r="O6" s="602">
        <f t="shared" si="0"/>
        <v>198720000697</v>
      </c>
      <c r="Q6" s="603">
        <f t="shared" ref="Q6:Y6" si="1">SUM(Q7:Q24)</f>
        <v>0</v>
      </c>
      <c r="R6" s="62">
        <f t="shared" si="1"/>
        <v>0</v>
      </c>
      <c r="S6" s="62">
        <f t="shared" si="1"/>
        <v>-1758838013</v>
      </c>
      <c r="T6" s="62">
        <f t="shared" si="1"/>
        <v>0</v>
      </c>
      <c r="U6" s="62">
        <f t="shared" si="1"/>
        <v>0</v>
      </c>
      <c r="V6" s="62">
        <f t="shared" si="1"/>
        <v>0</v>
      </c>
      <c r="W6" s="62">
        <f t="shared" si="1"/>
        <v>0</v>
      </c>
      <c r="X6" s="62">
        <f t="shared" si="1"/>
        <v>0</v>
      </c>
      <c r="Y6" s="604">
        <f t="shared" si="1"/>
        <v>-1758838013</v>
      </c>
      <c r="AA6" s="605">
        <f>SUM(AA7:AA24)</f>
        <v>196961162684</v>
      </c>
      <c r="AC6" s="605">
        <f>SUM(AC7:AC24)</f>
        <v>158959853368</v>
      </c>
      <c r="AD6" s="263"/>
      <c r="AE6" s="36"/>
    </row>
    <row r="7" spans="1:31" ht="18" customHeight="1">
      <c r="A7" s="36"/>
      <c r="D7" s="590">
        <v>410100</v>
      </c>
      <c r="E7" s="164" t="s">
        <v>229</v>
      </c>
      <c r="F7" s="166">
        <v>101</v>
      </c>
      <c r="G7" s="164" t="s">
        <v>617</v>
      </c>
      <c r="H7" s="36">
        <v>24700084876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284545</v>
      </c>
      <c r="O7" s="201">
        <f t="shared" ref="O7:O34" si="2">SUM(H7:N7)</f>
        <v>24700369421</v>
      </c>
      <c r="Q7" s="35">
        <f>-ROUND(SUMIF('1.0'!$D:$D,T_IS!D7,'1.0'!$J:$J),0)</f>
        <v>0</v>
      </c>
      <c r="R7" s="36">
        <f>-ROUND(SUMIF('2.0'!$D:$D,T_IS!D7,'2.0'!$J:$J),0)</f>
        <v>0</v>
      </c>
      <c r="S7" s="36">
        <f>-ROUND(SUMIF('3.0'!$D:$D,T_IS!D7,'3.0'!$H:$H),0)</f>
        <v>0</v>
      </c>
      <c r="T7" s="36">
        <f>-ROUND(SUMIF('4.0'!$D:$D,T_IS!D7,'4.0'!$J:$J),0)</f>
        <v>0</v>
      </c>
      <c r="U7" s="36">
        <f>-ROUND(SUMIF('5.0'!$D:$D,T_IS!D7,'5.0'!$J:$J),0)</f>
        <v>0</v>
      </c>
      <c r="V7" s="36">
        <f>-ROUND(SUMIF('6.0'!$D:$D,T_IS!D7,'6.0'!$J:$J),0)</f>
        <v>-2101856723</v>
      </c>
      <c r="W7" s="36">
        <f>-ROUND(SUMIF('7.0'!$D:$D,T_IS!D7,'7.0'!$I:$I),0)</f>
        <v>0</v>
      </c>
      <c r="X7" s="36">
        <f>-ROUND(SUMIF('8.0'!$D:$D,T_IS!F7,'8.0'!$H:$H),0)</f>
        <v>0</v>
      </c>
      <c r="Y7" s="38">
        <f t="shared" ref="Y7:Y24" si="3">SUM(Q7:X7)</f>
        <v>-2101856723</v>
      </c>
      <c r="AA7" s="215">
        <f>Y7+O7</f>
        <v>22598512698</v>
      </c>
      <c r="AC7" s="215">
        <f>AA7+Q7</f>
        <v>22598512698</v>
      </c>
      <c r="AD7" s="263"/>
      <c r="AE7" s="36"/>
    </row>
    <row r="8" spans="1:31" ht="18" customHeight="1">
      <c r="A8" s="36"/>
      <c r="D8" s="590">
        <v>410120</v>
      </c>
      <c r="E8" s="164" t="s">
        <v>229</v>
      </c>
      <c r="F8" s="166">
        <v>101</v>
      </c>
      <c r="G8" s="164" t="s">
        <v>618</v>
      </c>
      <c r="H8" s="36">
        <v>-54129959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/>
      <c r="O8" s="201">
        <f t="shared" si="2"/>
        <v>-54129959</v>
      </c>
      <c r="Q8" s="35">
        <f>-ROUND(SUMIF('1.0'!$D:$D,T_IS!D8,'1.0'!$J:$J),0)</f>
        <v>0</v>
      </c>
      <c r="R8" s="36">
        <f>-ROUND(SUMIF('2.0'!$D:$D,T_IS!D8,'2.0'!$J:$J),0)</f>
        <v>0</v>
      </c>
      <c r="S8" s="36">
        <f>-ROUND(SUMIF('3.0'!$D:$D,T_IS!D8,'3.0'!$H:$H),0)</f>
        <v>0</v>
      </c>
      <c r="T8" s="36">
        <f>-ROUND(SUMIF('4.0'!$D:$D,T_IS!D8,'4.0'!$J:$J),0)</f>
        <v>0</v>
      </c>
      <c r="U8" s="36">
        <f>-ROUND(SUMIF('5.0'!$D:$D,T_IS!D8,'5.0'!$J:$J),0)</f>
        <v>0</v>
      </c>
      <c r="V8" s="36">
        <f>-ROUND(SUMIF('6.0'!$D:$D,T_IS!D8,'6.0'!$J:$J),0)</f>
        <v>0</v>
      </c>
      <c r="W8" s="36">
        <f>-ROUND(SUMIF('7.0'!$D:$D,T_IS!D8,'7.0'!$I:$I),0)</f>
        <v>0</v>
      </c>
      <c r="X8" s="36">
        <f>-ROUND(SUMIF('8.0'!$D:$D,T_IS!F8,'8.0'!$H:$H),0)</f>
        <v>0</v>
      </c>
      <c r="Y8" s="38">
        <f t="shared" si="3"/>
        <v>0</v>
      </c>
      <c r="AA8" s="215">
        <f t="shared" ref="AA8:AA24" si="4">Y8+O8</f>
        <v>-54129959</v>
      </c>
      <c r="AC8" s="215"/>
      <c r="AD8" s="263"/>
      <c r="AE8" s="36"/>
    </row>
    <row r="9" spans="1:31" ht="18" customHeight="1">
      <c r="A9" s="36"/>
      <c r="D9" s="590">
        <v>410130</v>
      </c>
      <c r="E9" s="164" t="s">
        <v>229</v>
      </c>
      <c r="F9" s="166">
        <v>105</v>
      </c>
      <c r="G9" s="164" t="s">
        <v>619</v>
      </c>
      <c r="H9" s="36">
        <v>1869884166</v>
      </c>
      <c r="I9" s="36">
        <v>272499748</v>
      </c>
      <c r="J9" s="36">
        <v>1808572031</v>
      </c>
      <c r="K9" s="36">
        <v>20784944</v>
      </c>
      <c r="L9" s="36">
        <v>17018292097</v>
      </c>
      <c r="M9" s="36">
        <v>0</v>
      </c>
      <c r="N9" s="36"/>
      <c r="O9" s="201">
        <f t="shared" si="2"/>
        <v>20990032986</v>
      </c>
      <c r="Q9" s="35">
        <f>-ROUND(SUMIF('1.0'!$D:$D,T_IS!D9,'1.0'!$J:$J),0)</f>
        <v>0</v>
      </c>
      <c r="R9" s="36">
        <f>-ROUND(SUMIF('2.0'!$D:$D,T_IS!D9,'2.0'!$J:$J),0)</f>
        <v>0</v>
      </c>
      <c r="S9" s="36">
        <f>-ROUND(SUMIF('3.0'!$D:$D,T_IS!D9,'3.0'!$H:$H),0)</f>
        <v>-196789041</v>
      </c>
      <c r="T9" s="36">
        <f>-ROUND(SUMIF('4.0'!$D:$D,T_IS!D9,'4.0'!$J:$J),0)</f>
        <v>0</v>
      </c>
      <c r="U9" s="36">
        <f>-ROUND(SUMIF('5.0'!$D:$D,T_IS!D9,'5.0'!$J:$J),0)</f>
        <v>0</v>
      </c>
      <c r="V9" s="36">
        <f>-ROUND(SUMIF('6.0'!$D:$D,T_IS!D9,'6.0'!$J:$J),0)</f>
        <v>0</v>
      </c>
      <c r="W9" s="36">
        <f>-ROUND(SUMIF('7.0'!$D:$D,T_IS!D9,'7.0'!$I:$I),0)</f>
        <v>0</v>
      </c>
      <c r="X9" s="36">
        <f>-ROUND(SUMIF('8.0'!$D:$D,T_IS!F9,'8.0'!$H:$H),0)</f>
        <v>0</v>
      </c>
      <c r="Y9" s="38">
        <f t="shared" si="3"/>
        <v>-196789041</v>
      </c>
      <c r="AA9" s="215">
        <f t="shared" si="4"/>
        <v>20793243945</v>
      </c>
      <c r="AC9" s="215"/>
      <c r="AD9" s="263"/>
      <c r="AE9" s="36"/>
    </row>
    <row r="10" spans="1:31" ht="18" customHeight="1">
      <c r="A10" s="36"/>
      <c r="D10" s="590">
        <v>410140</v>
      </c>
      <c r="E10" s="164" t="s">
        <v>229</v>
      </c>
      <c r="F10" s="166">
        <v>105</v>
      </c>
      <c r="G10" s="164" t="s">
        <v>620</v>
      </c>
      <c r="H10" s="36">
        <v>-177218635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/>
      <c r="O10" s="201">
        <f t="shared" si="2"/>
        <v>-177218635</v>
      </c>
      <c r="Q10" s="35">
        <f>-ROUND(SUMIF('1.0'!$D:$D,T_IS!D10,'1.0'!$J:$J),0)</f>
        <v>0</v>
      </c>
      <c r="R10" s="36">
        <f>-ROUND(SUMIF('2.0'!$D:$D,T_IS!D10,'2.0'!$J:$J),0)</f>
        <v>0</v>
      </c>
      <c r="S10" s="36">
        <f>-ROUND(SUMIF('3.0'!$D:$D,T_IS!D10,'3.0'!$H:$H),0)</f>
        <v>24022782</v>
      </c>
      <c r="T10" s="36">
        <f>-ROUND(SUMIF('4.0'!$D:$D,T_IS!D10,'4.0'!$J:$J),0)</f>
        <v>0</v>
      </c>
      <c r="U10" s="36">
        <f>-ROUND(SUMIF('5.0'!$D:$D,T_IS!D10,'5.0'!$J:$J),0)</f>
        <v>0</v>
      </c>
      <c r="V10" s="36">
        <f>-ROUND(SUMIF('6.0'!$D:$D,T_IS!D10,'6.0'!$J:$J),0)</f>
        <v>0</v>
      </c>
      <c r="W10" s="36">
        <f>-ROUND(SUMIF('7.0'!$D:$D,T_IS!D10,'7.0'!$I:$I),0)</f>
        <v>0</v>
      </c>
      <c r="X10" s="36">
        <f>-ROUND(SUMIF('8.0'!$D:$D,T_IS!F10,'8.0'!$H:$H),0)</f>
        <v>0</v>
      </c>
      <c r="Y10" s="38">
        <f t="shared" si="3"/>
        <v>24022782</v>
      </c>
      <c r="AA10" s="215">
        <f t="shared" si="4"/>
        <v>-153195853</v>
      </c>
      <c r="AC10" s="215"/>
      <c r="AD10" s="263"/>
      <c r="AE10" s="36"/>
    </row>
    <row r="11" spans="1:31" ht="18" customHeight="1">
      <c r="A11" s="36"/>
      <c r="D11" s="590" t="s">
        <v>1922</v>
      </c>
      <c r="E11" s="164" t="s">
        <v>229</v>
      </c>
      <c r="F11" s="166">
        <v>105</v>
      </c>
      <c r="G11" s="164" t="s">
        <v>1923</v>
      </c>
      <c r="H11" s="36">
        <v>-35097491</v>
      </c>
      <c r="I11" s="36"/>
      <c r="J11" s="36"/>
      <c r="K11" s="36">
        <v>0</v>
      </c>
      <c r="L11" s="36">
        <v>0</v>
      </c>
      <c r="M11" s="36"/>
      <c r="N11" s="36"/>
      <c r="O11" s="201">
        <f t="shared" si="2"/>
        <v>-35097491</v>
      </c>
      <c r="Q11" s="35"/>
      <c r="R11" s="36"/>
      <c r="S11" s="36"/>
      <c r="T11" s="36"/>
      <c r="U11" s="36"/>
      <c r="V11" s="36"/>
      <c r="W11" s="36"/>
      <c r="X11" s="36"/>
      <c r="Y11" s="38"/>
      <c r="AA11" s="215">
        <f t="shared" si="4"/>
        <v>-35097491</v>
      </c>
      <c r="AC11" s="215"/>
      <c r="AD11" s="263"/>
      <c r="AE11" s="36"/>
    </row>
    <row r="12" spans="1:31" ht="18" customHeight="1">
      <c r="A12" s="36"/>
      <c r="D12" s="590">
        <v>410200</v>
      </c>
      <c r="E12" s="164" t="s">
        <v>229</v>
      </c>
      <c r="F12" s="166">
        <v>102</v>
      </c>
      <c r="G12" s="164" t="s">
        <v>621</v>
      </c>
      <c r="H12" s="36">
        <v>13882104323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/>
      <c r="O12" s="201">
        <f t="shared" si="2"/>
        <v>13882104323</v>
      </c>
      <c r="Q12" s="35">
        <f>-ROUND(SUMIF('1.0'!$D:$D,T_IS!D12,'1.0'!$J:$J),0)</f>
        <v>0</v>
      </c>
      <c r="R12" s="36">
        <f>-ROUND(SUMIF('2.0'!$D:$D,T_IS!D12,'2.0'!$J:$J),0)</f>
        <v>0</v>
      </c>
      <c r="S12" s="36">
        <f>-ROUND(SUMIF('3.0'!$D:$D,T_IS!D12,'3.0'!$H:$H),0)</f>
        <v>0</v>
      </c>
      <c r="T12" s="36">
        <f>-ROUND(SUMIF('4.0'!$D:$D,T_IS!D12,'4.0'!$J:$J),0)</f>
        <v>0</v>
      </c>
      <c r="U12" s="36">
        <f>-ROUND(SUMIF('5.0'!$D:$D,T_IS!D12,'5.0'!$J:$J),0)</f>
        <v>0</v>
      </c>
      <c r="V12" s="36">
        <f>-ROUND(SUMIF('6.0'!$D:$D,T_IS!D12,'6.0'!$J:$J),0)</f>
        <v>2101856723</v>
      </c>
      <c r="W12" s="36">
        <f>-ROUND(SUMIF('7.0'!$D:$D,T_IS!D12,'7.0'!$I:$I),0)</f>
        <v>0</v>
      </c>
      <c r="X12" s="36">
        <f>-ROUND(SUMIF('8.0'!$D:$D,T_IS!F12,'8.0'!$H:$H),0)</f>
        <v>0</v>
      </c>
      <c r="Y12" s="38">
        <f t="shared" si="3"/>
        <v>2101856723</v>
      </c>
      <c r="AA12" s="215">
        <f t="shared" si="4"/>
        <v>15983961046</v>
      </c>
      <c r="AC12" s="215">
        <f t="shared" ref="AC12:AC34" si="5">AA12+Q12</f>
        <v>15983961046</v>
      </c>
      <c r="AD12" s="263"/>
      <c r="AE12" s="36"/>
    </row>
    <row r="13" spans="1:31" ht="18" customHeight="1">
      <c r="A13" s="36"/>
      <c r="D13" s="590">
        <v>410220</v>
      </c>
      <c r="E13" s="164" t="s">
        <v>229</v>
      </c>
      <c r="F13" s="166">
        <v>102</v>
      </c>
      <c r="G13" s="164" t="s">
        <v>622</v>
      </c>
      <c r="H13" s="36">
        <v>-8270000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/>
      <c r="O13" s="201">
        <f t="shared" si="2"/>
        <v>-8270000</v>
      </c>
      <c r="Q13" s="35">
        <f>-ROUND(SUMIF('1.0'!$D:$D,T_IS!D13,'1.0'!$J:$J),0)</f>
        <v>0</v>
      </c>
      <c r="R13" s="36">
        <f>-ROUND(SUMIF('2.0'!$D:$D,T_IS!D13,'2.0'!$J:$J),0)</f>
        <v>0</v>
      </c>
      <c r="S13" s="36">
        <f>-ROUND(SUMIF('3.0'!$D:$D,T_IS!D13,'3.0'!$H:$H),0)</f>
        <v>0</v>
      </c>
      <c r="T13" s="36">
        <f>-ROUND(SUMIF('4.0'!$D:$D,T_IS!D13,'4.0'!$J:$J),0)</f>
        <v>0</v>
      </c>
      <c r="U13" s="36">
        <f>-ROUND(SUMIF('5.0'!$D:$D,T_IS!D13,'5.0'!$J:$J),0)</f>
        <v>0</v>
      </c>
      <c r="V13" s="36">
        <f>-ROUND(SUMIF('6.0'!$D:$D,T_IS!D13,'6.0'!$J:$J),0)</f>
        <v>0</v>
      </c>
      <c r="W13" s="36">
        <f>-ROUND(SUMIF('7.0'!$D:$D,T_IS!D13,'7.0'!$I:$I),0)</f>
        <v>0</v>
      </c>
      <c r="X13" s="36">
        <f>-ROUND(SUMIF('8.0'!$D:$D,T_IS!F13,'8.0'!$H:$H),0)</f>
        <v>0</v>
      </c>
      <c r="Y13" s="38">
        <f t="shared" si="3"/>
        <v>0</v>
      </c>
      <c r="AA13" s="215">
        <f t="shared" si="4"/>
        <v>-8270000</v>
      </c>
      <c r="AC13" s="215"/>
      <c r="AD13" s="263"/>
      <c r="AE13" s="36"/>
    </row>
    <row r="14" spans="1:31" ht="18" customHeight="1">
      <c r="A14" s="36"/>
      <c r="D14" s="590" t="s">
        <v>1637</v>
      </c>
      <c r="E14" s="164" t="s">
        <v>229</v>
      </c>
      <c r="F14" s="166">
        <v>102</v>
      </c>
      <c r="G14" s="164" t="s">
        <v>1638</v>
      </c>
      <c r="H14" s="36">
        <v>-58937204</v>
      </c>
      <c r="I14" s="36">
        <v>0</v>
      </c>
      <c r="J14" s="36">
        <v>0</v>
      </c>
      <c r="K14" s="36">
        <v>0</v>
      </c>
      <c r="L14" s="36">
        <v>0</v>
      </c>
      <c r="M14" s="36"/>
      <c r="N14" s="36"/>
      <c r="O14" s="201">
        <f t="shared" si="2"/>
        <v>-58937204</v>
      </c>
      <c r="Q14" s="35">
        <f>-ROUND(SUMIF('1.0'!$D:$D,T_IS!D14,'1.0'!$J:$J),0)</f>
        <v>0</v>
      </c>
      <c r="R14" s="36">
        <f>-ROUND(SUMIF('2.0'!$D:$D,T_IS!D14,'2.0'!$J:$J),0)</f>
        <v>0</v>
      </c>
      <c r="S14" s="36">
        <f>-ROUND(SUMIF('3.0'!$D:$D,T_IS!D14,'3.0'!$H:$H),0)</f>
        <v>0</v>
      </c>
      <c r="T14" s="36"/>
      <c r="U14" s="36">
        <f>-ROUND(SUMIF('5.0'!$D:$D,T_IS!D14,'5.0'!$J:$J),0)</f>
        <v>0</v>
      </c>
      <c r="V14" s="36"/>
      <c r="W14" s="36">
        <f>-ROUND(SUMIF('7.0'!$D:$D,T_IS!D14,'7.0'!$I:$I),0)</f>
        <v>0</v>
      </c>
      <c r="X14" s="36"/>
      <c r="Y14" s="38">
        <f t="shared" si="3"/>
        <v>0</v>
      </c>
      <c r="AA14" s="215">
        <f t="shared" si="4"/>
        <v>-58937204</v>
      </c>
      <c r="AC14" s="215"/>
      <c r="AD14" s="263"/>
      <c r="AE14" s="36"/>
    </row>
    <row r="15" spans="1:31" ht="18" customHeight="1">
      <c r="A15" s="36"/>
      <c r="D15" s="590">
        <v>410230</v>
      </c>
      <c r="E15" s="164" t="s">
        <v>229</v>
      </c>
      <c r="F15" s="166">
        <v>106</v>
      </c>
      <c r="G15" s="164" t="s">
        <v>623</v>
      </c>
      <c r="H15" s="36">
        <v>-246248127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/>
      <c r="O15" s="201">
        <f t="shared" si="2"/>
        <v>-246248127</v>
      </c>
      <c r="Q15" s="35">
        <f>-ROUND(SUMIF('1.0'!$D:$D,T_IS!D15,'1.0'!$J:$J),0)</f>
        <v>0</v>
      </c>
      <c r="R15" s="36">
        <f>-ROUND(SUMIF('2.0'!$D:$D,T_IS!D15,'2.0'!$J:$J),0)</f>
        <v>0</v>
      </c>
      <c r="S15" s="36">
        <f>-ROUND(SUMIF('3.0'!$D:$D,T_IS!D15,'3.0'!$H:$H),0)</f>
        <v>0</v>
      </c>
      <c r="T15" s="36">
        <f>-ROUND(SUMIF('4.0'!$D:$D,T_IS!D15,'4.0'!$J:$J),0)</f>
        <v>0</v>
      </c>
      <c r="U15" s="36">
        <f>-ROUND(SUMIF('5.0'!$D:$D,T_IS!D15,'5.0'!$J:$J),0)</f>
        <v>0</v>
      </c>
      <c r="V15" s="36">
        <f>-ROUND(SUMIF('6.0'!$D:$D,T_IS!D15,'6.0'!$J:$J),0)</f>
        <v>0</v>
      </c>
      <c r="W15" s="36">
        <f>-ROUND(SUMIF('7.0'!$D:$D,T_IS!D15,'7.0'!$I:$I),0)</f>
        <v>0</v>
      </c>
      <c r="X15" s="36">
        <f>-ROUND(SUMIF('8.0'!$D:$D,T_IS!F15,'8.0'!$H:$H),0)</f>
        <v>0</v>
      </c>
      <c r="Y15" s="38">
        <f t="shared" si="3"/>
        <v>0</v>
      </c>
      <c r="AA15" s="215">
        <f t="shared" si="4"/>
        <v>-246248127</v>
      </c>
      <c r="AC15" s="215"/>
      <c r="AD15" s="263"/>
      <c r="AE15" s="36"/>
    </row>
    <row r="16" spans="1:31" ht="18" customHeight="1">
      <c r="A16" s="36"/>
      <c r="D16" s="590">
        <v>410240</v>
      </c>
      <c r="E16" s="164" t="s">
        <v>229</v>
      </c>
      <c r="F16" s="166">
        <v>106</v>
      </c>
      <c r="G16" s="164" t="s">
        <v>624</v>
      </c>
      <c r="H16" s="36">
        <v>20308982929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/>
      <c r="O16" s="201">
        <f t="shared" si="2"/>
        <v>20308982929</v>
      </c>
      <c r="Q16" s="35">
        <f>-ROUND(SUMIF('1.0'!$D:$D,T_IS!D16,'1.0'!$J:$J),0)</f>
        <v>0</v>
      </c>
      <c r="R16" s="36">
        <f>-ROUND(SUMIF('2.0'!$D:$D,T_IS!D16,'2.0'!$J:$J),0)</f>
        <v>0</v>
      </c>
      <c r="S16" s="36">
        <f>-ROUND(SUMIF('3.0'!$D:$D,T_IS!D16,'3.0'!$H:$H),0)</f>
        <v>-1960214703</v>
      </c>
      <c r="T16" s="36">
        <f>-ROUND(SUMIF('4.0'!$D:$D,T_IS!D16,'4.0'!$J:$J),0)</f>
        <v>0</v>
      </c>
      <c r="U16" s="36">
        <f>-ROUND(SUMIF('5.0'!$D:$D,T_IS!D16,'5.0'!$J:$J),0)</f>
        <v>0</v>
      </c>
      <c r="V16" s="36">
        <f>-ROUND(SUMIF('6.0'!$D:$D,T_IS!D16,'6.0'!$J:$J),0)</f>
        <v>0</v>
      </c>
      <c r="W16" s="36">
        <f>-ROUND(SUMIF('7.0'!$D:$D,T_IS!D16,'7.0'!$I:$I),0)</f>
        <v>0</v>
      </c>
      <c r="X16" s="36">
        <f>-ROUND(SUMIF('8.0'!$D:$D,T_IS!F16,'8.0'!$H:$H),0)</f>
        <v>0</v>
      </c>
      <c r="Y16" s="38">
        <f t="shared" si="3"/>
        <v>-1960214703</v>
      </c>
      <c r="AA16" s="215">
        <f t="shared" si="4"/>
        <v>18348768226</v>
      </c>
      <c r="AC16" s="215"/>
      <c r="AD16" s="263"/>
      <c r="AE16" s="36"/>
    </row>
    <row r="17" spans="1:31" ht="18" customHeight="1">
      <c r="A17" s="36"/>
      <c r="D17" s="590">
        <v>410241</v>
      </c>
      <c r="E17" s="164" t="s">
        <v>229</v>
      </c>
      <c r="F17" s="166">
        <v>106</v>
      </c>
      <c r="G17" s="164" t="s">
        <v>625</v>
      </c>
      <c r="H17" s="36">
        <v>-979676816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/>
      <c r="O17" s="201">
        <f t="shared" si="2"/>
        <v>-979676816</v>
      </c>
      <c r="Q17" s="35">
        <f>-ROUND(SUMIF('1.0'!$D:$D,T_IS!D17,'1.0'!$J:$J),0)</f>
        <v>0</v>
      </c>
      <c r="R17" s="36">
        <f>-ROUND(SUMIF('2.0'!$D:$D,T_IS!D17,'2.0'!$J:$J),0)</f>
        <v>0</v>
      </c>
      <c r="S17" s="36">
        <f>-ROUND(SUMIF('3.0'!$D:$D,T_IS!D17,'3.0'!$H:$H),0)</f>
        <v>394852595</v>
      </c>
      <c r="T17" s="36">
        <f>-ROUND(SUMIF('4.0'!$D:$D,T_IS!D17,'4.0'!$J:$J),0)</f>
        <v>0</v>
      </c>
      <c r="U17" s="36">
        <f>-ROUND(SUMIF('5.0'!$D:$D,T_IS!D17,'5.0'!$J:$J),0)</f>
        <v>0</v>
      </c>
      <c r="V17" s="36">
        <f>-ROUND(SUMIF('6.0'!$D:$D,T_IS!D17,'6.0'!$J:$J),0)</f>
        <v>0</v>
      </c>
      <c r="W17" s="36">
        <f>-ROUND(SUMIF('7.0'!$D:$D,T_IS!D17,'7.0'!$I:$I),0)</f>
        <v>0</v>
      </c>
      <c r="X17" s="36">
        <f>-ROUND(SUMIF('8.0'!$D:$D,T_IS!F17,'8.0'!$H:$H),0)</f>
        <v>0</v>
      </c>
      <c r="Y17" s="38">
        <f t="shared" si="3"/>
        <v>394852595</v>
      </c>
      <c r="AA17" s="215">
        <f t="shared" si="4"/>
        <v>-584824221</v>
      </c>
      <c r="AC17" s="215"/>
      <c r="AD17" s="263"/>
      <c r="AE17" s="36"/>
    </row>
    <row r="18" spans="1:31" ht="18" customHeight="1">
      <c r="A18" s="36"/>
      <c r="D18" s="590">
        <v>410610</v>
      </c>
      <c r="E18" s="164" t="s">
        <v>229</v>
      </c>
      <c r="F18" s="166">
        <v>103</v>
      </c>
      <c r="G18" s="164" t="s">
        <v>232</v>
      </c>
      <c r="H18" s="36">
        <v>40882767057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259"/>
      <c r="O18" s="201">
        <f t="shared" si="2"/>
        <v>40882767057</v>
      </c>
      <c r="Q18" s="35">
        <f>-ROUND(SUMIF('1.0'!$D:$D,T_IS!D18,'1.0'!$J:$J),0)</f>
        <v>0</v>
      </c>
      <c r="R18" s="36">
        <f>-ROUND(SUMIF('2.0'!$D:$D,T_IS!D18,'2.0'!$J:$J),0)</f>
        <v>0</v>
      </c>
      <c r="S18" s="36">
        <f>-ROUND(SUMIF('3.0'!$D:$D,T_IS!D18,'3.0'!$H:$H),0)</f>
        <v>-460206</v>
      </c>
      <c r="T18" s="36">
        <f>-ROUND(SUMIF('4.0'!$D:$D,T_IS!D18,'4.0'!$J:$J),0)</f>
        <v>0</v>
      </c>
      <c r="U18" s="36">
        <f>-ROUND(SUMIF('5.0'!$D:$D,T_IS!D18,'5.0'!$J:$J),0)</f>
        <v>0</v>
      </c>
      <c r="V18" s="36">
        <f>-ROUND(SUMIF('6.0'!$D:$D,T_IS!D18,'6.0'!$J:$J),0)</f>
        <v>0</v>
      </c>
      <c r="W18" s="36">
        <f>-ROUND(SUMIF('7.0'!$D:$D,T_IS!D18,'7.0'!$I:$I),0)</f>
        <v>0</v>
      </c>
      <c r="X18" s="36">
        <f>-ROUND(SUMIF('8.0'!$D:$D,T_IS!F18,'8.0'!$H:$H),0)</f>
        <v>0</v>
      </c>
      <c r="Y18" s="38">
        <f t="shared" si="3"/>
        <v>-460206</v>
      </c>
      <c r="AA18" s="215">
        <f t="shared" si="4"/>
        <v>40882306851</v>
      </c>
      <c r="AC18" s="215">
        <f t="shared" si="5"/>
        <v>40882306851</v>
      </c>
      <c r="AD18" s="263"/>
      <c r="AE18" s="36"/>
    </row>
    <row r="19" spans="1:31" ht="18" customHeight="1">
      <c r="A19" s="36"/>
      <c r="D19" s="590">
        <v>410620</v>
      </c>
      <c r="E19" s="164" t="s">
        <v>229</v>
      </c>
      <c r="F19" s="166">
        <v>103</v>
      </c>
      <c r="G19" s="164" t="s">
        <v>233</v>
      </c>
      <c r="H19" s="36">
        <v>6902215528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259"/>
      <c r="O19" s="201">
        <f t="shared" si="2"/>
        <v>6902215528</v>
      </c>
      <c r="Q19" s="35">
        <f>-ROUND(SUMIF('1.0'!$D:$D,T_IS!D19,'1.0'!$J:$J),0)</f>
        <v>0</v>
      </c>
      <c r="R19" s="36">
        <f>-ROUND(SUMIF('2.0'!$D:$D,T_IS!D19,'2.0'!$J:$J),0)</f>
        <v>0</v>
      </c>
      <c r="S19" s="36">
        <f>-ROUND(SUMIF('3.0'!$D:$D,T_IS!D19,'3.0'!$H:$H),0)</f>
        <v>0</v>
      </c>
      <c r="T19" s="36">
        <f>-ROUND(SUMIF('4.0'!$D:$D,T_IS!D19,'4.0'!$J:$J),0)</f>
        <v>0</v>
      </c>
      <c r="U19" s="36">
        <f>-ROUND(SUMIF('5.0'!$D:$D,T_IS!D19,'5.0'!$J:$J),0)</f>
        <v>0</v>
      </c>
      <c r="V19" s="36">
        <f>-ROUND(SUMIF('6.0'!$D:$D,T_IS!D19,'6.0'!$J:$J),0)</f>
        <v>0</v>
      </c>
      <c r="W19" s="36">
        <f>-ROUND(SUMIF('7.0'!$D:$D,T_IS!D19,'7.0'!$I:$I),0)</f>
        <v>0</v>
      </c>
      <c r="X19" s="36">
        <f>-ROUND(SUMIF('8.0'!$D:$D,T_IS!F19,'8.0'!$H:$H),0)</f>
        <v>0</v>
      </c>
      <c r="Y19" s="38">
        <f t="shared" si="3"/>
        <v>0</v>
      </c>
      <c r="AA19" s="215">
        <f t="shared" si="4"/>
        <v>6902215528</v>
      </c>
      <c r="AC19" s="215">
        <f t="shared" si="5"/>
        <v>6902215528</v>
      </c>
      <c r="AD19" s="263"/>
      <c r="AE19" s="36"/>
    </row>
    <row r="20" spans="1:31" ht="18" customHeight="1">
      <c r="A20" s="36"/>
      <c r="D20" s="590">
        <v>410630</v>
      </c>
      <c r="E20" s="164" t="s">
        <v>229</v>
      </c>
      <c r="F20" s="166">
        <v>103</v>
      </c>
      <c r="G20" s="164" t="s">
        <v>234</v>
      </c>
      <c r="H20" s="36">
        <v>57214705235</v>
      </c>
      <c r="I20" s="36">
        <v>0</v>
      </c>
      <c r="J20" s="36">
        <v>0</v>
      </c>
      <c r="K20" s="36">
        <v>32416456</v>
      </c>
      <c r="L20" s="36">
        <v>0</v>
      </c>
      <c r="M20" s="36">
        <v>0</v>
      </c>
      <c r="N20" s="259">
        <v>5119515504</v>
      </c>
      <c r="O20" s="201">
        <f t="shared" si="2"/>
        <v>62366637195</v>
      </c>
      <c r="Q20" s="35">
        <f>-ROUND(SUMIF('1.0'!$D:$D,T_IS!D20,'1.0'!$J:$J),0)</f>
        <v>0</v>
      </c>
      <c r="R20" s="36">
        <f>-ROUND(SUMIF('2.0'!$D:$D,T_IS!D20,'2.0'!$J:$J),0)</f>
        <v>0</v>
      </c>
      <c r="S20" s="36">
        <f>-ROUND(SUMIF('3.0'!$D:$D,T_IS!D20,'3.0'!$H:$H),0)</f>
        <v>0</v>
      </c>
      <c r="T20" s="36">
        <f>-ROUND(SUMIF('4.0'!$D:$D,T_IS!D20,'4.0'!$J:$J),0)</f>
        <v>0</v>
      </c>
      <c r="U20" s="36">
        <f>-ROUND(SUMIF('5.0'!$D:$D,T_IS!D20,'5.0'!$J:$J),0)</f>
        <v>0</v>
      </c>
      <c r="V20" s="36">
        <f>-ROUND(SUMIF('6.0'!$D:$D,T_IS!D20,'6.0'!$J:$J),0)</f>
        <v>0</v>
      </c>
      <c r="W20" s="36">
        <f>-ROUND(SUMIF('7.0'!$D:$D,T_IS!D20,'7.0'!$I:$I),0)</f>
        <v>0</v>
      </c>
      <c r="X20" s="36">
        <f>-ROUND(SUMIF('8.0'!$D:$D,T_IS!F20,'8.0'!$H:$H),0)</f>
        <v>0</v>
      </c>
      <c r="Y20" s="38">
        <f t="shared" si="3"/>
        <v>0</v>
      </c>
      <c r="AA20" s="215">
        <f t="shared" si="4"/>
        <v>62366637195</v>
      </c>
      <c r="AC20" s="215">
        <f t="shared" si="5"/>
        <v>62366637195</v>
      </c>
      <c r="AD20" s="263"/>
      <c r="AE20" s="36"/>
    </row>
    <row r="21" spans="1:31" ht="18" customHeight="1">
      <c r="A21" s="36"/>
      <c r="D21" s="590">
        <v>410640</v>
      </c>
      <c r="E21" s="164" t="s">
        <v>229</v>
      </c>
      <c r="F21" s="166">
        <v>103</v>
      </c>
      <c r="G21" s="164" t="s">
        <v>235</v>
      </c>
      <c r="H21" s="36">
        <v>65264084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/>
      <c r="O21" s="201">
        <f t="shared" si="2"/>
        <v>65264084</v>
      </c>
      <c r="Q21" s="35">
        <f>-ROUND(SUMIF('1.0'!$D:$D,T_IS!D21,'1.0'!$J:$J),0)</f>
        <v>0</v>
      </c>
      <c r="R21" s="36">
        <f>-ROUND(SUMIF('2.0'!$D:$D,T_IS!D21,'2.0'!$J:$J),0)</f>
        <v>0</v>
      </c>
      <c r="S21" s="36">
        <f>-ROUND(SUMIF('3.0'!$D:$D,T_IS!D21,'3.0'!$H:$H),0)</f>
        <v>0</v>
      </c>
      <c r="T21" s="36">
        <f>-ROUND(SUMIF('4.0'!$D:$D,T_IS!D21,'4.0'!$J:$J),0)</f>
        <v>0</v>
      </c>
      <c r="U21" s="36">
        <f>-ROUND(SUMIF('5.0'!$D:$D,T_IS!D21,'5.0'!$J:$J),0)</f>
        <v>0</v>
      </c>
      <c r="V21" s="36">
        <f>-ROUND(SUMIF('6.0'!$D:$D,T_IS!D21,'6.0'!$J:$J),0)</f>
        <v>0</v>
      </c>
      <c r="W21" s="36">
        <f>-ROUND(SUMIF('7.0'!$D:$D,T_IS!D21,'7.0'!$I:$I),0)</f>
        <v>0</v>
      </c>
      <c r="X21" s="36">
        <f>-ROUND(SUMIF('8.0'!$D:$D,T_IS!F21,'8.0'!$H:$H),0)</f>
        <v>0</v>
      </c>
      <c r="Y21" s="38">
        <f t="shared" si="3"/>
        <v>0</v>
      </c>
      <c r="AA21" s="215">
        <f t="shared" si="4"/>
        <v>65264084</v>
      </c>
      <c r="AC21" s="215">
        <f t="shared" si="5"/>
        <v>65264084</v>
      </c>
      <c r="AD21" s="263"/>
      <c r="AE21" s="36"/>
    </row>
    <row r="22" spans="1:31" ht="18" customHeight="1">
      <c r="A22" s="36"/>
      <c r="D22" s="590">
        <v>410650</v>
      </c>
      <c r="E22" s="164" t="s">
        <v>229</v>
      </c>
      <c r="F22" s="166">
        <v>103</v>
      </c>
      <c r="G22" s="164" t="s">
        <v>236</v>
      </c>
      <c r="H22" s="36">
        <v>7519837707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/>
      <c r="O22" s="201">
        <f t="shared" si="2"/>
        <v>7519837707</v>
      </c>
      <c r="Q22" s="35">
        <f>-ROUND(SUMIF('1.0'!$D:$D,T_IS!D22,'1.0'!$J:$J),0)</f>
        <v>0</v>
      </c>
      <c r="R22" s="36">
        <f>-ROUND(SUMIF('2.0'!$D:$D,T_IS!D22,'2.0'!$J:$J),0)</f>
        <v>0</v>
      </c>
      <c r="S22" s="36">
        <f>-ROUND(SUMIF('3.0'!$D:$D,T_IS!D22,'3.0'!$H:$H),0)</f>
        <v>0</v>
      </c>
      <c r="T22" s="36">
        <f>-ROUND(SUMIF('4.0'!$D:$D,T_IS!D22,'4.0'!$J:$J),0)</f>
        <v>0</v>
      </c>
      <c r="U22" s="36">
        <f>-ROUND(SUMIF('5.0'!$D:$D,T_IS!D22,'5.0'!$J:$J),0)</f>
        <v>0</v>
      </c>
      <c r="V22" s="36">
        <f>-ROUND(SUMIF('6.0'!$D:$D,T_IS!D22,'6.0'!$J:$J),0)</f>
        <v>0</v>
      </c>
      <c r="W22" s="36">
        <f>-ROUND(SUMIF('7.0'!$D:$D,T_IS!D22,'7.0'!$I:$I),0)</f>
        <v>0</v>
      </c>
      <c r="X22" s="36">
        <f>-ROUND(SUMIF('8.0'!$D:$D,T_IS!F22,'8.0'!$H:$H),0)</f>
        <v>0</v>
      </c>
      <c r="Y22" s="38">
        <f t="shared" si="3"/>
        <v>0</v>
      </c>
      <c r="AA22" s="215">
        <f t="shared" si="4"/>
        <v>7519837707</v>
      </c>
      <c r="AC22" s="215">
        <f t="shared" si="5"/>
        <v>7519837707</v>
      </c>
      <c r="AD22" s="263"/>
      <c r="AE22" s="36"/>
    </row>
    <row r="23" spans="1:31" ht="18" customHeight="1">
      <c r="A23" s="36"/>
      <c r="D23" s="590">
        <v>410660</v>
      </c>
      <c r="E23" s="164" t="s">
        <v>229</v>
      </c>
      <c r="F23" s="166">
        <v>103</v>
      </c>
      <c r="G23" s="164" t="s">
        <v>237</v>
      </c>
      <c r="H23" s="36">
        <v>378644990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/>
      <c r="O23" s="201">
        <f t="shared" si="2"/>
        <v>378644990</v>
      </c>
      <c r="Q23" s="35">
        <f>-ROUND(SUMIF('1.0'!$D:$D,T_IS!D23,'1.0'!$J:$J),0)</f>
        <v>0</v>
      </c>
      <c r="R23" s="36">
        <f>-ROUND(SUMIF('2.0'!$D:$D,T_IS!D23,'2.0'!$J:$J),0)</f>
        <v>0</v>
      </c>
      <c r="S23" s="36">
        <f>-ROUND(SUMIF('3.0'!$D:$D,T_IS!D23,'3.0'!$H:$H),0)</f>
        <v>0</v>
      </c>
      <c r="T23" s="36">
        <f>-ROUND(SUMIF('4.0'!$D:$D,T_IS!D23,'4.0'!$J:$J),0)</f>
        <v>0</v>
      </c>
      <c r="U23" s="36">
        <f>-ROUND(SUMIF('5.0'!$D:$D,T_IS!D23,'5.0'!$J:$J),0)</f>
        <v>0</v>
      </c>
      <c r="V23" s="36">
        <f>-ROUND(SUMIF('6.0'!$D:$D,T_IS!D23,'6.0'!$J:$J),0)</f>
        <v>0</v>
      </c>
      <c r="W23" s="36">
        <f>-ROUND(SUMIF('7.0'!$D:$D,T_IS!D23,'7.0'!$I:$I),0)</f>
        <v>0</v>
      </c>
      <c r="X23" s="36">
        <f>-ROUND(SUMIF('8.0'!$D:$D,T_IS!F23,'8.0'!$H:$H),0)</f>
        <v>0</v>
      </c>
      <c r="Y23" s="38">
        <f t="shared" si="3"/>
        <v>0</v>
      </c>
      <c r="AA23" s="215">
        <f t="shared" si="4"/>
        <v>378644990</v>
      </c>
      <c r="AC23" s="215">
        <f t="shared" si="5"/>
        <v>378644990</v>
      </c>
      <c r="AD23" s="263"/>
      <c r="AE23" s="36"/>
    </row>
    <row r="24" spans="1:31" ht="18" customHeight="1">
      <c r="A24" s="36"/>
      <c r="D24" s="590">
        <v>410899</v>
      </c>
      <c r="E24" s="164" t="s">
        <v>229</v>
      </c>
      <c r="F24" s="166">
        <v>103</v>
      </c>
      <c r="G24" s="164" t="s">
        <v>238</v>
      </c>
      <c r="H24" s="36">
        <v>2192850651</v>
      </c>
      <c r="I24" s="36">
        <v>27078235</v>
      </c>
      <c r="J24" s="36">
        <v>22502717</v>
      </c>
      <c r="K24" s="36">
        <v>20330190</v>
      </c>
      <c r="L24" s="36">
        <v>0</v>
      </c>
      <c r="M24" s="36">
        <v>0</v>
      </c>
      <c r="N24" s="36">
        <v>19960916</v>
      </c>
      <c r="O24" s="201">
        <f t="shared" si="2"/>
        <v>2282722709</v>
      </c>
      <c r="Q24" s="35">
        <f>-ROUND(SUMIF('1.0'!$D:$D,T_IS!D24,'1.0'!$J:$J),0)</f>
        <v>0</v>
      </c>
      <c r="R24" s="36">
        <f>-ROUND(SUMIF('2.0'!$D:$D,T_IS!D24,'2.0'!$J:$J),0)</f>
        <v>0</v>
      </c>
      <c r="S24" s="36">
        <f>-ROUND(SUMIF('3.0'!$D:$D,T_IS!D24,'3.0'!$H:$H),0)</f>
        <v>-20249440</v>
      </c>
      <c r="T24" s="36">
        <f>-ROUND(SUMIF('4.0'!$D:$D,T_IS!D24,'4.0'!$J:$J),0)</f>
        <v>0</v>
      </c>
      <c r="U24" s="36">
        <f>-ROUND(SUMIF('5.0'!$D:$D,T_IS!D24,'5.0'!$J:$J),0)</f>
        <v>0</v>
      </c>
      <c r="V24" s="36">
        <f>-ROUND(SUMIF('6.0'!$D:$D,T_IS!D24,'6.0'!$J:$J),0)</f>
        <v>0</v>
      </c>
      <c r="W24" s="36">
        <f>-ROUND(SUMIF('7.0'!$D:$D,T_IS!D24,'7.0'!$I:$I),0)</f>
        <v>0</v>
      </c>
      <c r="X24" s="36">
        <f>-ROUND(SUMIF('8.0'!$D:$D,T_IS!F24,'8.0'!$H:$H),0)</f>
        <v>0</v>
      </c>
      <c r="Y24" s="38">
        <f t="shared" si="3"/>
        <v>-20249440</v>
      </c>
      <c r="AA24" s="215">
        <f t="shared" si="4"/>
        <v>2262473269</v>
      </c>
      <c r="AC24" s="215">
        <f t="shared" si="5"/>
        <v>2262473269</v>
      </c>
      <c r="AD24" s="263"/>
      <c r="AE24" s="36"/>
    </row>
    <row r="25" spans="1:31" ht="18" customHeight="1">
      <c r="A25" s="36"/>
      <c r="D25" s="583"/>
      <c r="E25" s="584"/>
      <c r="F25" s="600"/>
      <c r="G25" s="584" t="s">
        <v>239</v>
      </c>
      <c r="H25" s="49">
        <f t="shared" ref="H25:I25" si="6">SUM(H26:H34)</f>
        <v>147778454302</v>
      </c>
      <c r="I25" s="49">
        <f t="shared" si="6"/>
        <v>206764401</v>
      </c>
      <c r="J25" s="49">
        <f t="shared" ref="J25:N25" si="7">SUM(J26:J34)</f>
        <v>1174201771</v>
      </c>
      <c r="K25" s="49">
        <f t="shared" si="7"/>
        <v>89303484</v>
      </c>
      <c r="L25" s="49">
        <f t="shared" si="7"/>
        <v>14571866768</v>
      </c>
      <c r="M25" s="49">
        <f t="shared" si="7"/>
        <v>0</v>
      </c>
      <c r="N25" s="49">
        <f t="shared" si="7"/>
        <v>4777598722</v>
      </c>
      <c r="O25" s="340">
        <f t="shared" ref="O25:Q25" si="8">SUM(O26:O34)</f>
        <v>168598189448</v>
      </c>
      <c r="Q25" s="606">
        <f t="shared" si="8"/>
        <v>0</v>
      </c>
      <c r="R25" s="49">
        <f t="shared" ref="R25:U25" si="9">SUM(R26:R34)</f>
        <v>0</v>
      </c>
      <c r="S25" s="49">
        <f t="shared" si="9"/>
        <v>-1738588573</v>
      </c>
      <c r="T25" s="49">
        <f t="shared" si="9"/>
        <v>-556469158</v>
      </c>
      <c r="U25" s="49">
        <f t="shared" si="9"/>
        <v>0</v>
      </c>
      <c r="V25" s="49">
        <f t="shared" ref="V25:Y25" si="10">SUM(V26:V34)</f>
        <v>0</v>
      </c>
      <c r="W25" s="49">
        <f t="shared" si="10"/>
        <v>0</v>
      </c>
      <c r="X25" s="49">
        <f t="shared" si="10"/>
        <v>0</v>
      </c>
      <c r="Y25" s="607">
        <f t="shared" si="10"/>
        <v>-2295057731</v>
      </c>
      <c r="AA25" s="608">
        <f t="shared" ref="AA25:AC25" si="11">SUM(AA26:AA34)</f>
        <v>166303131717</v>
      </c>
      <c r="AC25" s="608">
        <f t="shared" si="11"/>
        <v>166303131717</v>
      </c>
      <c r="AD25" s="263"/>
      <c r="AE25" s="36"/>
    </row>
    <row r="26" spans="1:31" ht="18" customHeight="1">
      <c r="A26" s="36"/>
      <c r="D26" s="590" t="s">
        <v>240</v>
      </c>
      <c r="E26" s="164" t="s">
        <v>239</v>
      </c>
      <c r="F26" s="166">
        <v>201</v>
      </c>
      <c r="G26" s="164" t="s">
        <v>241</v>
      </c>
      <c r="H26" s="36">
        <v>23912717527</v>
      </c>
      <c r="I26" s="36">
        <v>206574067</v>
      </c>
      <c r="J26" s="36">
        <v>1174201771</v>
      </c>
      <c r="K26" s="36">
        <v>16269556</v>
      </c>
      <c r="L26" s="36">
        <v>14571866768</v>
      </c>
      <c r="M26" s="36">
        <f>ROUND(SUMIF('2.0'!$D:$D,T_IS!D26,'2.0'!$F:$F),0)</f>
        <v>0</v>
      </c>
      <c r="N26" s="36">
        <v>25000</v>
      </c>
      <c r="O26" s="201">
        <f t="shared" si="2"/>
        <v>39881654689</v>
      </c>
      <c r="Q26" s="35">
        <f>ROUND(SUMIF('1.0'!$D:$D,T_IS!D26,'1.0'!$J:$J),0)</f>
        <v>0</v>
      </c>
      <c r="R26" s="36">
        <f>-ROUND(SUMIF('2.0'!$D:$D,T_IS!D26,'2.0'!$J:$J),0)</f>
        <v>0</v>
      </c>
      <c r="S26" s="36">
        <f>ROUND(SUMIF('3.0'!$D:$D,T_IS!D26,'3.0'!$H:$H),0)</f>
        <v>-36729604</v>
      </c>
      <c r="T26" s="36">
        <f>ROUND(SUMIF('4.0'!$D:$D,T_IS!D26,'4.0'!$J:$J),0)</f>
        <v>0</v>
      </c>
      <c r="U26" s="36">
        <f>ROUND(SUMIF('5.0'!$D:$D,T_IS!D26,'5.0'!$J:$J),0)</f>
        <v>0</v>
      </c>
      <c r="V26" s="36">
        <f>ROUND(SUMIF('6.0'!$D:$D,T_IS!D26,'6.0'!$J:$J),0)</f>
        <v>-1397045394</v>
      </c>
      <c r="W26" s="36">
        <f>ROUND(SUMIF('7.0'!$D:$D,T_IS!D26,'7.0'!$I:$I),0)</f>
        <v>0</v>
      </c>
      <c r="X26" s="36">
        <f>ROUND(SUMIF('8.0'!$D:$D,T_IS!F26,'8.0'!$H:$H),0)</f>
        <v>0</v>
      </c>
      <c r="Y26" s="38">
        <f t="shared" ref="Y26:Y34" si="12">SUM(Q26:X26)</f>
        <v>-1433774998</v>
      </c>
      <c r="AA26" s="215">
        <f t="shared" ref="AA26:AA34" si="13">Y26+O26</f>
        <v>38447879691</v>
      </c>
      <c r="AC26" s="215">
        <f t="shared" si="5"/>
        <v>38447879691</v>
      </c>
      <c r="AD26" s="263"/>
      <c r="AE26" s="36"/>
    </row>
    <row r="27" spans="1:31" ht="18" customHeight="1">
      <c r="A27" s="36"/>
      <c r="D27" s="590" t="s">
        <v>242</v>
      </c>
      <c r="E27" s="164" t="s">
        <v>239</v>
      </c>
      <c r="F27" s="166">
        <v>202</v>
      </c>
      <c r="G27" s="164" t="s">
        <v>243</v>
      </c>
      <c r="H27" s="36">
        <v>29480914351</v>
      </c>
      <c r="I27" s="36">
        <v>0</v>
      </c>
      <c r="J27" s="36">
        <v>0</v>
      </c>
      <c r="K27" s="36">
        <v>0</v>
      </c>
      <c r="L27" s="36">
        <v>0</v>
      </c>
      <c r="M27" s="36">
        <f>ROUND(SUMIF('2.0'!$D:$D,T_IS!D27,'2.0'!$F:$F),0)</f>
        <v>0</v>
      </c>
      <c r="N27" s="36"/>
      <c r="O27" s="201">
        <f t="shared" si="2"/>
        <v>29480914351</v>
      </c>
      <c r="Q27" s="35">
        <f>ROUND(SUMIF('1.0'!$D:$D,T_IS!D27,'1.0'!$J:$J),0)</f>
        <v>0</v>
      </c>
      <c r="R27" s="36">
        <f>-ROUND(SUMIF('2.0'!$D:$D,T_IS!D27,'2.0'!$J:$J),0)</f>
        <v>0</v>
      </c>
      <c r="S27" s="36">
        <f>ROUND(SUMIF('3.0'!$D:$D,T_IS!D27,'3.0'!$H:$H),0)</f>
        <v>-1701398763</v>
      </c>
      <c r="T27" s="36">
        <f>ROUND(SUMIF('4.0'!$D:$D,T_IS!D27,'4.0'!$J:$J),0)</f>
        <v>-556469158</v>
      </c>
      <c r="U27" s="36">
        <f>ROUND(SUMIF('5.0'!$D:$D,T_IS!D27,'5.0'!$J:$J),0)</f>
        <v>0</v>
      </c>
      <c r="V27" s="36">
        <f>ROUND(SUMIF('6.0'!$D:$D,T_IS!D27,'6.0'!$J:$J),0)</f>
        <v>1397045394</v>
      </c>
      <c r="W27" s="36">
        <f>ROUND(SUMIF('7.0'!$D:$D,T_IS!D27,'7.0'!$I:$I),0)</f>
        <v>0</v>
      </c>
      <c r="X27" s="36">
        <f>ROUND(SUMIF('8.0'!$D:$D,T_IS!F27,'8.0'!$H:$H),0)</f>
        <v>0</v>
      </c>
      <c r="Y27" s="38">
        <f t="shared" si="12"/>
        <v>-860822527</v>
      </c>
      <c r="AA27" s="215">
        <f t="shared" si="13"/>
        <v>28620091824</v>
      </c>
      <c r="AC27" s="215">
        <f t="shared" si="5"/>
        <v>28620091824</v>
      </c>
      <c r="AD27" s="263"/>
      <c r="AE27" s="36"/>
    </row>
    <row r="28" spans="1:31" ht="18" customHeight="1">
      <c r="A28" s="36"/>
      <c r="D28" s="609">
        <v>420510</v>
      </c>
      <c r="E28" s="164" t="s">
        <v>239</v>
      </c>
      <c r="F28" s="166">
        <v>204</v>
      </c>
      <c r="G28" s="164" t="s">
        <v>245</v>
      </c>
      <c r="H28" s="36">
        <v>40505292962</v>
      </c>
      <c r="I28" s="36">
        <v>0</v>
      </c>
      <c r="J28" s="36">
        <v>0</v>
      </c>
      <c r="K28" s="36">
        <v>0</v>
      </c>
      <c r="L28" s="36">
        <v>0</v>
      </c>
      <c r="M28" s="36">
        <f>ROUND(SUMIF('2.0'!$D:$D,T_IS!D28,'2.0'!$F:$F),0)</f>
        <v>0</v>
      </c>
      <c r="N28" s="36"/>
      <c r="O28" s="201">
        <f t="shared" si="2"/>
        <v>40505292962</v>
      </c>
      <c r="Q28" s="35">
        <f>ROUND(SUMIF('1.0'!$D:$D,T_IS!D28,'1.0'!$J:$J),0)</f>
        <v>0</v>
      </c>
      <c r="R28" s="36">
        <f>-ROUND(SUMIF('2.0'!$D:$D,T_IS!D28,'2.0'!$J:$J),0)</f>
        <v>0</v>
      </c>
      <c r="S28" s="36">
        <f>ROUND(SUMIF('3.0'!$D:$D,T_IS!D28,'3.0'!$H:$H),0)</f>
        <v>0</v>
      </c>
      <c r="T28" s="36">
        <f>ROUND(SUMIF('4.0'!$D:$D,T_IS!D28,'4.0'!$J:$J),0)</f>
        <v>0</v>
      </c>
      <c r="U28" s="36">
        <f>ROUND(SUMIF('5.0'!$D:$D,T_IS!D28,'5.0'!$J:$J),0)</f>
        <v>0</v>
      </c>
      <c r="V28" s="36">
        <f>ROUND(SUMIF('6.0'!$D:$D,T_IS!D28,'6.0'!$J:$J),0)</f>
        <v>0</v>
      </c>
      <c r="W28" s="36">
        <f>ROUND(SUMIF('7.0'!$D:$D,T_IS!D28,'7.0'!$I:$I),0)</f>
        <v>0</v>
      </c>
      <c r="X28" s="36">
        <f>ROUND(SUMIF('8.0'!$D:$D,T_IS!F28,'8.0'!$H:$H),0)</f>
        <v>0</v>
      </c>
      <c r="Y28" s="38">
        <f t="shared" si="12"/>
        <v>0</v>
      </c>
      <c r="AA28" s="215">
        <f t="shared" si="13"/>
        <v>40505292962</v>
      </c>
      <c r="AC28" s="215">
        <f t="shared" si="5"/>
        <v>40505292962</v>
      </c>
      <c r="AD28" s="263"/>
      <c r="AE28" s="36"/>
    </row>
    <row r="29" spans="1:31" ht="18" customHeight="1">
      <c r="A29" s="36"/>
      <c r="D29" s="590" t="s">
        <v>246</v>
      </c>
      <c r="E29" s="164" t="s">
        <v>239</v>
      </c>
      <c r="F29" s="166">
        <v>204</v>
      </c>
      <c r="G29" s="164" t="s">
        <v>247</v>
      </c>
      <c r="H29" s="36">
        <v>3342636688</v>
      </c>
      <c r="I29" s="36">
        <v>0</v>
      </c>
      <c r="J29" s="36">
        <v>0</v>
      </c>
      <c r="K29" s="36">
        <v>0</v>
      </c>
      <c r="L29" s="36">
        <v>0</v>
      </c>
      <c r="M29" s="36">
        <f>ROUND(SUMIF('2.0'!$D:$D,T_IS!D29,'2.0'!$F:$F),0)</f>
        <v>0</v>
      </c>
      <c r="N29" s="36"/>
      <c r="O29" s="201">
        <f t="shared" si="2"/>
        <v>3342636688</v>
      </c>
      <c r="Q29" s="35">
        <f>ROUND(SUMIF('1.0'!$D:$D,T_IS!D29,'1.0'!$J:$J),0)</f>
        <v>0</v>
      </c>
      <c r="R29" s="36">
        <f>-ROUND(SUMIF('2.0'!$D:$D,T_IS!D29,'2.0'!$J:$J),0)</f>
        <v>0</v>
      </c>
      <c r="S29" s="36">
        <f>ROUND(SUMIF('3.0'!$D:$D,T_IS!D29,'3.0'!$H:$H),0)</f>
        <v>0</v>
      </c>
      <c r="T29" s="36">
        <f>ROUND(SUMIF('4.0'!$D:$D,T_IS!D29,'4.0'!$J:$J),0)</f>
        <v>0</v>
      </c>
      <c r="U29" s="36">
        <f>ROUND(SUMIF('5.0'!$D:$D,T_IS!D29,'5.0'!$J:$J),0)</f>
        <v>0</v>
      </c>
      <c r="V29" s="36">
        <f>ROUND(SUMIF('6.0'!$D:$D,T_IS!D29,'6.0'!$J:$J),0)</f>
        <v>0</v>
      </c>
      <c r="W29" s="36">
        <f>ROUND(SUMIF('7.0'!$D:$D,T_IS!D29,'7.0'!$I:$I),0)</f>
        <v>0</v>
      </c>
      <c r="X29" s="36">
        <f>ROUND(SUMIF('8.0'!$D:$D,T_IS!F29,'8.0'!$H:$H),0)</f>
        <v>0</v>
      </c>
      <c r="Y29" s="38">
        <f t="shared" si="12"/>
        <v>0</v>
      </c>
      <c r="AA29" s="215">
        <f t="shared" si="13"/>
        <v>3342636688</v>
      </c>
      <c r="AC29" s="215">
        <f t="shared" si="5"/>
        <v>3342636688</v>
      </c>
      <c r="AD29" s="263"/>
      <c r="AE29" s="36"/>
    </row>
    <row r="30" spans="1:31" ht="18" customHeight="1">
      <c r="A30" s="36"/>
      <c r="D30" s="590" t="s">
        <v>248</v>
      </c>
      <c r="E30" s="164" t="s">
        <v>239</v>
      </c>
      <c r="F30" s="166">
        <v>204</v>
      </c>
      <c r="G30" s="164" t="s">
        <v>249</v>
      </c>
      <c r="H30" s="36">
        <v>40161637181</v>
      </c>
      <c r="I30" s="36">
        <v>0</v>
      </c>
      <c r="J30" s="36">
        <v>0</v>
      </c>
      <c r="K30" s="36">
        <v>73033928</v>
      </c>
      <c r="L30" s="36">
        <v>0</v>
      </c>
      <c r="M30" s="36">
        <f>ROUND(SUMIF('2.0'!$D:$D,T_IS!D30,'2.0'!$F:$F),0)</f>
        <v>0</v>
      </c>
      <c r="N30" s="36">
        <v>4760401548</v>
      </c>
      <c r="O30" s="201">
        <f t="shared" si="2"/>
        <v>44995072657</v>
      </c>
      <c r="Q30" s="35">
        <f>ROUND(SUMIF('1.0'!$D:$D,T_IS!D30,'1.0'!$J:$J),0)</f>
        <v>0</v>
      </c>
      <c r="R30" s="36">
        <f>-ROUND(SUMIF('2.0'!$D:$D,T_IS!D30,'2.0'!$J:$J),0)</f>
        <v>0</v>
      </c>
      <c r="S30" s="36">
        <f>ROUND(SUMIF('3.0'!$D:$D,T_IS!D30,'3.0'!$H:$H),0)</f>
        <v>0</v>
      </c>
      <c r="T30" s="36">
        <f>ROUND(SUMIF('4.0'!$D:$D,T_IS!D30,'4.0'!$J:$J),0)</f>
        <v>0</v>
      </c>
      <c r="U30" s="36">
        <f>ROUND(SUMIF('5.0'!$D:$D,T_IS!D30,'5.0'!$J:$J),0)</f>
        <v>0</v>
      </c>
      <c r="V30" s="36">
        <f>ROUND(SUMIF('6.0'!$D:$D,T_IS!D30,'6.0'!$J:$J),0)</f>
        <v>0</v>
      </c>
      <c r="W30" s="36">
        <f>ROUND(SUMIF('7.0'!$D:$D,T_IS!D30,'7.0'!$I:$I),0)</f>
        <v>0</v>
      </c>
      <c r="X30" s="36">
        <f>ROUND(SUMIF('8.0'!$D:$D,T_IS!F30,'8.0'!$H:$H),0)</f>
        <v>0</v>
      </c>
      <c r="Y30" s="38">
        <f t="shared" si="12"/>
        <v>0</v>
      </c>
      <c r="AA30" s="215">
        <f t="shared" si="13"/>
        <v>44995072657</v>
      </c>
      <c r="AC30" s="215">
        <f t="shared" si="5"/>
        <v>44995072657</v>
      </c>
      <c r="AD30" s="263"/>
      <c r="AE30" s="36"/>
    </row>
    <row r="31" spans="1:31" ht="18" customHeight="1">
      <c r="A31" s="36"/>
      <c r="D31" s="590" t="s">
        <v>250</v>
      </c>
      <c r="E31" s="164" t="s">
        <v>239</v>
      </c>
      <c r="F31" s="166">
        <v>204</v>
      </c>
      <c r="G31" s="164" t="s">
        <v>251</v>
      </c>
      <c r="H31" s="36">
        <v>17697763</v>
      </c>
      <c r="I31" s="36">
        <v>0</v>
      </c>
      <c r="J31" s="36">
        <v>0</v>
      </c>
      <c r="K31" s="36">
        <v>0</v>
      </c>
      <c r="L31" s="36">
        <v>0</v>
      </c>
      <c r="M31" s="36">
        <f>ROUND(SUMIF('2.0'!$D:$D,T_IS!D31,'2.0'!$F:$F),0)</f>
        <v>0</v>
      </c>
      <c r="N31" s="36"/>
      <c r="O31" s="201">
        <f t="shared" si="2"/>
        <v>17697763</v>
      </c>
      <c r="Q31" s="35">
        <f>ROUND(SUMIF('1.0'!$D:$D,T_IS!D31,'1.0'!$J:$J),0)</f>
        <v>0</v>
      </c>
      <c r="R31" s="36">
        <f>-ROUND(SUMIF('2.0'!$D:$D,T_IS!D31,'2.0'!$J:$J),0)</f>
        <v>0</v>
      </c>
      <c r="S31" s="36">
        <f>ROUND(SUMIF('3.0'!$D:$D,T_IS!D31,'3.0'!$H:$H),0)</f>
        <v>-460206</v>
      </c>
      <c r="T31" s="36">
        <f>ROUND(SUMIF('4.0'!$D:$D,T_IS!D31,'4.0'!$J:$J),0)</f>
        <v>0</v>
      </c>
      <c r="U31" s="36">
        <f>ROUND(SUMIF('5.0'!$D:$D,T_IS!D31,'5.0'!$J:$J),0)</f>
        <v>0</v>
      </c>
      <c r="V31" s="36">
        <f>ROUND(SUMIF('6.0'!$D:$D,T_IS!D31,'6.0'!$J:$J),0)</f>
        <v>0</v>
      </c>
      <c r="W31" s="36">
        <f>ROUND(SUMIF('7.0'!$D:$D,T_IS!D31,'7.0'!$I:$I),0)</f>
        <v>0</v>
      </c>
      <c r="X31" s="36">
        <f>ROUND(SUMIF('8.0'!$D:$D,T_IS!F31,'8.0'!$H:$H),0)</f>
        <v>0</v>
      </c>
      <c r="Y31" s="38">
        <f t="shared" si="12"/>
        <v>-460206</v>
      </c>
      <c r="AA31" s="215">
        <f t="shared" si="13"/>
        <v>17237557</v>
      </c>
      <c r="AC31" s="215">
        <f t="shared" si="5"/>
        <v>17237557</v>
      </c>
      <c r="AD31" s="263"/>
      <c r="AE31" s="36"/>
    </row>
    <row r="32" spans="1:31" ht="18" customHeight="1">
      <c r="A32" s="36"/>
      <c r="D32" s="590" t="s">
        <v>252</v>
      </c>
      <c r="E32" s="164" t="s">
        <v>239</v>
      </c>
      <c r="F32" s="166">
        <v>204</v>
      </c>
      <c r="G32" s="164" t="s">
        <v>253</v>
      </c>
      <c r="H32" s="36">
        <v>9312762164</v>
      </c>
      <c r="I32" s="36">
        <v>0</v>
      </c>
      <c r="J32" s="36">
        <v>0</v>
      </c>
      <c r="K32" s="36">
        <v>0</v>
      </c>
      <c r="L32" s="36">
        <v>0</v>
      </c>
      <c r="M32" s="36">
        <f>ROUND(SUMIF('2.0'!$D:$D,T_IS!D32,'2.0'!$F:$F),0)</f>
        <v>0</v>
      </c>
      <c r="N32" s="36"/>
      <c r="O32" s="201">
        <f t="shared" si="2"/>
        <v>9312762164</v>
      </c>
      <c r="Q32" s="35">
        <f>ROUND(SUMIF('1.0'!$D:$D,T_IS!D32,'1.0'!$J:$J),0)</f>
        <v>0</v>
      </c>
      <c r="R32" s="36">
        <f>-ROUND(SUMIF('2.0'!$D:$D,T_IS!D32,'2.0'!$J:$J),0)</f>
        <v>0</v>
      </c>
      <c r="S32" s="36">
        <f>ROUND(SUMIF('3.0'!$D:$D,T_IS!D32,'3.0'!$H:$H),0)</f>
        <v>0</v>
      </c>
      <c r="T32" s="36">
        <f>ROUND(SUMIF('4.0'!$D:$D,T_IS!D32,'4.0'!$J:$J),0)</f>
        <v>0</v>
      </c>
      <c r="U32" s="36">
        <f>ROUND(SUMIF('5.0'!$D:$D,T_IS!D32,'5.0'!$J:$J),0)</f>
        <v>0</v>
      </c>
      <c r="V32" s="36">
        <f>ROUND(SUMIF('6.0'!$D:$D,T_IS!D32,'6.0'!$J:$J),0)</f>
        <v>0</v>
      </c>
      <c r="W32" s="36">
        <f>ROUND(SUMIF('7.0'!$D:$D,T_IS!D32,'7.0'!$I:$I),0)</f>
        <v>0</v>
      </c>
      <c r="X32" s="36">
        <f>ROUND(SUMIF('8.0'!$D:$D,T_IS!F32,'8.0'!$H:$H),0)</f>
        <v>0</v>
      </c>
      <c r="Y32" s="38">
        <f t="shared" si="12"/>
        <v>0</v>
      </c>
      <c r="AA32" s="215">
        <f t="shared" si="13"/>
        <v>9312762164</v>
      </c>
      <c r="AC32" s="215">
        <f t="shared" si="5"/>
        <v>9312762164</v>
      </c>
      <c r="AD32" s="263"/>
      <c r="AE32" s="36"/>
    </row>
    <row r="33" spans="1:31" ht="18" customHeight="1">
      <c r="A33" s="36"/>
      <c r="D33" s="590" t="s">
        <v>254</v>
      </c>
      <c r="E33" s="164" t="s">
        <v>239</v>
      </c>
      <c r="F33" s="166">
        <v>204</v>
      </c>
      <c r="G33" s="164" t="s">
        <v>255</v>
      </c>
      <c r="H33" s="36">
        <v>178066571</v>
      </c>
      <c r="I33" s="36">
        <v>0</v>
      </c>
      <c r="J33" s="36">
        <v>0</v>
      </c>
      <c r="K33" s="36">
        <v>0</v>
      </c>
      <c r="L33" s="36">
        <v>0</v>
      </c>
      <c r="M33" s="36">
        <f>ROUND(SUMIF('2.0'!$D:$D,T_IS!D33,'2.0'!$F:$F),0)</f>
        <v>0</v>
      </c>
      <c r="N33" s="36"/>
      <c r="O33" s="201">
        <f t="shared" si="2"/>
        <v>178066571</v>
      </c>
      <c r="Q33" s="35">
        <f>ROUND(SUMIF('1.0'!$D:$D,T_IS!D33,'1.0'!$J:$J),0)</f>
        <v>0</v>
      </c>
      <c r="R33" s="36">
        <f>-ROUND(SUMIF('2.0'!$D:$D,T_IS!D33,'2.0'!$J:$J),0)</f>
        <v>0</v>
      </c>
      <c r="S33" s="36">
        <f>ROUND(SUMIF('3.0'!$D:$D,T_IS!D33,'3.0'!$H:$H),0)</f>
        <v>0</v>
      </c>
      <c r="T33" s="36">
        <f>ROUND(SUMIF('4.0'!$D:$D,T_IS!D33,'4.0'!$J:$J),0)</f>
        <v>0</v>
      </c>
      <c r="U33" s="36">
        <f>ROUND(SUMIF('5.0'!$D:$D,T_IS!D33,'5.0'!$J:$J),0)</f>
        <v>0</v>
      </c>
      <c r="V33" s="36">
        <f>ROUND(SUMIF('6.0'!$D:$D,T_IS!D33,'6.0'!$J:$J),0)</f>
        <v>0</v>
      </c>
      <c r="W33" s="36">
        <f>ROUND(SUMIF('7.0'!$D:$D,T_IS!D33,'7.0'!$I:$I),0)</f>
        <v>0</v>
      </c>
      <c r="X33" s="36">
        <f>ROUND(SUMIF('8.0'!$D:$D,T_IS!F33,'8.0'!$H:$H),0)</f>
        <v>0</v>
      </c>
      <c r="Y33" s="38">
        <f t="shared" si="12"/>
        <v>0</v>
      </c>
      <c r="AA33" s="215">
        <f t="shared" si="13"/>
        <v>178066571</v>
      </c>
      <c r="AC33" s="215">
        <f t="shared" si="5"/>
        <v>178066571</v>
      </c>
      <c r="AD33" s="263"/>
      <c r="AE33" s="36"/>
    </row>
    <row r="34" spans="1:31" ht="18" customHeight="1">
      <c r="A34" s="36"/>
      <c r="D34" s="590" t="s">
        <v>256</v>
      </c>
      <c r="E34" s="164" t="s">
        <v>239</v>
      </c>
      <c r="F34" s="166">
        <v>204</v>
      </c>
      <c r="G34" s="164" t="s">
        <v>257</v>
      </c>
      <c r="H34" s="36">
        <v>866729095</v>
      </c>
      <c r="I34" s="36">
        <v>190334</v>
      </c>
      <c r="J34" s="36">
        <v>0</v>
      </c>
      <c r="K34" s="36">
        <v>0</v>
      </c>
      <c r="L34" s="36">
        <v>0</v>
      </c>
      <c r="M34" s="36">
        <f>ROUND(SUMIF('2.0'!$D:$D,T_IS!D34,'2.0'!$F:$F),0)</f>
        <v>0</v>
      </c>
      <c r="N34" s="36">
        <v>17172174</v>
      </c>
      <c r="O34" s="201">
        <f t="shared" si="2"/>
        <v>884091603</v>
      </c>
      <c r="Q34" s="35">
        <f>ROUND(SUMIF('1.0'!$D:$D,T_IS!D34,'1.0'!$J:$J),0)</f>
        <v>0</v>
      </c>
      <c r="R34" s="36">
        <f>-ROUND(SUMIF('2.0'!$D:$D,T_IS!D34,'2.0'!$J:$J),0)</f>
        <v>0</v>
      </c>
      <c r="S34" s="36">
        <f>ROUND(SUMIF('3.0'!$D:$D,T_IS!D34,'3.0'!$H:$H),0)</f>
        <v>0</v>
      </c>
      <c r="T34" s="36">
        <f>ROUND(SUMIF('4.0'!$D:$D,T_IS!D34,'4.0'!$J:$J),0)</f>
        <v>0</v>
      </c>
      <c r="U34" s="36">
        <f>ROUND(SUMIF('5.0'!$D:$D,T_IS!D34,'5.0'!$J:$J),0)</f>
        <v>0</v>
      </c>
      <c r="V34" s="36">
        <f>ROUND(SUMIF('6.0'!$D:$D,T_IS!D34,'6.0'!$J:$J),0)</f>
        <v>0</v>
      </c>
      <c r="W34" s="36">
        <f>ROUND(SUMIF('7.0'!$D:$D,T_IS!D34,'7.0'!$I:$I),0)</f>
        <v>0</v>
      </c>
      <c r="X34" s="36">
        <f>ROUND(SUMIF('8.0'!$D:$D,T_IS!F34,'8.0'!$H:$H),0)</f>
        <v>0</v>
      </c>
      <c r="Y34" s="38">
        <f t="shared" si="12"/>
        <v>0</v>
      </c>
      <c r="AA34" s="215">
        <f t="shared" si="13"/>
        <v>884091603</v>
      </c>
      <c r="AC34" s="215">
        <f t="shared" si="5"/>
        <v>884091603</v>
      </c>
      <c r="AD34" s="263"/>
      <c r="AE34" s="36"/>
    </row>
    <row r="35" spans="1:31" ht="18" customHeight="1">
      <c r="A35" s="36"/>
      <c r="D35" s="583"/>
      <c r="E35" s="584"/>
      <c r="F35" s="600"/>
      <c r="G35" s="584" t="s">
        <v>258</v>
      </c>
      <c r="H35" s="49">
        <f t="shared" ref="H35:O35" si="14">H6-H25</f>
        <v>26579309012</v>
      </c>
      <c r="I35" s="49">
        <f t="shared" si="14"/>
        <v>92813582</v>
      </c>
      <c r="J35" s="49">
        <f t="shared" si="14"/>
        <v>656872977</v>
      </c>
      <c r="K35" s="49">
        <f t="shared" si="14"/>
        <v>-15771894</v>
      </c>
      <c r="L35" s="49">
        <f t="shared" si="14"/>
        <v>2446425329</v>
      </c>
      <c r="M35" s="49">
        <f t="shared" ref="M35" si="15">M6-M25</f>
        <v>0</v>
      </c>
      <c r="N35" s="49">
        <f t="shared" si="14"/>
        <v>362162243</v>
      </c>
      <c r="O35" s="340">
        <f t="shared" si="14"/>
        <v>30121811249</v>
      </c>
      <c r="Q35" s="606">
        <f t="shared" ref="Q35:Y35" si="16">Q6-Q25</f>
        <v>0</v>
      </c>
      <c r="R35" s="49">
        <f t="shared" si="16"/>
        <v>0</v>
      </c>
      <c r="S35" s="49">
        <f t="shared" si="16"/>
        <v>-20249440</v>
      </c>
      <c r="T35" s="49">
        <f t="shared" si="16"/>
        <v>556469158</v>
      </c>
      <c r="U35" s="49">
        <f t="shared" si="16"/>
        <v>0</v>
      </c>
      <c r="V35" s="49">
        <f t="shared" si="16"/>
        <v>0</v>
      </c>
      <c r="W35" s="49">
        <f t="shared" si="16"/>
        <v>0</v>
      </c>
      <c r="X35" s="49">
        <f t="shared" si="16"/>
        <v>0</v>
      </c>
      <c r="Y35" s="607">
        <f t="shared" si="16"/>
        <v>536219718</v>
      </c>
      <c r="AA35" s="608">
        <f>AA6-AA25</f>
        <v>30658030967</v>
      </c>
      <c r="AC35" s="608">
        <f>AC6-AC25</f>
        <v>-7343278349</v>
      </c>
      <c r="AD35" s="263"/>
      <c r="AE35" s="36"/>
    </row>
    <row r="36" spans="1:31" ht="18" customHeight="1">
      <c r="A36" s="36"/>
      <c r="D36" s="583"/>
      <c r="E36" s="584"/>
      <c r="F36" s="600"/>
      <c r="G36" s="584" t="s">
        <v>259</v>
      </c>
      <c r="H36" s="49">
        <f t="shared" ref="H36:Q36" si="17">SUM(H37:H70)</f>
        <v>50299416681</v>
      </c>
      <c r="I36" s="49">
        <f t="shared" si="17"/>
        <v>360962258</v>
      </c>
      <c r="J36" s="49">
        <f t="shared" si="17"/>
        <v>742283233</v>
      </c>
      <c r="K36" s="49">
        <f t="shared" si="17"/>
        <v>950185207</v>
      </c>
      <c r="L36" s="49">
        <f t="shared" si="17"/>
        <v>1609415527</v>
      </c>
      <c r="M36" s="49">
        <f t="shared" ref="M36" si="18">SUM(M37:M70)</f>
        <v>0</v>
      </c>
      <c r="N36" s="49">
        <f t="shared" si="17"/>
        <v>4875670956</v>
      </c>
      <c r="O36" s="340">
        <f t="shared" si="17"/>
        <v>58837933862</v>
      </c>
      <c r="Q36" s="606">
        <f t="shared" si="17"/>
        <v>0</v>
      </c>
      <c r="R36" s="49">
        <f t="shared" ref="R36" si="19">SUM(R37:R70)</f>
        <v>-920006498</v>
      </c>
      <c r="S36" s="49">
        <f t="shared" ref="S36" si="20">SUM(S37:S70)</f>
        <v>-20249440</v>
      </c>
      <c r="T36" s="49">
        <f t="shared" ref="T36" si="21">SUM(T37:T70)</f>
        <v>-1181400000</v>
      </c>
      <c r="U36" s="49">
        <f t="shared" ref="U36:V36" si="22">SUM(U37:U70)</f>
        <v>685224178</v>
      </c>
      <c r="V36" s="49">
        <f t="shared" si="22"/>
        <v>0</v>
      </c>
      <c r="W36" s="49">
        <f t="shared" ref="W36:Y36" si="23">SUM(W37:W70)</f>
        <v>0</v>
      </c>
      <c r="X36" s="49">
        <f t="shared" si="23"/>
        <v>0</v>
      </c>
      <c r="Y36" s="607">
        <f t="shared" si="23"/>
        <v>-1436431760</v>
      </c>
      <c r="AA36" s="608">
        <f t="shared" ref="AA36:AC36" si="24">SUM(AA37:AA70)</f>
        <v>57401502102</v>
      </c>
      <c r="AC36" s="608">
        <f t="shared" si="24"/>
        <v>53760192380</v>
      </c>
      <c r="AD36" s="263"/>
      <c r="AE36" s="36"/>
    </row>
    <row r="37" spans="1:31" ht="18" customHeight="1">
      <c r="A37" s="36"/>
      <c r="D37" s="590" t="s">
        <v>260</v>
      </c>
      <c r="E37" s="164" t="s">
        <v>259</v>
      </c>
      <c r="F37" s="166">
        <v>301</v>
      </c>
      <c r="G37" s="164" t="s">
        <v>261</v>
      </c>
      <c r="H37" s="36">
        <v>12156908836</v>
      </c>
      <c r="I37" s="36">
        <v>320718593</v>
      </c>
      <c r="J37" s="36">
        <v>243989990</v>
      </c>
      <c r="K37" s="36">
        <v>314613542</v>
      </c>
      <c r="L37" s="36">
        <v>543427040</v>
      </c>
      <c r="M37" s="36"/>
      <c r="N37" s="36">
        <v>294077119</v>
      </c>
      <c r="O37" s="201">
        <f t="shared" ref="O37:O70" si="25">SUM(H37:N37)</f>
        <v>13873735120</v>
      </c>
      <c r="Q37" s="35">
        <f>ROUND(SUMIF('1.0'!$D:$D,T_IS!D37,'1.0'!$J:$J),0)</f>
        <v>0</v>
      </c>
      <c r="R37" s="36">
        <f>ROUND(SUMIF('2.0'!$D:$D,T_IS!D37,'2.0'!$J:$J),0)</f>
        <v>0</v>
      </c>
      <c r="S37" s="36">
        <f>ROUND(SUMIF('3.0'!$D:$D,T_IS!D37,'3.0'!$H:$H),0)</f>
        <v>0</v>
      </c>
      <c r="T37" s="36">
        <f>ROUND(SUMIF('4.0'!$D:$D,T_IS!D37,'4.0'!$J:$J),0)</f>
        <v>0</v>
      </c>
      <c r="U37" s="36">
        <f>ROUND(SUMIF('5.0'!$D:$D,T_IS!D37,'5.0'!$J:$J),0)</f>
        <v>0</v>
      </c>
      <c r="V37" s="36">
        <f>ROUND(SUMIF('6.0'!$D:$D,T_IS!D37,'6.0'!$J:$J),0)</f>
        <v>0</v>
      </c>
      <c r="W37" s="36">
        <f>ROUND(SUMIF('7.0'!$D:$D,T_IS!D37,'7.0'!$I:$I),0)</f>
        <v>0</v>
      </c>
      <c r="X37" s="36">
        <f>ROUND(SUMIF('8.0'!$D:$D,T_IS!F37,'8.0'!$H:$H),0)</f>
        <v>0</v>
      </c>
      <c r="Y37" s="38">
        <f t="shared" ref="Y37:Y70" si="26">SUM(Q37:X37)</f>
        <v>0</v>
      </c>
      <c r="AA37" s="215">
        <f t="shared" ref="AA37:AA70" si="27">Y37+O37</f>
        <v>13873735120</v>
      </c>
      <c r="AC37" s="215">
        <f t="shared" ref="AC37:AC70" si="28">AA37+Q37</f>
        <v>13873735120</v>
      </c>
      <c r="AD37" s="263"/>
      <c r="AE37" s="36"/>
    </row>
    <row r="38" spans="1:31" ht="18" customHeight="1">
      <c r="A38" s="36"/>
      <c r="D38" s="590" t="s">
        <v>262</v>
      </c>
      <c r="E38" s="164" t="s">
        <v>259</v>
      </c>
      <c r="F38" s="166">
        <v>302</v>
      </c>
      <c r="G38" s="164" t="s">
        <v>263</v>
      </c>
      <c r="H38" s="36">
        <v>1048438896</v>
      </c>
      <c r="I38" s="36">
        <v>0</v>
      </c>
      <c r="J38" s="36">
        <v>0</v>
      </c>
      <c r="K38" s="36">
        <v>40033943</v>
      </c>
      <c r="L38" s="36">
        <v>450979</v>
      </c>
      <c r="M38" s="36">
        <v>0</v>
      </c>
      <c r="N38" s="36">
        <v>5380540</v>
      </c>
      <c r="O38" s="201">
        <f t="shared" si="25"/>
        <v>1094304358</v>
      </c>
      <c r="Q38" s="35">
        <f>ROUND(SUMIF('1.0'!$D:$D,T_IS!D38,'1.0'!$J:$J),0)</f>
        <v>0</v>
      </c>
      <c r="R38" s="36">
        <f>ROUND(SUMIF('2.0'!$D:$D,T_IS!D38,'2.0'!$J:$J),0)</f>
        <v>0</v>
      </c>
      <c r="S38" s="36">
        <f>ROUND(SUMIF('3.0'!$D:$D,T_IS!D38,'3.0'!$H:$H),0)</f>
        <v>0</v>
      </c>
      <c r="T38" s="36">
        <f>ROUND(SUMIF('4.0'!$D:$D,T_IS!D38,'4.0'!$J:$J),0)</f>
        <v>0</v>
      </c>
      <c r="U38" s="36">
        <f>ROUND(SUMIF('5.0'!$D:$D,T_IS!D38,'5.0'!$J:$J),0)</f>
        <v>0</v>
      </c>
      <c r="V38" s="36">
        <f>ROUND(SUMIF('6.0'!$D:$D,T_IS!D38,'6.0'!$J:$J),0)</f>
        <v>0</v>
      </c>
      <c r="W38" s="36">
        <f>ROUND(SUMIF('7.0'!$D:$D,T_IS!D38,'7.0'!$I:$I),0)</f>
        <v>0</v>
      </c>
      <c r="X38" s="36">
        <f>ROUND(SUMIF('8.0'!$D:$D,T_IS!F38,'8.0'!$H:$H),0)</f>
        <v>0</v>
      </c>
      <c r="Y38" s="38">
        <f t="shared" si="26"/>
        <v>0</v>
      </c>
      <c r="AA38" s="215">
        <f t="shared" si="27"/>
        <v>1094304358</v>
      </c>
      <c r="AC38" s="215">
        <f t="shared" si="28"/>
        <v>1094304358</v>
      </c>
      <c r="AD38" s="263"/>
      <c r="AE38" s="36"/>
    </row>
    <row r="39" spans="1:31" ht="18" customHeight="1">
      <c r="A39" s="36"/>
      <c r="D39" s="590" t="s">
        <v>1640</v>
      </c>
      <c r="E39" s="164" t="s">
        <v>259</v>
      </c>
      <c r="F39" s="166">
        <v>303</v>
      </c>
      <c r="G39" s="164" t="s">
        <v>765</v>
      </c>
      <c r="H39" s="36">
        <v>674683389</v>
      </c>
      <c r="I39" s="36">
        <v>0</v>
      </c>
      <c r="J39" s="36">
        <v>0</v>
      </c>
      <c r="K39" s="36">
        <v>0</v>
      </c>
      <c r="L39" s="36">
        <v>0</v>
      </c>
      <c r="M39" s="36"/>
      <c r="N39" s="36"/>
      <c r="O39" s="201">
        <f t="shared" si="25"/>
        <v>674683389</v>
      </c>
      <c r="Q39" s="35"/>
      <c r="R39" s="36">
        <f>ROUND(SUMIF('2.0'!$D:$D,T_IS!D39,'2.0'!$J:$J),0)</f>
        <v>0</v>
      </c>
      <c r="S39" s="36">
        <f>ROUND(SUMIF('3.0'!$D:$D,T_IS!D39,'3.0'!$H:$H),0)</f>
        <v>0</v>
      </c>
      <c r="T39" s="36">
        <f>ROUND(SUMIF('4.0'!$D:$D,T_IS!D39,'4.0'!$J:$J),0)</f>
        <v>0</v>
      </c>
      <c r="U39" s="36">
        <f>ROUND(SUMIF('5.0'!$D:$D,T_IS!D39,'5.0'!$J:$J),0)</f>
        <v>0</v>
      </c>
      <c r="V39" s="36"/>
      <c r="W39" s="36"/>
      <c r="X39" s="36">
        <f>ROUND(SUMIF('8.0'!$D:$D,T_IS!F39,'8.0'!$H:$H),0)</f>
        <v>0</v>
      </c>
      <c r="Y39" s="38">
        <f t="shared" si="26"/>
        <v>0</v>
      </c>
      <c r="AA39" s="215">
        <f t="shared" si="27"/>
        <v>674683389</v>
      </c>
      <c r="AC39" s="215"/>
      <c r="AD39" s="263"/>
      <c r="AE39" s="36"/>
    </row>
    <row r="40" spans="1:31" ht="18" customHeight="1">
      <c r="A40" s="36"/>
      <c r="D40" s="590" t="s">
        <v>264</v>
      </c>
      <c r="E40" s="164" t="s">
        <v>259</v>
      </c>
      <c r="F40" s="166">
        <v>304</v>
      </c>
      <c r="G40" s="164" t="s">
        <v>265</v>
      </c>
      <c r="H40" s="36">
        <v>2391246742</v>
      </c>
      <c r="I40" s="36">
        <v>46687857</v>
      </c>
      <c r="J40" s="36">
        <v>32841133</v>
      </c>
      <c r="K40" s="36">
        <v>54920607</v>
      </c>
      <c r="L40" s="36">
        <v>127003651</v>
      </c>
      <c r="M40" s="36"/>
      <c r="N40" s="36">
        <v>43098850</v>
      </c>
      <c r="O40" s="201">
        <f t="shared" si="25"/>
        <v>2695798840</v>
      </c>
      <c r="Q40" s="35">
        <f>ROUND(SUMIF('1.0'!$D:$D,T_IS!D40,'1.0'!$J:$J),0)</f>
        <v>0</v>
      </c>
      <c r="R40" s="36">
        <f>ROUND(SUMIF('2.0'!$D:$D,T_IS!D40,'2.0'!$J:$J),0)</f>
        <v>0</v>
      </c>
      <c r="S40" s="36">
        <f>ROUND(SUMIF('3.0'!$D:$D,T_IS!D40,'3.0'!$H:$H),0)</f>
        <v>0</v>
      </c>
      <c r="T40" s="36">
        <f>ROUND(SUMIF('4.0'!$D:$D,T_IS!D40,'4.0'!$J:$J),0)</f>
        <v>0</v>
      </c>
      <c r="U40" s="36">
        <f>ROUND(SUMIF('5.0'!$D:$D,T_IS!D40,'5.0'!$J:$J),0)</f>
        <v>0</v>
      </c>
      <c r="V40" s="36">
        <f>ROUND(SUMIF('6.0'!$D:$D,T_IS!D40,'6.0'!$J:$J),0)</f>
        <v>0</v>
      </c>
      <c r="W40" s="36">
        <f>ROUND(SUMIF('7.0'!$D:$D,T_IS!D40,'7.0'!$I:$I),0)</f>
        <v>0</v>
      </c>
      <c r="X40" s="36">
        <f>ROUND(SUMIF('8.0'!$D:$D,T_IS!F40,'8.0'!$H:$H),0)</f>
        <v>0</v>
      </c>
      <c r="Y40" s="38">
        <f t="shared" si="26"/>
        <v>0</v>
      </c>
      <c r="AA40" s="215">
        <f t="shared" si="27"/>
        <v>2695798840</v>
      </c>
      <c r="AC40" s="215">
        <f t="shared" si="28"/>
        <v>2695798840</v>
      </c>
      <c r="AD40" s="263"/>
      <c r="AE40" s="36"/>
    </row>
    <row r="41" spans="1:31" ht="18" customHeight="1">
      <c r="A41" s="36"/>
      <c r="D41" s="590" t="s">
        <v>266</v>
      </c>
      <c r="E41" s="164" t="s">
        <v>259</v>
      </c>
      <c r="F41" s="166">
        <v>305</v>
      </c>
      <c r="G41" s="164" t="s">
        <v>267</v>
      </c>
      <c r="H41" s="36">
        <v>300745979</v>
      </c>
      <c r="I41" s="36">
        <v>38005300</v>
      </c>
      <c r="J41" s="36">
        <v>6121230</v>
      </c>
      <c r="K41" s="36">
        <v>4029444</v>
      </c>
      <c r="L41" s="36">
        <v>69906944</v>
      </c>
      <c r="M41" s="36"/>
      <c r="N41" s="36">
        <v>2452870</v>
      </c>
      <c r="O41" s="201">
        <f t="shared" si="25"/>
        <v>421261767</v>
      </c>
      <c r="Q41" s="35">
        <f>ROUND(SUMIF('1.0'!$D:$D,T_IS!D41,'1.0'!$J:$J),0)</f>
        <v>0</v>
      </c>
      <c r="R41" s="36">
        <f>ROUND(SUMIF('2.0'!$D:$D,T_IS!D41,'2.0'!$J:$J),0)</f>
        <v>0</v>
      </c>
      <c r="S41" s="36">
        <f>ROUND(SUMIF('3.0'!$D:$D,T_IS!D41,'3.0'!$H:$H),0)</f>
        <v>0</v>
      </c>
      <c r="T41" s="36">
        <f>ROUND(SUMIF('4.0'!$D:$D,T_IS!D41,'4.0'!$J:$J),0)</f>
        <v>0</v>
      </c>
      <c r="U41" s="36">
        <f>ROUND(SUMIF('5.0'!$D:$D,T_IS!D41,'5.0'!$J:$J),0)</f>
        <v>0</v>
      </c>
      <c r="V41" s="36">
        <f>ROUND(SUMIF('6.0'!$D:$D,T_IS!D41,'6.0'!$J:$J),0)</f>
        <v>0</v>
      </c>
      <c r="W41" s="36">
        <f>ROUND(SUMIF('7.0'!$D:$D,T_IS!D41,'7.0'!$I:$I),0)</f>
        <v>0</v>
      </c>
      <c r="X41" s="36">
        <f>ROUND(SUMIF('8.0'!$D:$D,T_IS!F41,'8.0'!$H:$H),0)</f>
        <v>0</v>
      </c>
      <c r="Y41" s="38">
        <f t="shared" si="26"/>
        <v>0</v>
      </c>
      <c r="AA41" s="215">
        <f t="shared" si="27"/>
        <v>421261767</v>
      </c>
      <c r="AC41" s="215">
        <f t="shared" si="28"/>
        <v>421261767</v>
      </c>
      <c r="AD41" s="263"/>
      <c r="AE41" s="36"/>
    </row>
    <row r="42" spans="1:31" ht="18" customHeight="1">
      <c r="A42" s="36"/>
      <c r="D42" s="590" t="s">
        <v>268</v>
      </c>
      <c r="E42" s="164" t="s">
        <v>259</v>
      </c>
      <c r="F42" s="166">
        <v>306</v>
      </c>
      <c r="G42" s="164" t="s">
        <v>269</v>
      </c>
      <c r="H42" s="36">
        <v>43678284</v>
      </c>
      <c r="I42" s="36">
        <v>0</v>
      </c>
      <c r="J42" s="36">
        <v>19945725</v>
      </c>
      <c r="K42" s="36">
        <v>1125394</v>
      </c>
      <c r="L42" s="36">
        <v>66324114</v>
      </c>
      <c r="M42" s="36"/>
      <c r="N42" s="36">
        <v>12124677</v>
      </c>
      <c r="O42" s="201">
        <f t="shared" si="25"/>
        <v>143198194</v>
      </c>
      <c r="Q42" s="35">
        <f>ROUND(SUMIF('1.0'!$D:$D,T_IS!D42,'1.0'!$J:$J),0)</f>
        <v>0</v>
      </c>
      <c r="R42" s="36">
        <f>ROUND(SUMIF('2.0'!$D:$D,T_IS!D42,'2.0'!$J:$J),0)</f>
        <v>0</v>
      </c>
      <c r="S42" s="36">
        <f>ROUND(SUMIF('3.0'!$D:$D,T_IS!D42,'3.0'!$H:$H),0)</f>
        <v>0</v>
      </c>
      <c r="T42" s="36">
        <f>ROUND(SUMIF('4.0'!$D:$D,T_IS!D42,'4.0'!$J:$J),0)</f>
        <v>0</v>
      </c>
      <c r="U42" s="36">
        <f>ROUND(SUMIF('5.0'!$D:$D,T_IS!D42,'5.0'!$J:$J),0)</f>
        <v>0</v>
      </c>
      <c r="V42" s="36">
        <f>ROUND(SUMIF('6.0'!$D:$D,T_IS!D42,'6.0'!$J:$J),0)</f>
        <v>0</v>
      </c>
      <c r="W42" s="36">
        <f>ROUND(SUMIF('7.0'!$D:$D,T_IS!D42,'7.0'!$I:$I),0)</f>
        <v>0</v>
      </c>
      <c r="X42" s="36">
        <f>ROUND(SUMIF('8.0'!$D:$D,T_IS!F42,'8.0'!$H:$H),0)</f>
        <v>0</v>
      </c>
      <c r="Y42" s="38">
        <f t="shared" si="26"/>
        <v>0</v>
      </c>
      <c r="AA42" s="215">
        <f t="shared" si="27"/>
        <v>143198194</v>
      </c>
      <c r="AC42" s="215">
        <f t="shared" si="28"/>
        <v>143198194</v>
      </c>
      <c r="AD42" s="263"/>
      <c r="AE42" s="36"/>
    </row>
    <row r="43" spans="1:31" ht="18" customHeight="1">
      <c r="A43" s="36"/>
      <c r="D43" s="590" t="s">
        <v>270</v>
      </c>
      <c r="E43" s="164" t="s">
        <v>259</v>
      </c>
      <c r="F43" s="166">
        <v>307</v>
      </c>
      <c r="G43" s="164" t="s">
        <v>271</v>
      </c>
      <c r="H43" s="36">
        <v>315078145</v>
      </c>
      <c r="I43" s="36">
        <v>14272170</v>
      </c>
      <c r="J43" s="36">
        <v>12325971</v>
      </c>
      <c r="K43" s="36">
        <v>24727524</v>
      </c>
      <c r="L43" s="36">
        <v>14107396</v>
      </c>
      <c r="M43" s="36"/>
      <c r="N43" s="36">
        <v>8492153</v>
      </c>
      <c r="O43" s="201">
        <f t="shared" si="25"/>
        <v>389003359</v>
      </c>
      <c r="Q43" s="35">
        <f>ROUND(SUMIF('1.0'!$D:$D,T_IS!D43,'1.0'!$J:$J),0)</f>
        <v>0</v>
      </c>
      <c r="R43" s="36">
        <f>ROUND(SUMIF('2.0'!$D:$D,T_IS!D43,'2.0'!$J:$J),0)</f>
        <v>0</v>
      </c>
      <c r="S43" s="36">
        <f>ROUND(SUMIF('3.0'!$D:$D,T_IS!D43,'3.0'!$H:$H),0)</f>
        <v>0</v>
      </c>
      <c r="T43" s="36">
        <f>ROUND(SUMIF('4.0'!$D:$D,T_IS!D43,'4.0'!$J:$J),0)</f>
        <v>0</v>
      </c>
      <c r="U43" s="36">
        <f>ROUND(SUMIF('5.0'!$D:$D,T_IS!D43,'5.0'!$J:$J),0)</f>
        <v>0</v>
      </c>
      <c r="V43" s="36">
        <f>ROUND(SUMIF('6.0'!$D:$D,T_IS!D43,'6.0'!$J:$J),0)</f>
        <v>0</v>
      </c>
      <c r="W43" s="36">
        <f>ROUND(SUMIF('7.0'!$D:$D,T_IS!D43,'7.0'!$I:$I),0)</f>
        <v>0</v>
      </c>
      <c r="X43" s="36">
        <f>ROUND(SUMIF('8.0'!$D:$D,T_IS!F43,'8.0'!$H:$H),0)</f>
        <v>0</v>
      </c>
      <c r="Y43" s="38">
        <f t="shared" si="26"/>
        <v>0</v>
      </c>
      <c r="AA43" s="215">
        <f t="shared" si="27"/>
        <v>389003359</v>
      </c>
      <c r="AC43" s="215">
        <f t="shared" si="28"/>
        <v>389003359</v>
      </c>
      <c r="AD43" s="263"/>
      <c r="AE43" s="36"/>
    </row>
    <row r="44" spans="1:31" ht="18" customHeight="1">
      <c r="A44" s="36"/>
      <c r="D44" s="590" t="s">
        <v>272</v>
      </c>
      <c r="E44" s="164" t="s">
        <v>259</v>
      </c>
      <c r="F44" s="166">
        <v>308</v>
      </c>
      <c r="G44" s="164" t="s">
        <v>273</v>
      </c>
      <c r="H44" s="36">
        <v>82914468</v>
      </c>
      <c r="I44" s="36">
        <v>1092442</v>
      </c>
      <c r="J44" s="36">
        <v>0</v>
      </c>
      <c r="K44" s="36">
        <v>16077029</v>
      </c>
      <c r="L44" s="36">
        <v>9315652</v>
      </c>
      <c r="M44" s="36"/>
      <c r="N44" s="36"/>
      <c r="O44" s="201">
        <f t="shared" si="25"/>
        <v>109399591</v>
      </c>
      <c r="Q44" s="35">
        <f>ROUND(SUMIF('1.0'!$D:$D,T_IS!D44,'1.0'!$J:$J),0)</f>
        <v>0</v>
      </c>
      <c r="R44" s="36">
        <f>ROUND(SUMIF('2.0'!$D:$D,T_IS!D44,'2.0'!$J:$J),0)</f>
        <v>0</v>
      </c>
      <c r="S44" s="36">
        <f>ROUND(SUMIF('3.0'!$D:$D,T_IS!D44,'3.0'!$H:$H),0)</f>
        <v>0</v>
      </c>
      <c r="T44" s="36">
        <f>ROUND(SUMIF('4.0'!$D:$D,T_IS!D44,'4.0'!$J:$J),0)</f>
        <v>0</v>
      </c>
      <c r="U44" s="36">
        <f>ROUND(SUMIF('5.0'!$D:$D,T_IS!D44,'5.0'!$J:$J),0)</f>
        <v>0</v>
      </c>
      <c r="V44" s="36">
        <f>ROUND(SUMIF('6.0'!$D:$D,T_IS!D44,'6.0'!$J:$J),0)</f>
        <v>0</v>
      </c>
      <c r="W44" s="36">
        <f>ROUND(SUMIF('7.0'!$D:$D,T_IS!D44,'7.0'!$I:$I),0)</f>
        <v>0</v>
      </c>
      <c r="X44" s="36">
        <f>ROUND(SUMIF('8.0'!$D:$D,T_IS!F44,'8.0'!$H:$H),0)</f>
        <v>0</v>
      </c>
      <c r="Y44" s="38">
        <f t="shared" si="26"/>
        <v>0</v>
      </c>
      <c r="AA44" s="215">
        <f t="shared" si="27"/>
        <v>109399591</v>
      </c>
      <c r="AC44" s="215">
        <f t="shared" si="28"/>
        <v>109399591</v>
      </c>
      <c r="AD44" s="263"/>
      <c r="AE44" s="36"/>
    </row>
    <row r="45" spans="1:31" ht="18" customHeight="1">
      <c r="A45" s="36"/>
      <c r="D45" s="590" t="s">
        <v>274</v>
      </c>
      <c r="E45" s="164" t="s">
        <v>259</v>
      </c>
      <c r="F45" s="166">
        <v>309</v>
      </c>
      <c r="G45" s="164" t="s">
        <v>275</v>
      </c>
      <c r="H45" s="36">
        <v>161816326</v>
      </c>
      <c r="I45" s="36">
        <v>3254</v>
      </c>
      <c r="J45" s="36">
        <v>22221183</v>
      </c>
      <c r="K45" s="36">
        <v>3195585</v>
      </c>
      <c r="L45" s="36">
        <v>1991326</v>
      </c>
      <c r="M45" s="36"/>
      <c r="N45" s="36">
        <v>108000</v>
      </c>
      <c r="O45" s="201">
        <f t="shared" si="25"/>
        <v>189335674</v>
      </c>
      <c r="Q45" s="35">
        <f>ROUND(SUMIF('1.0'!$D:$D,T_IS!D45,'1.0'!$J:$J),0)</f>
        <v>0</v>
      </c>
      <c r="R45" s="36">
        <f>ROUND(SUMIF('2.0'!$D:$D,T_IS!D45,'2.0'!$J:$J),0)</f>
        <v>0</v>
      </c>
      <c r="S45" s="36">
        <f>ROUND(SUMIF('3.0'!$D:$D,T_IS!D45,'3.0'!$H:$H),0)</f>
        <v>0</v>
      </c>
      <c r="T45" s="36">
        <f>ROUND(SUMIF('4.0'!$D:$D,T_IS!D45,'4.0'!$J:$J),0)</f>
        <v>0</v>
      </c>
      <c r="U45" s="36">
        <f>ROUND(SUMIF('5.0'!$D:$D,T_IS!D45,'5.0'!$J:$J),0)</f>
        <v>0</v>
      </c>
      <c r="V45" s="36">
        <f>ROUND(SUMIF('6.0'!$D:$D,T_IS!D45,'6.0'!$J:$J),0)</f>
        <v>0</v>
      </c>
      <c r="W45" s="36">
        <f>ROUND(SUMIF('7.0'!$D:$D,T_IS!D45,'7.0'!$I:$I),0)</f>
        <v>0</v>
      </c>
      <c r="X45" s="36">
        <f>ROUND(SUMIF('8.0'!$D:$D,T_IS!F45,'8.0'!$H:$H),0)</f>
        <v>0</v>
      </c>
      <c r="Y45" s="38">
        <f t="shared" si="26"/>
        <v>0</v>
      </c>
      <c r="AA45" s="215">
        <f t="shared" si="27"/>
        <v>189335674</v>
      </c>
      <c r="AC45" s="215">
        <f t="shared" si="28"/>
        <v>189335674</v>
      </c>
      <c r="AD45" s="263"/>
      <c r="AE45" s="36"/>
    </row>
    <row r="46" spans="1:31" s="519" customFormat="1" ht="18" customHeight="1">
      <c r="A46" s="36"/>
      <c r="D46" s="609">
        <v>629120</v>
      </c>
      <c r="E46" s="519" t="s">
        <v>259</v>
      </c>
      <c r="F46" s="610">
        <v>31001</v>
      </c>
      <c r="G46" s="519" t="s">
        <v>626</v>
      </c>
      <c r="H46" s="36">
        <v>26602487</v>
      </c>
      <c r="I46" s="36">
        <v>0</v>
      </c>
      <c r="J46" s="36">
        <v>0</v>
      </c>
      <c r="K46" s="36">
        <v>0</v>
      </c>
      <c r="L46" s="36">
        <v>0</v>
      </c>
      <c r="M46" s="36"/>
      <c r="N46" s="259"/>
      <c r="O46" s="201">
        <f t="shared" si="25"/>
        <v>26602487</v>
      </c>
      <c r="Q46" s="35">
        <f>ROUND(SUMIF('1.0'!$D:$D,T_IS!D46,'1.0'!$J:$J),0)</f>
        <v>0</v>
      </c>
      <c r="R46" s="36">
        <f>ROUND(SUMIF('2.0'!$D:$D,T_IS!D46,'2.0'!$J:$J),0)</f>
        <v>0</v>
      </c>
      <c r="S46" s="36">
        <f>ROUND(SUMIF('3.0'!$D:$D,T_IS!D46,'3.0'!$H:$H),0)</f>
        <v>0</v>
      </c>
      <c r="T46" s="36">
        <f>ROUND(SUMIF('4.0'!$D:$D,T_IS!D46,'4.0'!$J:$J),0)</f>
        <v>0</v>
      </c>
      <c r="U46" s="36">
        <f>ROUND(SUMIF('5.0'!$D:$D,T_IS!D46,'5.0'!$J:$J),0)</f>
        <v>0</v>
      </c>
      <c r="V46" s="36">
        <f>ROUND(SUMIF('6.0'!$D:$D,T_IS!D46,'6.0'!$J:$J),0)</f>
        <v>0</v>
      </c>
      <c r="W46" s="36">
        <f>ROUND(SUMIF('7.0'!$D:$D,T_IS!D46,'7.0'!$I:$I),0)</f>
        <v>0</v>
      </c>
      <c r="X46" s="36">
        <f>ROUND(SUMIF('8.0'!$D:$D,T_IS!F46,'8.0'!$H:$H),0)</f>
        <v>0</v>
      </c>
      <c r="Y46" s="38">
        <f t="shared" si="26"/>
        <v>0</v>
      </c>
      <c r="AA46" s="215">
        <f t="shared" si="27"/>
        <v>26602487</v>
      </c>
      <c r="AC46" s="307">
        <f t="shared" si="28"/>
        <v>26602487</v>
      </c>
      <c r="AD46" s="263"/>
      <c r="AE46" s="36"/>
    </row>
    <row r="47" spans="1:31" s="519" customFormat="1" ht="18" customHeight="1">
      <c r="A47" s="36"/>
      <c r="D47" s="609">
        <v>629140</v>
      </c>
      <c r="E47" s="519" t="s">
        <v>259</v>
      </c>
      <c r="F47" s="610">
        <v>310</v>
      </c>
      <c r="G47" s="519" t="s">
        <v>627</v>
      </c>
      <c r="H47" s="36">
        <v>361903729</v>
      </c>
      <c r="I47" s="36">
        <v>2568864</v>
      </c>
      <c r="J47" s="36">
        <v>0</v>
      </c>
      <c r="K47" s="36">
        <v>9576161</v>
      </c>
      <c r="L47" s="36">
        <v>3520858</v>
      </c>
      <c r="M47" s="36"/>
      <c r="N47" s="259">
        <v>27266859</v>
      </c>
      <c r="O47" s="201">
        <f t="shared" si="25"/>
        <v>404836471</v>
      </c>
      <c r="Q47" s="35">
        <f>ROUND(SUMIF('1.0'!$D:$D,T_IS!D47,'1.0'!$J:$J),0)</f>
        <v>0</v>
      </c>
      <c r="R47" s="36">
        <f>ROUND(SUMIF('2.0'!$D:$D,T_IS!D47,'2.0'!$J:$J),0)</f>
        <v>0</v>
      </c>
      <c r="S47" s="36">
        <f>ROUND(SUMIF('3.0'!$D:$D,T_IS!D47,'3.0'!$H:$H),0)</f>
        <v>0</v>
      </c>
      <c r="T47" s="36">
        <f>ROUND(SUMIF('4.0'!$D:$D,T_IS!D47,'4.0'!$J:$J),0)</f>
        <v>0</v>
      </c>
      <c r="U47" s="36">
        <f>ROUND(SUMIF('5.0'!$D:$D,T_IS!D47,'5.0'!$J:$J),0)</f>
        <v>0</v>
      </c>
      <c r="V47" s="36">
        <f>ROUND(SUMIF('6.0'!$D:$D,T_IS!D47,'6.0'!$J:$J),0)</f>
        <v>0</v>
      </c>
      <c r="W47" s="36">
        <f>ROUND(SUMIF('7.0'!$D:$D,T_IS!D47,'7.0'!$I:$I),0)</f>
        <v>0</v>
      </c>
      <c r="X47" s="36">
        <f>ROUND(SUMIF('8.0'!$D:$D,T_IS!F47,'8.0'!$H:$H),0)</f>
        <v>0</v>
      </c>
      <c r="Y47" s="38">
        <f t="shared" si="26"/>
        <v>0</v>
      </c>
      <c r="AA47" s="215">
        <f t="shared" si="27"/>
        <v>404836471</v>
      </c>
      <c r="AC47" s="307"/>
      <c r="AD47" s="263"/>
      <c r="AE47" s="36"/>
    </row>
    <row r="48" spans="1:31" s="519" customFormat="1" ht="18" customHeight="1">
      <c r="A48" s="36"/>
      <c r="D48" s="609">
        <v>629150</v>
      </c>
      <c r="E48" s="519" t="s">
        <v>259</v>
      </c>
      <c r="F48" s="610">
        <v>310</v>
      </c>
      <c r="G48" s="519" t="s">
        <v>628</v>
      </c>
      <c r="H48" s="36">
        <v>53201134</v>
      </c>
      <c r="I48" s="36">
        <v>0</v>
      </c>
      <c r="J48" s="36">
        <v>0</v>
      </c>
      <c r="K48" s="36">
        <v>0</v>
      </c>
      <c r="L48" s="36">
        <v>0</v>
      </c>
      <c r="M48" s="36"/>
      <c r="N48" s="259"/>
      <c r="O48" s="201">
        <f t="shared" si="25"/>
        <v>53201134</v>
      </c>
      <c r="Q48" s="35">
        <f>ROUND(SUMIF('1.0'!$D:$D,T_IS!D48,'1.0'!$J:$J),0)</f>
        <v>0</v>
      </c>
      <c r="R48" s="36">
        <f>ROUND(SUMIF('2.0'!$D:$D,T_IS!D48,'2.0'!$J:$J),0)</f>
        <v>0</v>
      </c>
      <c r="S48" s="36">
        <f>ROUND(SUMIF('3.0'!$D:$D,T_IS!D48,'3.0'!$H:$H),0)</f>
        <v>0</v>
      </c>
      <c r="T48" s="36">
        <f>ROUND(SUMIF('4.0'!$D:$D,T_IS!D48,'4.0'!$J:$J),0)</f>
        <v>0</v>
      </c>
      <c r="U48" s="36">
        <f>ROUND(SUMIF('5.0'!$D:$D,T_IS!D48,'5.0'!$J:$J),0)</f>
        <v>0</v>
      </c>
      <c r="V48" s="36">
        <f>ROUND(SUMIF('6.0'!$D:$D,T_IS!D48,'6.0'!$J:$J),0)</f>
        <v>0</v>
      </c>
      <c r="W48" s="36">
        <f>ROUND(SUMIF('7.0'!$D:$D,T_IS!D48,'7.0'!$I:$I),0)</f>
        <v>0</v>
      </c>
      <c r="X48" s="36">
        <f>ROUND(SUMIF('8.0'!$D:$D,T_IS!F48,'8.0'!$H:$H),0)</f>
        <v>0</v>
      </c>
      <c r="Y48" s="38">
        <f t="shared" si="26"/>
        <v>0</v>
      </c>
      <c r="AA48" s="215">
        <f t="shared" si="27"/>
        <v>53201134</v>
      </c>
      <c r="AC48" s="307"/>
      <c r="AD48" s="263"/>
      <c r="AE48" s="36"/>
    </row>
    <row r="49" spans="1:31" s="519" customFormat="1" ht="18" customHeight="1">
      <c r="A49" s="36"/>
      <c r="D49" s="609">
        <v>651100</v>
      </c>
      <c r="E49" s="519" t="s">
        <v>259</v>
      </c>
      <c r="F49" s="610">
        <v>335</v>
      </c>
      <c r="G49" s="519" t="s">
        <v>629</v>
      </c>
      <c r="H49" s="36">
        <v>2015801996</v>
      </c>
      <c r="I49" s="36">
        <v>2225451</v>
      </c>
      <c r="J49" s="36">
        <v>35669480</v>
      </c>
      <c r="K49" s="36">
        <v>259148033</v>
      </c>
      <c r="L49" s="36">
        <v>153509105</v>
      </c>
      <c r="M49" s="36">
        <v>0</v>
      </c>
      <c r="N49" s="259"/>
      <c r="O49" s="201">
        <f t="shared" si="25"/>
        <v>2466354065</v>
      </c>
      <c r="Q49" s="35">
        <f>ROUND(SUMIF('1.0'!$D:$D,T_IS!D49,'1.0'!$J:$J),0)</f>
        <v>0</v>
      </c>
      <c r="R49" s="36">
        <f>ROUND(SUMIF('2.0'!$D:$D,T_IS!D49,'2.0'!$J:$J),0)</f>
        <v>0</v>
      </c>
      <c r="S49" s="36">
        <f>ROUND(SUMIF('3.0'!$D:$D,T_IS!D49,'3.0'!$H:$H),0)</f>
        <v>0</v>
      </c>
      <c r="T49" s="36">
        <f>ROUND(SUMIF('4.0'!$D:$D,T_IS!D49,'4.0'!$J:$J),0)</f>
        <v>0</v>
      </c>
      <c r="U49" s="36">
        <f>ROUND(SUMIF('5.0'!$D:$D,T_IS!D49,'5.0'!$J:$J),0)</f>
        <v>0</v>
      </c>
      <c r="V49" s="36">
        <f>ROUND(SUMIF('6.0'!$D:$D,T_IS!D49,'6.0'!$J:$J),0)</f>
        <v>0</v>
      </c>
      <c r="W49" s="36">
        <f>ROUND(SUMIF('7.0'!$D:$D,T_IS!D49,'7.0'!$I:$I),0)</f>
        <v>0</v>
      </c>
      <c r="X49" s="36">
        <f>ROUND(SUMIF('8.0'!$D:$D,T_IS!F49,'8.0'!$H:$H),0)</f>
        <v>0</v>
      </c>
      <c r="Y49" s="38">
        <f t="shared" si="26"/>
        <v>0</v>
      </c>
      <c r="AA49" s="215">
        <f t="shared" si="27"/>
        <v>2466354065</v>
      </c>
      <c r="AC49" s="307"/>
      <c r="AD49" s="263"/>
      <c r="AE49" s="36"/>
    </row>
    <row r="50" spans="1:31" s="519" customFormat="1" ht="18" customHeight="1">
      <c r="A50" s="36"/>
      <c r="D50" s="609">
        <v>651110</v>
      </c>
      <c r="E50" s="519" t="s">
        <v>259</v>
      </c>
      <c r="F50" s="610">
        <v>334</v>
      </c>
      <c r="G50" s="519" t="s">
        <v>630</v>
      </c>
      <c r="H50" s="36">
        <v>38000649</v>
      </c>
      <c r="I50" s="36">
        <v>0</v>
      </c>
      <c r="J50" s="36">
        <v>4234014</v>
      </c>
      <c r="K50" s="36">
        <v>0</v>
      </c>
      <c r="L50" s="36">
        <v>0</v>
      </c>
      <c r="M50" s="36">
        <v>0</v>
      </c>
      <c r="N50" s="259"/>
      <c r="O50" s="201">
        <f t="shared" si="25"/>
        <v>42234663</v>
      </c>
      <c r="Q50" s="35">
        <f>ROUND(SUMIF('1.0'!$D:$D,T_IS!D50,'1.0'!$J:$J),0)</f>
        <v>0</v>
      </c>
      <c r="R50" s="36">
        <f>ROUND(SUMIF('2.0'!$D:$D,T_IS!D50,'2.0'!$J:$J),0)</f>
        <v>0</v>
      </c>
      <c r="S50" s="36">
        <f>ROUND(SUMIF('3.0'!$D:$D,T_IS!D50,'3.0'!$H:$H),0)</f>
        <v>0</v>
      </c>
      <c r="T50" s="36">
        <f>ROUND(SUMIF('4.0'!$D:$D,T_IS!D50,'4.0'!$J:$J),0)</f>
        <v>0</v>
      </c>
      <c r="U50" s="36">
        <f>ROUND(SUMIF('5.0'!$D:$D,T_IS!D50,'5.0'!$J:$J),0)</f>
        <v>0</v>
      </c>
      <c r="V50" s="36">
        <f>ROUND(SUMIF('6.0'!$D:$D,T_IS!D50,'6.0'!$J:$J),0)</f>
        <v>0</v>
      </c>
      <c r="W50" s="36">
        <f>ROUND(SUMIF('7.0'!$D:$D,T_IS!D50,'7.0'!$I:$I),0)</f>
        <v>0</v>
      </c>
      <c r="X50" s="36">
        <f>ROUND(SUMIF('8.0'!$D:$D,T_IS!F50,'8.0'!$H:$H),0)</f>
        <v>0</v>
      </c>
      <c r="Y50" s="38">
        <f t="shared" si="26"/>
        <v>0</v>
      </c>
      <c r="AA50" s="215">
        <f t="shared" si="27"/>
        <v>42234663</v>
      </c>
      <c r="AC50" s="307"/>
      <c r="AD50" s="263"/>
      <c r="AE50" s="36"/>
    </row>
    <row r="51" spans="1:31" ht="18" customHeight="1">
      <c r="A51" s="36"/>
      <c r="D51" s="590" t="s">
        <v>391</v>
      </c>
      <c r="E51" s="164" t="s">
        <v>259</v>
      </c>
      <c r="F51" s="166">
        <v>326</v>
      </c>
      <c r="G51" s="164" t="s">
        <v>387</v>
      </c>
      <c r="H51" s="36">
        <v>7074972976</v>
      </c>
      <c r="I51" s="36">
        <v>0</v>
      </c>
      <c r="J51" s="36">
        <v>0</v>
      </c>
      <c r="K51" s="36">
        <v>99487839</v>
      </c>
      <c r="L51" s="36">
        <v>14238506</v>
      </c>
      <c r="M51" s="36">
        <v>0</v>
      </c>
      <c r="N51" s="36">
        <v>49955511</v>
      </c>
      <c r="O51" s="201">
        <f t="shared" si="25"/>
        <v>7238654832</v>
      </c>
      <c r="Q51" s="35">
        <f>ROUND(SUMIF('1.0'!$D:$D,T_IS!D51,'1.0'!$J:$J),0)</f>
        <v>0</v>
      </c>
      <c r="R51" s="36">
        <f>ROUND(SUMIF('2.0'!$D:$D,T_IS!D51,'2.0'!$J:$J),0)</f>
        <v>0</v>
      </c>
      <c r="S51" s="36">
        <f>ROUND(SUMIF('3.0'!$D:$D,T_IS!D51,'3.0'!$H:$H),0)</f>
        <v>0</v>
      </c>
      <c r="T51" s="36">
        <f>ROUND(SUMIF('4.0'!$D:$D,T_IS!D51,'4.0'!$J:$J),0)</f>
        <v>0</v>
      </c>
      <c r="U51" s="36">
        <f>ROUND(SUMIF('5.0'!$D:$D,T_IS!D51,'5.0'!$J:$J),0)</f>
        <v>685224178</v>
      </c>
      <c r="V51" s="36">
        <f>ROUND(SUMIF('6.0'!$D:$D,T_IS!D51,'6.0'!$J:$J),0)</f>
        <v>0</v>
      </c>
      <c r="W51" s="36">
        <f>ROUND(SUMIF('7.0'!$D:$D,T_IS!D51,'7.0'!$I:$I),0)</f>
        <v>0</v>
      </c>
      <c r="X51" s="36">
        <f>ROUND(SUMIF('8.0'!$D:$D,T_IS!F51,'8.0'!$H:$H),0)</f>
        <v>0</v>
      </c>
      <c r="Y51" s="38">
        <f t="shared" si="26"/>
        <v>685224178</v>
      </c>
      <c r="AA51" s="215">
        <f t="shared" si="27"/>
        <v>7923879010</v>
      </c>
      <c r="AC51" s="215">
        <f t="shared" si="28"/>
        <v>7923879010</v>
      </c>
      <c r="AD51" s="263"/>
      <c r="AE51" s="36"/>
    </row>
    <row r="52" spans="1:31" ht="18" customHeight="1">
      <c r="A52" s="36"/>
      <c r="D52" s="590" t="s">
        <v>276</v>
      </c>
      <c r="E52" s="164" t="s">
        <v>259</v>
      </c>
      <c r="F52" s="166">
        <v>311</v>
      </c>
      <c r="G52" s="164" t="s">
        <v>277</v>
      </c>
      <c r="H52" s="36">
        <v>425445353</v>
      </c>
      <c r="I52" s="36">
        <v>36227019</v>
      </c>
      <c r="J52" s="36">
        <v>24005595</v>
      </c>
      <c r="K52" s="36">
        <v>32112637</v>
      </c>
      <c r="L52" s="36">
        <v>60417745</v>
      </c>
      <c r="M52" s="36"/>
      <c r="N52" s="36">
        <v>157342600</v>
      </c>
      <c r="O52" s="201">
        <f t="shared" si="25"/>
        <v>735550949</v>
      </c>
      <c r="Q52" s="35">
        <f>ROUND(SUMIF('1.0'!$D:$D,T_IS!D52,'1.0'!$J:$J),0)</f>
        <v>0</v>
      </c>
      <c r="R52" s="36">
        <f>ROUND(SUMIF('2.0'!$D:$D,T_IS!D52,'2.0'!$J:$J),0)</f>
        <v>0</v>
      </c>
      <c r="S52" s="36">
        <f>ROUND(SUMIF('3.0'!$D:$D,T_IS!D52,'3.0'!$H:$H),0)</f>
        <v>0</v>
      </c>
      <c r="T52" s="36">
        <f>ROUND(SUMIF('4.0'!$D:$D,T_IS!D52,'4.0'!$J:$J),0)</f>
        <v>0</v>
      </c>
      <c r="U52" s="36">
        <f>ROUND(SUMIF('5.0'!$D:$D,T_IS!D52,'5.0'!$J:$J),0)</f>
        <v>0</v>
      </c>
      <c r="V52" s="36">
        <f>ROUND(SUMIF('6.0'!$D:$D,T_IS!D52,'6.0'!$J:$J),0)</f>
        <v>0</v>
      </c>
      <c r="W52" s="36">
        <f>ROUND(SUMIF('7.0'!$D:$D,T_IS!D52,'7.0'!$I:$I),0)</f>
        <v>0</v>
      </c>
      <c r="X52" s="36">
        <f>ROUND(SUMIF('8.0'!$D:$D,T_IS!F52,'8.0'!$H:$H),0)</f>
        <v>0</v>
      </c>
      <c r="Y52" s="38">
        <f t="shared" si="26"/>
        <v>0</v>
      </c>
      <c r="AA52" s="215">
        <f t="shared" si="27"/>
        <v>735550949</v>
      </c>
      <c r="AC52" s="215">
        <f t="shared" si="28"/>
        <v>735550949</v>
      </c>
      <c r="AD52" s="263"/>
      <c r="AE52" s="36"/>
    </row>
    <row r="53" spans="1:31" ht="18" customHeight="1">
      <c r="A53" s="36"/>
      <c r="D53" s="590" t="s">
        <v>278</v>
      </c>
      <c r="E53" s="164" t="s">
        <v>259</v>
      </c>
      <c r="F53" s="166">
        <v>312</v>
      </c>
      <c r="G53" s="164" t="s">
        <v>279</v>
      </c>
      <c r="H53" s="36">
        <v>225814001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/>
      <c r="O53" s="201">
        <f t="shared" si="25"/>
        <v>225814001</v>
      </c>
      <c r="Q53" s="35">
        <f>ROUND(SUMIF('1.0'!$D:$D,T_IS!D53,'1.0'!$J:$J),0)</f>
        <v>0</v>
      </c>
      <c r="R53" s="36">
        <f>ROUND(SUMIF('2.0'!$D:$D,T_IS!D53,'2.0'!$J:$J),0)</f>
        <v>0</v>
      </c>
      <c r="S53" s="36">
        <f>ROUND(SUMIF('3.0'!$D:$D,T_IS!D53,'3.0'!$H:$H),0)</f>
        <v>0</v>
      </c>
      <c r="T53" s="36">
        <f>ROUND(SUMIF('4.0'!$D:$D,T_IS!D53,'4.0'!$J:$J),0)</f>
        <v>0</v>
      </c>
      <c r="U53" s="36">
        <f>ROUND(SUMIF('5.0'!$D:$D,T_IS!D53,'5.0'!$J:$J),0)</f>
        <v>0</v>
      </c>
      <c r="V53" s="36">
        <f>ROUND(SUMIF('6.0'!$D:$D,T_IS!D53,'6.0'!$J:$J),0)</f>
        <v>0</v>
      </c>
      <c r="W53" s="36">
        <f>ROUND(SUMIF('7.0'!$D:$D,T_IS!D53,'7.0'!$I:$I),0)</f>
        <v>0</v>
      </c>
      <c r="X53" s="36">
        <f>ROUND(SUMIF('8.0'!$D:$D,T_IS!F53,'8.0'!$H:$H),0)</f>
        <v>0</v>
      </c>
      <c r="Y53" s="38">
        <f t="shared" si="26"/>
        <v>0</v>
      </c>
      <c r="AA53" s="215">
        <f t="shared" si="27"/>
        <v>225814001</v>
      </c>
      <c r="AC53" s="215">
        <f t="shared" si="28"/>
        <v>225814001</v>
      </c>
      <c r="AD53" s="263"/>
      <c r="AE53" s="36"/>
    </row>
    <row r="54" spans="1:31" ht="18" customHeight="1">
      <c r="A54" s="36"/>
      <c r="D54" s="590" t="s">
        <v>280</v>
      </c>
      <c r="E54" s="164" t="s">
        <v>259</v>
      </c>
      <c r="F54" s="166">
        <v>313</v>
      </c>
      <c r="G54" s="164" t="s">
        <v>281</v>
      </c>
      <c r="H54" s="36">
        <v>38181315</v>
      </c>
      <c r="I54" s="36">
        <v>6692894</v>
      </c>
      <c r="J54" s="36">
        <v>11311614</v>
      </c>
      <c r="K54" s="36">
        <v>0</v>
      </c>
      <c r="L54" s="36">
        <v>1209043</v>
      </c>
      <c r="M54" s="36">
        <v>0</v>
      </c>
      <c r="N54" s="36"/>
      <c r="O54" s="201">
        <f t="shared" si="25"/>
        <v>57394866</v>
      </c>
      <c r="Q54" s="35">
        <f>ROUND(SUMIF('1.0'!$D:$D,T_IS!D54,'1.0'!$J:$J),0)</f>
        <v>0</v>
      </c>
      <c r="R54" s="36">
        <f>ROUND(SUMIF('2.0'!$D:$D,T_IS!D54,'2.0'!$J:$J),0)</f>
        <v>0</v>
      </c>
      <c r="S54" s="36">
        <f>ROUND(SUMIF('3.0'!$D:$D,T_IS!D54,'3.0'!$H:$H),0)</f>
        <v>0</v>
      </c>
      <c r="T54" s="36">
        <f>ROUND(SUMIF('4.0'!$D:$D,T_IS!D54,'4.0'!$J:$J),0)</f>
        <v>0</v>
      </c>
      <c r="U54" s="36">
        <f>ROUND(SUMIF('5.0'!$D:$D,T_IS!D54,'5.0'!$J:$J),0)</f>
        <v>0</v>
      </c>
      <c r="V54" s="36">
        <f>ROUND(SUMIF('6.0'!$D:$D,T_IS!D54,'6.0'!$J:$J),0)</f>
        <v>0</v>
      </c>
      <c r="W54" s="36">
        <f>ROUND(SUMIF('7.0'!$D:$D,T_IS!D54,'7.0'!$I:$I),0)</f>
        <v>0</v>
      </c>
      <c r="X54" s="36">
        <f>ROUND(SUMIF('8.0'!$D:$D,T_IS!F54,'8.0'!$H:$H),0)</f>
        <v>0</v>
      </c>
      <c r="Y54" s="38">
        <f t="shared" si="26"/>
        <v>0</v>
      </c>
      <c r="AA54" s="215">
        <f t="shared" si="27"/>
        <v>57394866</v>
      </c>
      <c r="AC54" s="215">
        <f t="shared" si="28"/>
        <v>57394866</v>
      </c>
      <c r="AD54" s="263"/>
      <c r="AE54" s="36"/>
    </row>
    <row r="55" spans="1:31" ht="18" customHeight="1">
      <c r="A55" s="36"/>
      <c r="D55" s="590" t="s">
        <v>282</v>
      </c>
      <c r="E55" s="164" t="s">
        <v>259</v>
      </c>
      <c r="F55" s="166">
        <v>314</v>
      </c>
      <c r="G55" s="164" t="s">
        <v>283</v>
      </c>
      <c r="H55" s="36">
        <v>23975163</v>
      </c>
      <c r="I55" s="36">
        <v>32359224</v>
      </c>
      <c r="J55" s="36">
        <v>4634705</v>
      </c>
      <c r="K55" s="36">
        <v>0</v>
      </c>
      <c r="L55" s="36">
        <v>0</v>
      </c>
      <c r="M55" s="36">
        <v>0</v>
      </c>
      <c r="N55" s="36">
        <v>1469933</v>
      </c>
      <c r="O55" s="201">
        <f t="shared" si="25"/>
        <v>62439025</v>
      </c>
      <c r="Q55" s="35">
        <f>ROUND(SUMIF('1.0'!$D:$D,T_IS!D55,'1.0'!$J:$J),0)</f>
        <v>0</v>
      </c>
      <c r="R55" s="36">
        <f>ROUND(SUMIF('2.0'!$D:$D,T_IS!D55,'2.0'!$J:$J),0)</f>
        <v>0</v>
      </c>
      <c r="S55" s="36">
        <f>ROUND(SUMIF('3.0'!$D:$D,T_IS!D55,'3.0'!$H:$H),0)</f>
        <v>0</v>
      </c>
      <c r="T55" s="36">
        <f>ROUND(SUMIF('4.0'!$D:$D,T_IS!D55,'4.0'!$J:$J),0)</f>
        <v>0</v>
      </c>
      <c r="U55" s="36">
        <f>ROUND(SUMIF('5.0'!$D:$D,T_IS!D55,'5.0'!$J:$J),0)</f>
        <v>0</v>
      </c>
      <c r="V55" s="36">
        <f>ROUND(SUMIF('6.0'!$D:$D,T_IS!D55,'6.0'!$J:$J),0)</f>
        <v>0</v>
      </c>
      <c r="W55" s="36">
        <f>ROUND(SUMIF('7.0'!$D:$D,T_IS!D55,'7.0'!$I:$I),0)</f>
        <v>0</v>
      </c>
      <c r="X55" s="36">
        <f>ROUND(SUMIF('8.0'!$D:$D,T_IS!F55,'8.0'!$H:$H),0)</f>
        <v>0</v>
      </c>
      <c r="Y55" s="38">
        <f t="shared" si="26"/>
        <v>0</v>
      </c>
      <c r="AA55" s="215">
        <f t="shared" si="27"/>
        <v>62439025</v>
      </c>
      <c r="AC55" s="215">
        <f t="shared" si="28"/>
        <v>62439025</v>
      </c>
      <c r="AD55" s="263"/>
      <c r="AE55" s="36"/>
    </row>
    <row r="56" spans="1:31" ht="18" customHeight="1">
      <c r="A56" s="36"/>
      <c r="D56" s="590" t="s">
        <v>284</v>
      </c>
      <c r="E56" s="164" t="s">
        <v>259</v>
      </c>
      <c r="F56" s="166">
        <v>315</v>
      </c>
      <c r="G56" s="164" t="s">
        <v>285</v>
      </c>
      <c r="H56" s="36">
        <v>2368608435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/>
      <c r="O56" s="201">
        <f t="shared" si="25"/>
        <v>2368608435</v>
      </c>
      <c r="Q56" s="35">
        <f>ROUND(SUMIF('1.0'!$D:$D,T_IS!D56,'1.0'!$J:$J),0)</f>
        <v>0</v>
      </c>
      <c r="R56" s="36">
        <f>ROUND(SUMIF('2.0'!$D:$D,T_IS!D56,'2.0'!$J:$J),0)</f>
        <v>0</v>
      </c>
      <c r="S56" s="36">
        <f>ROUND(SUMIF('3.0'!$D:$D,T_IS!D56,'3.0'!$H:$H),0)</f>
        <v>0</v>
      </c>
      <c r="T56" s="36">
        <f>ROUND(SUMIF('4.0'!$D:$D,T_IS!D56,'4.0'!$J:$J),0)</f>
        <v>0</v>
      </c>
      <c r="U56" s="36">
        <f>ROUND(SUMIF('5.0'!$D:$D,T_IS!D56,'5.0'!$J:$J),0)</f>
        <v>0</v>
      </c>
      <c r="V56" s="36">
        <f>ROUND(SUMIF('6.0'!$D:$D,T_IS!D56,'6.0'!$J:$J),0)</f>
        <v>0</v>
      </c>
      <c r="W56" s="36">
        <f>ROUND(SUMIF('7.0'!$D:$D,T_IS!D56,'7.0'!$I:$I),0)</f>
        <v>0</v>
      </c>
      <c r="X56" s="36">
        <f>ROUND(SUMIF('8.0'!$D:$D,T_IS!F56,'8.0'!$H:$H),0)</f>
        <v>0</v>
      </c>
      <c r="Y56" s="38">
        <f t="shared" si="26"/>
        <v>0</v>
      </c>
      <c r="AA56" s="215">
        <f t="shared" si="27"/>
        <v>2368608435</v>
      </c>
      <c r="AC56" s="215">
        <f t="shared" si="28"/>
        <v>2368608435</v>
      </c>
      <c r="AD56" s="263"/>
      <c r="AE56" s="36"/>
    </row>
    <row r="57" spans="1:31" ht="18" customHeight="1">
      <c r="A57" s="36"/>
      <c r="D57" s="590" t="s">
        <v>286</v>
      </c>
      <c r="E57" s="164" t="s">
        <v>259</v>
      </c>
      <c r="F57" s="166">
        <v>316</v>
      </c>
      <c r="G57" s="164" t="s">
        <v>287</v>
      </c>
      <c r="H57" s="36">
        <v>282727356</v>
      </c>
      <c r="I57" s="36">
        <v>3645235</v>
      </c>
      <c r="J57" s="36">
        <v>41816420</v>
      </c>
      <c r="K57" s="36">
        <v>427822</v>
      </c>
      <c r="L57" s="36">
        <v>50251452</v>
      </c>
      <c r="M57" s="36">
        <v>0</v>
      </c>
      <c r="N57" s="36">
        <v>572380</v>
      </c>
      <c r="O57" s="201">
        <f t="shared" si="25"/>
        <v>379440665</v>
      </c>
      <c r="Q57" s="35">
        <f>ROUND(SUMIF('1.0'!$D:$D,T_IS!D57,'1.0'!$J:$J),0)</f>
        <v>0</v>
      </c>
      <c r="R57" s="36">
        <f>ROUND(SUMIF('2.0'!$D:$D,T_IS!D57,'2.0'!$J:$J),0)</f>
        <v>0</v>
      </c>
      <c r="S57" s="36">
        <f>ROUND(SUMIF('3.0'!$D:$D,T_IS!D57,'3.0'!$H:$H),0)</f>
        <v>0</v>
      </c>
      <c r="T57" s="36">
        <f>ROUND(SUMIF('4.0'!$D:$D,T_IS!D57,'4.0'!$J:$J),0)</f>
        <v>0</v>
      </c>
      <c r="U57" s="36">
        <f>ROUND(SUMIF('5.0'!$D:$D,T_IS!D57,'5.0'!$J:$J),0)</f>
        <v>0</v>
      </c>
      <c r="V57" s="36">
        <f>ROUND(SUMIF('6.0'!$D:$D,T_IS!D57,'6.0'!$J:$J),0)</f>
        <v>0</v>
      </c>
      <c r="W57" s="36">
        <f>ROUND(SUMIF('7.0'!$D:$D,T_IS!D57,'7.0'!$I:$I),0)</f>
        <v>0</v>
      </c>
      <c r="X57" s="36">
        <f>ROUND(SUMIF('8.0'!$D:$D,T_IS!F57,'8.0'!$H:$H),0)</f>
        <v>0</v>
      </c>
      <c r="Y57" s="38">
        <f t="shared" si="26"/>
        <v>0</v>
      </c>
      <c r="AA57" s="215">
        <f t="shared" si="27"/>
        <v>379440665</v>
      </c>
      <c r="AC57" s="215">
        <f t="shared" si="28"/>
        <v>379440665</v>
      </c>
      <c r="AD57" s="263"/>
      <c r="AE57" s="36"/>
    </row>
    <row r="58" spans="1:31" ht="18" customHeight="1">
      <c r="A58" s="36"/>
      <c r="D58" s="590" t="s">
        <v>288</v>
      </c>
      <c r="E58" s="164" t="s">
        <v>259</v>
      </c>
      <c r="F58" s="166">
        <v>317</v>
      </c>
      <c r="G58" s="164" t="s">
        <v>289</v>
      </c>
      <c r="H58" s="36">
        <v>140154037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/>
      <c r="O58" s="201">
        <f t="shared" si="25"/>
        <v>140154037</v>
      </c>
      <c r="Q58" s="35">
        <f>ROUND(SUMIF('1.0'!$D:$D,T_IS!D58,'1.0'!$J:$J),0)</f>
        <v>0</v>
      </c>
      <c r="R58" s="36">
        <f>ROUND(SUMIF('2.0'!$D:$D,T_IS!D58,'2.0'!$J:$J),0)</f>
        <v>0</v>
      </c>
      <c r="S58" s="36">
        <f>ROUND(SUMIF('3.0'!$D:$D,T_IS!D58,'3.0'!$H:$H),0)</f>
        <v>0</v>
      </c>
      <c r="T58" s="36">
        <f>ROUND(SUMIF('4.0'!$D:$D,T_IS!D58,'4.0'!$J:$J),0)</f>
        <v>0</v>
      </c>
      <c r="U58" s="36">
        <f>ROUND(SUMIF('5.0'!$D:$D,T_IS!D58,'5.0'!$J:$J),0)</f>
        <v>0</v>
      </c>
      <c r="V58" s="36">
        <f>ROUND(SUMIF('6.0'!$D:$D,T_IS!D58,'6.0'!$J:$J),0)</f>
        <v>0</v>
      </c>
      <c r="W58" s="36">
        <f>ROUND(SUMIF('7.0'!$D:$D,T_IS!D58,'7.0'!$I:$I),0)</f>
        <v>0</v>
      </c>
      <c r="X58" s="36">
        <f>ROUND(SUMIF('8.0'!$D:$D,T_IS!F58,'8.0'!$H:$H),0)</f>
        <v>0</v>
      </c>
      <c r="Y58" s="38">
        <f t="shared" si="26"/>
        <v>0</v>
      </c>
      <c r="AA58" s="215">
        <f t="shared" si="27"/>
        <v>140154037</v>
      </c>
      <c r="AC58" s="215">
        <f t="shared" si="28"/>
        <v>140154037</v>
      </c>
      <c r="AD58" s="263"/>
      <c r="AE58" s="36"/>
    </row>
    <row r="59" spans="1:31" ht="18" customHeight="1">
      <c r="A59" s="36"/>
      <c r="D59" s="590" t="s">
        <v>290</v>
      </c>
      <c r="E59" s="164" t="s">
        <v>259</v>
      </c>
      <c r="F59" s="166">
        <v>318</v>
      </c>
      <c r="G59" s="164" t="s">
        <v>291</v>
      </c>
      <c r="H59" s="36">
        <v>50949404</v>
      </c>
      <c r="I59" s="36">
        <v>0</v>
      </c>
      <c r="J59" s="36">
        <v>0</v>
      </c>
      <c r="K59" s="36">
        <v>0</v>
      </c>
      <c r="L59" s="36">
        <v>748832</v>
      </c>
      <c r="M59" s="36">
        <v>0</v>
      </c>
      <c r="N59" s="36"/>
      <c r="O59" s="201">
        <f t="shared" si="25"/>
        <v>51698236</v>
      </c>
      <c r="Q59" s="35">
        <f>ROUND(SUMIF('1.0'!$D:$D,T_IS!D59,'1.0'!$J:$J),0)</f>
        <v>0</v>
      </c>
      <c r="R59" s="36">
        <f>ROUND(SUMIF('2.0'!$D:$D,T_IS!D59,'2.0'!$J:$J),0)</f>
        <v>0</v>
      </c>
      <c r="S59" s="36">
        <f>ROUND(SUMIF('3.0'!$D:$D,T_IS!D59,'3.0'!$H:$H),0)</f>
        <v>0</v>
      </c>
      <c r="T59" s="36">
        <f>ROUND(SUMIF('4.0'!$D:$D,T_IS!D59,'4.0'!$J:$J),0)</f>
        <v>0</v>
      </c>
      <c r="U59" s="36">
        <f>ROUND(SUMIF('5.0'!$D:$D,T_IS!D59,'5.0'!$J:$J),0)</f>
        <v>0</v>
      </c>
      <c r="V59" s="36">
        <f>ROUND(SUMIF('6.0'!$D:$D,T_IS!D59,'6.0'!$J:$J),0)</f>
        <v>0</v>
      </c>
      <c r="W59" s="36">
        <f>ROUND(SUMIF('7.0'!$D:$D,T_IS!D59,'7.0'!$I:$I),0)</f>
        <v>0</v>
      </c>
      <c r="X59" s="36">
        <f>ROUND(SUMIF('8.0'!$D:$D,T_IS!F59,'8.0'!$H:$H),0)</f>
        <v>0</v>
      </c>
      <c r="Y59" s="38">
        <f t="shared" si="26"/>
        <v>0</v>
      </c>
      <c r="AA59" s="215">
        <f t="shared" si="27"/>
        <v>51698236</v>
      </c>
      <c r="AC59" s="215">
        <f t="shared" si="28"/>
        <v>51698236</v>
      </c>
      <c r="AD59" s="263"/>
      <c r="AE59" s="36"/>
    </row>
    <row r="60" spans="1:31" ht="18" customHeight="1">
      <c r="A60" s="36"/>
      <c r="D60" s="590" t="s">
        <v>292</v>
      </c>
      <c r="E60" s="164" t="s">
        <v>259</v>
      </c>
      <c r="F60" s="166">
        <v>319</v>
      </c>
      <c r="G60" s="164" t="s">
        <v>293</v>
      </c>
      <c r="H60" s="36">
        <v>2855282</v>
      </c>
      <c r="I60" s="36">
        <v>0</v>
      </c>
      <c r="J60" s="36">
        <v>7287692</v>
      </c>
      <c r="K60" s="36">
        <v>0</v>
      </c>
      <c r="L60" s="36">
        <v>1826711</v>
      </c>
      <c r="M60" s="36">
        <v>0</v>
      </c>
      <c r="N60" s="36">
        <v>431020</v>
      </c>
      <c r="O60" s="201">
        <f t="shared" si="25"/>
        <v>12400705</v>
      </c>
      <c r="Q60" s="35">
        <f>ROUND(SUMIF('1.0'!$D:$D,T_IS!D60,'1.0'!$J:$J),0)</f>
        <v>0</v>
      </c>
      <c r="R60" s="36">
        <f>ROUND(SUMIF('2.0'!$D:$D,T_IS!D60,'2.0'!$J:$J),0)</f>
        <v>0</v>
      </c>
      <c r="S60" s="36">
        <f>ROUND(SUMIF('3.0'!$D:$D,T_IS!D60,'3.0'!$H:$H),0)</f>
        <v>0</v>
      </c>
      <c r="T60" s="36">
        <f>ROUND(SUMIF('4.0'!$D:$D,T_IS!D60,'4.0'!$J:$J),0)</f>
        <v>0</v>
      </c>
      <c r="U60" s="36">
        <f>ROUND(SUMIF('5.0'!$D:$D,T_IS!D60,'5.0'!$J:$J),0)</f>
        <v>0</v>
      </c>
      <c r="V60" s="36">
        <f>ROUND(SUMIF('6.0'!$D:$D,T_IS!D60,'6.0'!$J:$J),0)</f>
        <v>0</v>
      </c>
      <c r="W60" s="36">
        <f>ROUND(SUMIF('7.0'!$D:$D,T_IS!D60,'7.0'!$I:$I),0)</f>
        <v>0</v>
      </c>
      <c r="X60" s="36">
        <f>ROUND(SUMIF('8.0'!$D:$D,T_IS!F60,'8.0'!$H:$H),0)</f>
        <v>0</v>
      </c>
      <c r="Y60" s="38">
        <f t="shared" si="26"/>
        <v>0</v>
      </c>
      <c r="AA60" s="215">
        <f t="shared" si="27"/>
        <v>12400705</v>
      </c>
      <c r="AC60" s="215">
        <f t="shared" si="28"/>
        <v>12400705</v>
      </c>
      <c r="AD60" s="263"/>
      <c r="AE60" s="36"/>
    </row>
    <row r="61" spans="1:31" ht="18" customHeight="1">
      <c r="A61" s="36"/>
      <c r="D61" s="590" t="s">
        <v>294</v>
      </c>
      <c r="E61" s="164" t="s">
        <v>259</v>
      </c>
      <c r="F61" s="166">
        <v>320</v>
      </c>
      <c r="G61" s="164" t="s">
        <v>295</v>
      </c>
      <c r="H61" s="36">
        <v>106671462</v>
      </c>
      <c r="I61" s="36">
        <v>326721</v>
      </c>
      <c r="J61" s="36">
        <v>6633597</v>
      </c>
      <c r="K61" s="36">
        <v>5677644</v>
      </c>
      <c r="L61" s="36">
        <v>16249323</v>
      </c>
      <c r="M61" s="36"/>
      <c r="N61" s="36">
        <v>12315000</v>
      </c>
      <c r="O61" s="201">
        <f t="shared" si="25"/>
        <v>147873747</v>
      </c>
      <c r="Q61" s="35">
        <f>ROUND(SUMIF('1.0'!$D:$D,T_IS!D61,'1.0'!$J:$J),0)</f>
        <v>0</v>
      </c>
      <c r="R61" s="36">
        <f>ROUND(SUMIF('2.0'!$D:$D,T_IS!D61,'2.0'!$J:$J),0)</f>
        <v>0</v>
      </c>
      <c r="S61" s="36">
        <f>ROUND(SUMIF('3.0'!$D:$D,T_IS!D61,'3.0'!$H:$H),0)</f>
        <v>0</v>
      </c>
      <c r="T61" s="36">
        <f>ROUND(SUMIF('4.0'!$D:$D,T_IS!D61,'4.0'!$J:$J),0)</f>
        <v>0</v>
      </c>
      <c r="U61" s="36">
        <f>ROUND(SUMIF('5.0'!$D:$D,T_IS!D61,'5.0'!$J:$J),0)</f>
        <v>0</v>
      </c>
      <c r="V61" s="36">
        <f>ROUND(SUMIF('6.0'!$D:$D,T_IS!D61,'6.0'!$J:$J),0)</f>
        <v>0</v>
      </c>
      <c r="W61" s="36">
        <f>ROUND(SUMIF('7.0'!$D:$D,T_IS!D61,'7.0'!$I:$I),0)</f>
        <v>0</v>
      </c>
      <c r="X61" s="36">
        <f>ROUND(SUMIF('8.0'!$D:$D,T_IS!F61,'8.0'!$H:$H),0)</f>
        <v>0</v>
      </c>
      <c r="Y61" s="38">
        <f t="shared" si="26"/>
        <v>0</v>
      </c>
      <c r="AA61" s="215">
        <f t="shared" si="27"/>
        <v>147873747</v>
      </c>
      <c r="AC61" s="215">
        <f t="shared" si="28"/>
        <v>147873747</v>
      </c>
      <c r="AD61" s="263"/>
      <c r="AE61" s="36"/>
    </row>
    <row r="62" spans="1:31" ht="18" customHeight="1">
      <c r="A62" s="36"/>
      <c r="D62" s="590" t="s">
        <v>296</v>
      </c>
      <c r="E62" s="164" t="s">
        <v>259</v>
      </c>
      <c r="F62" s="166">
        <v>321</v>
      </c>
      <c r="G62" s="164" t="s">
        <v>297</v>
      </c>
      <c r="H62" s="36">
        <v>9774014255</v>
      </c>
      <c r="I62" s="36">
        <v>40887126</v>
      </c>
      <c r="J62" s="36">
        <v>137437749</v>
      </c>
      <c r="K62" s="36">
        <v>81707686</v>
      </c>
      <c r="L62" s="36">
        <v>311109882</v>
      </c>
      <c r="M62" s="36"/>
      <c r="N62" s="36">
        <v>3010857569</v>
      </c>
      <c r="O62" s="201">
        <f t="shared" si="25"/>
        <v>13356014267</v>
      </c>
      <c r="Q62" s="35">
        <f>ROUND(SUMIF('1.0'!$D:$D,T_IS!D62,'1.0'!$J:$J),0)</f>
        <v>0</v>
      </c>
      <c r="R62" s="36">
        <f>ROUND(SUMIF('2.0'!$D:$D,T_IS!D62,'2.0'!$J:$J),0)</f>
        <v>0</v>
      </c>
      <c r="S62" s="36">
        <f>ROUND(SUMIF('3.0'!$D:$D,T_IS!D62,'3.0'!$H:$H),0)</f>
        <v>-20249440</v>
      </c>
      <c r="T62" s="36">
        <f>ROUND(SUMIF('4.0'!$D:$D,T_IS!D62,'4.0'!$J:$J),0)</f>
        <v>-1181400000</v>
      </c>
      <c r="U62" s="36">
        <f>ROUND(SUMIF('5.0'!$D:$D,T_IS!D62,'5.0'!$J:$J),0)</f>
        <v>0</v>
      </c>
      <c r="V62" s="36">
        <f>ROUND(SUMIF('6.0'!$D:$D,T_IS!D62,'6.0'!$J:$J),0)</f>
        <v>0</v>
      </c>
      <c r="W62" s="36">
        <f>ROUND(SUMIF('7.0'!$D:$D,T_IS!D62,'7.0'!$I:$I),0)</f>
        <v>0</v>
      </c>
      <c r="X62" s="36">
        <f>ROUND(SUMIF('8.0'!$D:$D,T_IS!F62,'8.0'!$H:$H),0)</f>
        <v>0</v>
      </c>
      <c r="Y62" s="38">
        <f t="shared" si="26"/>
        <v>-1201649440</v>
      </c>
      <c r="AA62" s="215">
        <f t="shared" si="27"/>
        <v>12154364827</v>
      </c>
      <c r="AC62" s="215">
        <f t="shared" si="28"/>
        <v>12154364827</v>
      </c>
      <c r="AD62" s="263"/>
      <c r="AE62" s="36"/>
    </row>
    <row r="63" spans="1:31" ht="18" customHeight="1">
      <c r="A63" s="36"/>
      <c r="D63" s="590" t="s">
        <v>298</v>
      </c>
      <c r="E63" s="164" t="s">
        <v>259</v>
      </c>
      <c r="F63" s="166">
        <v>322</v>
      </c>
      <c r="G63" s="164" t="s">
        <v>299</v>
      </c>
      <c r="H63" s="36">
        <v>6643873464</v>
      </c>
      <c r="I63" s="36">
        <v>356864</v>
      </c>
      <c r="J63" s="36">
        <v>156529653</v>
      </c>
      <c r="K63" s="36">
        <v>2859473</v>
      </c>
      <c r="L63" s="36">
        <v>152854145</v>
      </c>
      <c r="M63" s="36">
        <v>0</v>
      </c>
      <c r="N63" s="36">
        <v>1248895375</v>
      </c>
      <c r="O63" s="201">
        <f t="shared" si="25"/>
        <v>8205368974</v>
      </c>
      <c r="Q63" s="35">
        <f>ROUND(SUMIF('1.0'!$D:$D,T_IS!D63,'1.0'!$J:$J),0)</f>
        <v>0</v>
      </c>
      <c r="R63" s="36">
        <f>ROUND(SUMIF('2.0'!$D:$D,T_IS!D63,'2.0'!$J:$J),0)</f>
        <v>0</v>
      </c>
      <c r="S63" s="36">
        <f>ROUND(SUMIF('3.0'!$D:$D,T_IS!D63,'3.0'!$H:$H),0)</f>
        <v>0</v>
      </c>
      <c r="T63" s="36">
        <f>ROUND(SUMIF('4.0'!$D:$D,T_IS!D63,'4.0'!$J:$J),0)</f>
        <v>0</v>
      </c>
      <c r="U63" s="36">
        <f>ROUND(SUMIF('5.0'!$D:$D,T_IS!D63,'5.0'!$J:$J),0)</f>
        <v>0</v>
      </c>
      <c r="V63" s="36">
        <f>ROUND(SUMIF('6.0'!$D:$D,T_IS!D63,'6.0'!$J:$J),0)</f>
        <v>0</v>
      </c>
      <c r="W63" s="36">
        <f>ROUND(SUMIF('7.0'!$D:$D,T_IS!D63,'7.0'!$I:$I),0)</f>
        <v>0</v>
      </c>
      <c r="X63" s="36">
        <f>ROUND(SUMIF('8.0'!$D:$D,T_IS!F63,'8.0'!$H:$H),0)</f>
        <v>0</v>
      </c>
      <c r="Y63" s="38">
        <f t="shared" si="26"/>
        <v>0</v>
      </c>
      <c r="AA63" s="215">
        <f t="shared" si="27"/>
        <v>8205368974</v>
      </c>
      <c r="AC63" s="215">
        <f t="shared" si="28"/>
        <v>8205368974</v>
      </c>
      <c r="AD63" s="263"/>
      <c r="AE63" s="36"/>
    </row>
    <row r="64" spans="1:31" ht="18" customHeight="1">
      <c r="A64" s="36"/>
      <c r="D64" s="590" t="s">
        <v>300</v>
      </c>
      <c r="E64" s="164" t="s">
        <v>259</v>
      </c>
      <c r="F64" s="166">
        <v>323</v>
      </c>
      <c r="G64" s="164" t="s">
        <v>301</v>
      </c>
      <c r="H64" s="36">
        <v>280879092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/>
      <c r="O64" s="201">
        <f t="shared" si="25"/>
        <v>280879092</v>
      </c>
      <c r="Q64" s="35">
        <f>ROUND(SUMIF('1.0'!$D:$D,T_IS!D64,'1.0'!$J:$J),0)</f>
        <v>0</v>
      </c>
      <c r="R64" s="36">
        <f>ROUND(SUMIF('2.0'!$D:$D,T_IS!D64,'2.0'!$J:$J),0)</f>
        <v>0</v>
      </c>
      <c r="S64" s="36">
        <f>ROUND(SUMIF('3.0'!$D:$D,T_IS!D64,'3.0'!$H:$H),0)</f>
        <v>0</v>
      </c>
      <c r="T64" s="36">
        <f>ROUND(SUMIF('4.0'!$D:$D,T_IS!D64,'4.0'!$J:$J),0)</f>
        <v>0</v>
      </c>
      <c r="U64" s="36">
        <f>ROUND(SUMIF('5.0'!$D:$D,T_IS!D64,'5.0'!$J:$J),0)</f>
        <v>0</v>
      </c>
      <c r="V64" s="36">
        <f>ROUND(SUMIF('6.0'!$D:$D,T_IS!D64,'6.0'!$J:$J),0)</f>
        <v>0</v>
      </c>
      <c r="W64" s="36">
        <f>ROUND(SUMIF('7.0'!$D:$D,T_IS!D64,'7.0'!$I:$I),0)</f>
        <v>0</v>
      </c>
      <c r="X64" s="36">
        <f>ROUND(SUMIF('8.0'!$D:$D,T_IS!F64,'8.0'!$H:$H),0)</f>
        <v>0</v>
      </c>
      <c r="Y64" s="38">
        <f t="shared" si="26"/>
        <v>0</v>
      </c>
      <c r="AA64" s="215">
        <f t="shared" si="27"/>
        <v>280879092</v>
      </c>
      <c r="AC64" s="215">
        <f t="shared" si="28"/>
        <v>280879092</v>
      </c>
      <c r="AD64" s="263"/>
      <c r="AE64" s="36"/>
    </row>
    <row r="65" spans="1:31" ht="18" customHeight="1">
      <c r="A65" s="36"/>
      <c r="D65" s="590" t="s">
        <v>302</v>
      </c>
      <c r="E65" s="164" t="s">
        <v>259</v>
      </c>
      <c r="F65" s="166">
        <v>324</v>
      </c>
      <c r="G65" s="164" t="s">
        <v>303</v>
      </c>
      <c r="H65" s="36">
        <v>1502435542</v>
      </c>
      <c r="I65" s="36">
        <v>-187557870</v>
      </c>
      <c r="J65" s="36">
        <v>-24722518</v>
      </c>
      <c r="K65" s="36">
        <v>0</v>
      </c>
      <c r="L65" s="36">
        <v>0</v>
      </c>
      <c r="M65" s="36">
        <v>0</v>
      </c>
      <c r="N65" s="36">
        <v>0</v>
      </c>
      <c r="O65" s="201">
        <f t="shared" si="25"/>
        <v>1290155154</v>
      </c>
      <c r="Q65" s="35">
        <f>ROUND(SUMIF('1.0'!$D:$D,T_IS!D65,'1.0'!$J:$J),0)</f>
        <v>0</v>
      </c>
      <c r="R65" s="36">
        <f>ROUND(SUMIF('2.0'!$D:$D,T_IS!D65,'2.0'!$J:$J),0)</f>
        <v>-920006498</v>
      </c>
      <c r="S65" s="36">
        <f>ROUND(SUMIF('3.0'!$D:$D,T_IS!D65,'3.0'!$H:$H),0)</f>
        <v>0</v>
      </c>
      <c r="T65" s="36">
        <f>ROUND(SUMIF('4.0'!$D:$D,T_IS!D65,'4.0'!$J:$J),0)</f>
        <v>0</v>
      </c>
      <c r="U65" s="36">
        <f>ROUND(SUMIF('5.0'!$D:$D,T_IS!D65,'5.0'!$J:$J),0)</f>
        <v>0</v>
      </c>
      <c r="V65" s="36">
        <f>ROUND(SUMIF('6.0'!$D:$D,T_IS!D65,'6.0'!$J:$J),0)</f>
        <v>0</v>
      </c>
      <c r="W65" s="36">
        <f>ROUND(SUMIF('7.0'!$D:$D,T_IS!D65,'7.0'!$I:$I),0)</f>
        <v>0</v>
      </c>
      <c r="X65" s="36">
        <f>ROUND(SUMIF('8.0'!$D:$D,T_IS!F65,'8.0'!$H:$H),0)</f>
        <v>0</v>
      </c>
      <c r="Y65" s="38">
        <f t="shared" si="26"/>
        <v>-920006498</v>
      </c>
      <c r="AA65" s="215">
        <f>Y65+O65</f>
        <v>370148656</v>
      </c>
      <c r="AC65" s="215">
        <f t="shared" si="28"/>
        <v>370148656</v>
      </c>
      <c r="AD65" s="263"/>
      <c r="AE65" s="36"/>
    </row>
    <row r="66" spans="1:31" ht="18" customHeight="1">
      <c r="A66" s="36"/>
      <c r="D66" s="590" t="s">
        <v>304</v>
      </c>
      <c r="E66" s="164" t="s">
        <v>259</v>
      </c>
      <c r="F66" s="166">
        <v>325</v>
      </c>
      <c r="G66" s="164" t="s">
        <v>305</v>
      </c>
      <c r="H66" s="36">
        <v>334240820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201">
        <f t="shared" si="25"/>
        <v>334240820</v>
      </c>
      <c r="Q66" s="35">
        <f>ROUND(SUMIF('1.0'!$D:$D,T_IS!D66,'1.0'!$J:$J),0)</f>
        <v>0</v>
      </c>
      <c r="R66" s="36">
        <f>ROUND(SUMIF('2.0'!$D:$D,T_IS!D66,'2.0'!$J:$J),0)</f>
        <v>0</v>
      </c>
      <c r="S66" s="36">
        <f>ROUND(SUMIF('3.0'!$D:$D,T_IS!D66,'3.0'!$H:$H),0)</f>
        <v>0</v>
      </c>
      <c r="T66" s="36">
        <f>ROUND(SUMIF('4.0'!$D:$D,T_IS!D66,'4.0'!$J:$J),0)</f>
        <v>0</v>
      </c>
      <c r="U66" s="36">
        <f>ROUND(SUMIF('5.0'!$D:$D,T_IS!D66,'5.0'!$J:$J),0)</f>
        <v>0</v>
      </c>
      <c r="V66" s="36">
        <f>ROUND(SUMIF('6.0'!$D:$D,T_IS!D66,'6.0'!$J:$J),0)</f>
        <v>0</v>
      </c>
      <c r="W66" s="36">
        <f>ROUND(SUMIF('7.0'!$D:$D,T_IS!D66,'7.0'!$I:$I),0)</f>
        <v>0</v>
      </c>
      <c r="X66" s="36">
        <f>ROUND(SUMIF('8.0'!$D:$D,T_IS!F66,'8.0'!$H:$H),0)</f>
        <v>0</v>
      </c>
      <c r="Y66" s="38">
        <f t="shared" si="26"/>
        <v>0</v>
      </c>
      <c r="AA66" s="215">
        <f t="shared" si="27"/>
        <v>334240820</v>
      </c>
      <c r="AC66" s="215">
        <f t="shared" si="28"/>
        <v>334240820</v>
      </c>
      <c r="AD66" s="263"/>
      <c r="AE66" s="36"/>
    </row>
    <row r="67" spans="1:31" ht="18" customHeight="1">
      <c r="A67" s="36"/>
      <c r="D67" s="590" t="s">
        <v>306</v>
      </c>
      <c r="E67" s="164" t="s">
        <v>259</v>
      </c>
      <c r="F67" s="166">
        <v>327</v>
      </c>
      <c r="G67" s="164" t="s">
        <v>307</v>
      </c>
      <c r="H67" s="36">
        <v>262822834</v>
      </c>
      <c r="I67" s="36">
        <v>0</v>
      </c>
      <c r="J67" s="36">
        <v>0</v>
      </c>
      <c r="K67" s="36">
        <v>464844</v>
      </c>
      <c r="L67" s="36">
        <v>1206967</v>
      </c>
      <c r="M67" s="36">
        <v>0</v>
      </c>
      <c r="N67" s="36">
        <v>0</v>
      </c>
      <c r="O67" s="201">
        <f t="shared" si="25"/>
        <v>264494645</v>
      </c>
      <c r="Q67" s="35">
        <f>ROUND(SUMIF('1.0'!$D:$D,T_IS!D67,'1.0'!$J:$J),0)</f>
        <v>0</v>
      </c>
      <c r="R67" s="36">
        <f>ROUND(SUMIF('2.0'!$D:$D,T_IS!D67,'2.0'!$J:$J),0)</f>
        <v>0</v>
      </c>
      <c r="S67" s="36">
        <f>ROUND(SUMIF('3.0'!$D:$D,T_IS!D67,'3.0'!$H:$H),0)</f>
        <v>0</v>
      </c>
      <c r="T67" s="36">
        <f>ROUND(SUMIF('4.0'!$D:$D,T_IS!D67,'4.0'!$J:$J),0)</f>
        <v>0</v>
      </c>
      <c r="U67" s="36">
        <f>ROUND(SUMIF('5.0'!$D:$D,T_IS!D67,'5.0'!$J:$J),0)</f>
        <v>0</v>
      </c>
      <c r="V67" s="36">
        <f>ROUND(SUMIF('6.0'!$D:$D,T_IS!D67,'6.0'!$J:$J),0)</f>
        <v>0</v>
      </c>
      <c r="W67" s="36">
        <f>ROUND(SUMIF('7.0'!$D:$D,T_IS!D67,'7.0'!$I:$I),0)</f>
        <v>0</v>
      </c>
      <c r="X67" s="36">
        <f>ROUND(SUMIF('8.0'!$D:$D,T_IS!F67,'8.0'!$H:$H),0)</f>
        <v>0</v>
      </c>
      <c r="Y67" s="38">
        <f t="shared" si="26"/>
        <v>0</v>
      </c>
      <c r="AA67" s="215">
        <f t="shared" si="27"/>
        <v>264494645</v>
      </c>
      <c r="AC67" s="215">
        <f t="shared" si="28"/>
        <v>264494645</v>
      </c>
      <c r="AD67" s="263"/>
      <c r="AE67" s="36"/>
    </row>
    <row r="68" spans="1:31" ht="18" customHeight="1">
      <c r="A68" s="36"/>
      <c r="D68" s="590" t="s">
        <v>308</v>
      </c>
      <c r="E68" s="164" t="s">
        <v>259</v>
      </c>
      <c r="F68" s="166">
        <v>328</v>
      </c>
      <c r="G68" s="164" t="s">
        <v>309</v>
      </c>
      <c r="H68" s="36">
        <v>432919002</v>
      </c>
      <c r="I68" s="36">
        <v>0</v>
      </c>
      <c r="J68" s="36">
        <v>0</v>
      </c>
      <c r="K68" s="36">
        <v>0</v>
      </c>
      <c r="L68" s="36">
        <v>237273</v>
      </c>
      <c r="M68" s="36">
        <v>0</v>
      </c>
      <c r="N68" s="36">
        <v>0</v>
      </c>
      <c r="O68" s="201">
        <f t="shared" si="25"/>
        <v>433156275</v>
      </c>
      <c r="Q68" s="35">
        <f>ROUND(SUMIF('1.0'!$D:$D,T_IS!D68,'1.0'!$J:$J),0)</f>
        <v>0</v>
      </c>
      <c r="R68" s="36">
        <f>ROUND(SUMIF('2.0'!$D:$D,T_IS!D68,'2.0'!$J:$J),0)</f>
        <v>0</v>
      </c>
      <c r="S68" s="36">
        <f>ROUND(SUMIF('3.0'!$D:$D,T_IS!D68,'3.0'!$H:$H),0)</f>
        <v>0</v>
      </c>
      <c r="T68" s="36">
        <f>ROUND(SUMIF('4.0'!$D:$D,T_IS!D68,'4.0'!$J:$J),0)</f>
        <v>0</v>
      </c>
      <c r="U68" s="36">
        <f>ROUND(SUMIF('5.0'!$D:$D,T_IS!D68,'5.0'!$J:$J),0)</f>
        <v>0</v>
      </c>
      <c r="V68" s="36">
        <f>ROUND(SUMIF('6.0'!$D:$D,T_IS!D68,'6.0'!$J:$J),0)</f>
        <v>0</v>
      </c>
      <c r="W68" s="36">
        <f>ROUND(SUMIF('7.0'!$D:$D,T_IS!D68,'7.0'!$I:$I),0)</f>
        <v>0</v>
      </c>
      <c r="X68" s="36">
        <f>ROUND(SUMIF('8.0'!$D:$D,T_IS!F68,'8.0'!$H:$H),0)</f>
        <v>0</v>
      </c>
      <c r="Y68" s="38">
        <f t="shared" si="26"/>
        <v>0</v>
      </c>
      <c r="AA68" s="215">
        <f t="shared" si="27"/>
        <v>433156275</v>
      </c>
      <c r="AC68" s="215">
        <f t="shared" si="28"/>
        <v>433156275</v>
      </c>
      <c r="AD68" s="263"/>
      <c r="AE68" s="36"/>
    </row>
    <row r="69" spans="1:31" ht="18" customHeight="1">
      <c r="A69" s="36"/>
      <c r="D69" s="590" t="s">
        <v>310</v>
      </c>
      <c r="E69" s="164" t="s">
        <v>259</v>
      </c>
      <c r="F69" s="166">
        <v>331</v>
      </c>
      <c r="G69" s="164" t="s">
        <v>311</v>
      </c>
      <c r="H69" s="36">
        <v>3259565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201">
        <f t="shared" si="25"/>
        <v>3259565</v>
      </c>
      <c r="Q69" s="35">
        <f>ROUND(SUMIF('1.0'!$D:$D,T_IS!D69,'1.0'!$J:$J),0)</f>
        <v>0</v>
      </c>
      <c r="R69" s="36">
        <f>ROUND(SUMIF('2.0'!$D:$D,T_IS!D69,'2.0'!$J:$J),0)</f>
        <v>0</v>
      </c>
      <c r="S69" s="36">
        <f>ROUND(SUMIF('3.0'!$D:$D,T_IS!D69,'3.0'!$H:$H),0)</f>
        <v>0</v>
      </c>
      <c r="T69" s="36">
        <f>ROUND(SUMIF('4.0'!$D:$D,T_IS!D69,'4.0'!$J:$J),0)</f>
        <v>0</v>
      </c>
      <c r="U69" s="36">
        <f>ROUND(SUMIF('5.0'!$D:$D,T_IS!D69,'5.0'!$J:$J),0)</f>
        <v>0</v>
      </c>
      <c r="V69" s="36">
        <f>ROUND(SUMIF('6.0'!$D:$D,T_IS!D69,'6.0'!$J:$J),0)</f>
        <v>0</v>
      </c>
      <c r="W69" s="36">
        <f>ROUND(SUMIF('7.0'!$D:$D,T_IS!D69,'7.0'!$I:$I),0)</f>
        <v>0</v>
      </c>
      <c r="X69" s="36">
        <f>ROUND(SUMIF('8.0'!$D:$D,T_IS!F69,'8.0'!$H:$H),0)</f>
        <v>0</v>
      </c>
      <c r="Y69" s="38">
        <f t="shared" si="26"/>
        <v>0</v>
      </c>
      <c r="AA69" s="215">
        <f t="shared" si="27"/>
        <v>3259565</v>
      </c>
      <c r="AC69" s="215">
        <f t="shared" si="28"/>
        <v>3259565</v>
      </c>
      <c r="AD69" s="263"/>
      <c r="AE69" s="36"/>
    </row>
    <row r="70" spans="1:31" ht="18" customHeight="1">
      <c r="A70" s="36"/>
      <c r="D70" s="590" t="s">
        <v>312</v>
      </c>
      <c r="E70" s="164" t="s">
        <v>259</v>
      </c>
      <c r="F70" s="166">
        <v>329</v>
      </c>
      <c r="G70" s="164" t="s">
        <v>313</v>
      </c>
      <c r="H70" s="36">
        <v>653596263</v>
      </c>
      <c r="I70" s="36">
        <v>2451114</v>
      </c>
      <c r="J70" s="36">
        <v>0</v>
      </c>
      <c r="K70" s="36">
        <v>0</v>
      </c>
      <c r="L70" s="36">
        <v>9508583</v>
      </c>
      <c r="M70" s="36"/>
      <c r="N70" s="36">
        <v>830500</v>
      </c>
      <c r="O70" s="201">
        <f t="shared" si="25"/>
        <v>666386460</v>
      </c>
      <c r="Q70" s="35">
        <f>ROUND(SUMIF('1.0'!$D:$D,T_IS!D70,'1.0'!$J:$J),0)</f>
        <v>0</v>
      </c>
      <c r="R70" s="36">
        <f>ROUND(SUMIF('2.0'!$D:$D,T_IS!D70,'2.0'!$J:$J),0)</f>
        <v>0</v>
      </c>
      <c r="S70" s="36">
        <f>ROUND(SUMIF('3.0'!$D:$D,T_IS!D70,'3.0'!$H:$H),0)</f>
        <v>0</v>
      </c>
      <c r="T70" s="36">
        <f>ROUND(SUMIF('4.0'!$D:$D,T_IS!D70,'4.0'!$J:$J),0)</f>
        <v>0</v>
      </c>
      <c r="U70" s="36">
        <f>ROUND(SUMIF('5.0'!$D:$D,T_IS!D70,'5.0'!$J:$J),0)</f>
        <v>0</v>
      </c>
      <c r="V70" s="36">
        <f>ROUND(SUMIF('6.0'!$D:$D,T_IS!D70,'6.0'!$J:$J),0)</f>
        <v>0</v>
      </c>
      <c r="W70" s="36">
        <f>ROUND(SUMIF('7.0'!$D:$D,T_IS!D70,'7.0'!$I:$I),0)</f>
        <v>0</v>
      </c>
      <c r="X70" s="36">
        <f>ROUND(SUMIF('8.0'!$D:$D,T_IS!F70,'8.0'!$H:$H),0)</f>
        <v>0</v>
      </c>
      <c r="Y70" s="38">
        <f t="shared" si="26"/>
        <v>0</v>
      </c>
      <c r="AA70" s="215">
        <f t="shared" si="27"/>
        <v>666386460</v>
      </c>
      <c r="AC70" s="215">
        <f t="shared" si="28"/>
        <v>666386460</v>
      </c>
      <c r="AD70" s="263"/>
      <c r="AE70" s="36"/>
    </row>
    <row r="71" spans="1:31" ht="18" customHeight="1">
      <c r="A71" s="36"/>
      <c r="D71" s="583"/>
      <c r="E71" s="584"/>
      <c r="F71" s="600"/>
      <c r="G71" s="584" t="s">
        <v>314</v>
      </c>
      <c r="H71" s="49">
        <f t="shared" ref="H71:N71" si="29">H35-H36</f>
        <v>-23720107669</v>
      </c>
      <c r="I71" s="49">
        <f t="shared" si="29"/>
        <v>-268148676</v>
      </c>
      <c r="J71" s="49">
        <f t="shared" si="29"/>
        <v>-85410256</v>
      </c>
      <c r="K71" s="49">
        <f t="shared" si="29"/>
        <v>-965957101</v>
      </c>
      <c r="L71" s="49">
        <f t="shared" si="29"/>
        <v>837009802</v>
      </c>
      <c r="M71" s="49">
        <f t="shared" ref="M71" si="30">M35-M36</f>
        <v>0</v>
      </c>
      <c r="N71" s="49">
        <f t="shared" si="29"/>
        <v>-4513508713</v>
      </c>
      <c r="O71" s="340">
        <f t="shared" ref="O71:Q71" si="31">O35-O36</f>
        <v>-28716122613</v>
      </c>
      <c r="Q71" s="606">
        <f t="shared" si="31"/>
        <v>0</v>
      </c>
      <c r="R71" s="49">
        <f t="shared" ref="R71:U71" si="32">R35-R36</f>
        <v>920006498</v>
      </c>
      <c r="S71" s="49">
        <f t="shared" si="32"/>
        <v>0</v>
      </c>
      <c r="T71" s="49">
        <f t="shared" si="32"/>
        <v>1737869158</v>
      </c>
      <c r="U71" s="49">
        <f t="shared" si="32"/>
        <v>-685224178</v>
      </c>
      <c r="V71" s="49">
        <f t="shared" ref="V71:Y71" si="33">V35-V36</f>
        <v>0</v>
      </c>
      <c r="W71" s="49">
        <f t="shared" si="33"/>
        <v>0</v>
      </c>
      <c r="X71" s="49">
        <f t="shared" si="33"/>
        <v>0</v>
      </c>
      <c r="Y71" s="607">
        <f t="shared" si="33"/>
        <v>1972651478</v>
      </c>
      <c r="AA71" s="608">
        <f t="shared" ref="AA71:AC71" si="34">AA35-AA36</f>
        <v>-26743471135</v>
      </c>
      <c r="AC71" s="608">
        <f t="shared" si="34"/>
        <v>-61103470729</v>
      </c>
      <c r="AD71" s="263"/>
      <c r="AE71" s="36"/>
    </row>
    <row r="72" spans="1:31" ht="18" customHeight="1">
      <c r="A72" s="36"/>
      <c r="D72" s="586"/>
      <c r="E72" s="587"/>
      <c r="F72" s="611"/>
      <c r="G72" s="587" t="s">
        <v>315</v>
      </c>
      <c r="H72" s="52">
        <f>SUM(H73:H81)</f>
        <v>2391026685</v>
      </c>
      <c r="I72" s="52">
        <f t="shared" ref="I72" si="35">SUM(I73:I81)</f>
        <v>12861762</v>
      </c>
      <c r="J72" s="52">
        <f t="shared" ref="J72" si="36">SUM(J73:J81)</f>
        <v>562837</v>
      </c>
      <c r="K72" s="52">
        <f t="shared" ref="K72" si="37">SUM(K73:K81)</f>
        <v>44609</v>
      </c>
      <c r="L72" s="52">
        <f t="shared" ref="L72:M72" si="38">SUM(L73:L81)</f>
        <v>1382579</v>
      </c>
      <c r="M72" s="52">
        <f t="shared" si="38"/>
        <v>0</v>
      </c>
      <c r="N72" s="52">
        <f t="shared" ref="N72:O72" si="39">SUM(N73:N81)</f>
        <v>17733235</v>
      </c>
      <c r="O72" s="589">
        <f t="shared" si="39"/>
        <v>2423611707</v>
      </c>
      <c r="Q72" s="612">
        <f t="shared" ref="Q72:U72" si="40">SUM(Q73:Q81)</f>
        <v>0</v>
      </c>
      <c r="R72" s="52">
        <f t="shared" si="40"/>
        <v>0</v>
      </c>
      <c r="S72" s="52">
        <f t="shared" si="40"/>
        <v>-18156386</v>
      </c>
      <c r="T72" s="52">
        <f t="shared" si="40"/>
        <v>0</v>
      </c>
      <c r="U72" s="52">
        <f t="shared" si="40"/>
        <v>0</v>
      </c>
      <c r="V72" s="52">
        <f t="shared" ref="V72:Y72" si="41">SUM(V73:V81)</f>
        <v>0</v>
      </c>
      <c r="W72" s="52">
        <f t="shared" si="41"/>
        <v>0</v>
      </c>
      <c r="X72" s="52">
        <f t="shared" si="41"/>
        <v>0</v>
      </c>
      <c r="Y72" s="613">
        <f t="shared" si="41"/>
        <v>-18156386</v>
      </c>
      <c r="AA72" s="614">
        <f t="shared" ref="AA72:AC72" si="42">SUM(AA73:AA81)</f>
        <v>2405455321</v>
      </c>
      <c r="AC72" s="614">
        <f t="shared" si="42"/>
        <v>2405455321</v>
      </c>
      <c r="AD72" s="263"/>
      <c r="AE72" s="36"/>
    </row>
    <row r="73" spans="1:31" ht="18" customHeight="1">
      <c r="A73" s="36"/>
      <c r="D73" s="590" t="s">
        <v>316</v>
      </c>
      <c r="E73" s="164" t="s">
        <v>315</v>
      </c>
      <c r="F73" s="166">
        <v>401</v>
      </c>
      <c r="G73" s="164" t="s">
        <v>317</v>
      </c>
      <c r="H73" s="36">
        <v>1354671721</v>
      </c>
      <c r="I73" s="36">
        <v>0</v>
      </c>
      <c r="J73" s="36">
        <v>562837</v>
      </c>
      <c r="K73" s="36">
        <v>44609</v>
      </c>
      <c r="L73" s="36">
        <v>1382579</v>
      </c>
      <c r="M73" s="36"/>
      <c r="N73" s="36">
        <v>17733235</v>
      </c>
      <c r="O73" s="201">
        <f t="shared" ref="O73:O81" si="43">SUM(H73:N73)</f>
        <v>1374394981</v>
      </c>
      <c r="Q73" s="35">
        <f>-ROUND(SUMIF('1.0'!$D:$D,T_IS!D73,'1.0'!$J:$J),0)</f>
        <v>0</v>
      </c>
      <c r="R73" s="36">
        <f>-ROUND(SUMIF('2.0'!$D:$D,T_IS!D73,'2.0'!$J:$J),0)</f>
        <v>0</v>
      </c>
      <c r="S73" s="36">
        <f>-ROUND(SUMIF('3.0'!$D:$D,T_IS!D73,'3.0'!$H:$H),0)</f>
        <v>0</v>
      </c>
      <c r="T73" s="36">
        <f>-ROUND(SUMIF('4.0'!$D:$D,T_IS!D73,'4.0'!$J:$J),0)</f>
        <v>0</v>
      </c>
      <c r="U73" s="36">
        <f>-ROUND(SUMIF('5.0'!$D:$D,T_IS!D73,'5.0'!$J:$J),0)</f>
        <v>0</v>
      </c>
      <c r="V73" s="36">
        <f>ROUND(SUMIF('6.0'!$D:$D,T_IS!D73,'6.0'!$J:$J),0)</f>
        <v>0</v>
      </c>
      <c r="W73" s="36">
        <f>-ROUND(SUMIF('7.0'!$D:$D,T_IS!D73,'7.0'!$I:$I),0)</f>
        <v>0</v>
      </c>
      <c r="X73" s="36">
        <f>-ROUND(SUMIF('8.0'!$D:$D,T_IS!F73,'8.0'!$H:$H),0)</f>
        <v>0</v>
      </c>
      <c r="Y73" s="38">
        <f t="shared" ref="Y73:Y81" si="44">SUM(Q73:X73)</f>
        <v>0</v>
      </c>
      <c r="AA73" s="215">
        <f t="shared" ref="AA73:AA81" si="45">Y73+O73</f>
        <v>1374394981</v>
      </c>
      <c r="AC73" s="215">
        <f t="shared" ref="AC73:AC81" si="46">AA73+Q73</f>
        <v>1374394981</v>
      </c>
      <c r="AD73" s="263"/>
      <c r="AE73" s="36"/>
    </row>
    <row r="74" spans="1:31" ht="18" customHeight="1">
      <c r="A74" s="36"/>
      <c r="D74" s="590" t="s">
        <v>318</v>
      </c>
      <c r="E74" s="164" t="s">
        <v>315</v>
      </c>
      <c r="F74" s="166">
        <v>401</v>
      </c>
      <c r="G74" s="164" t="s">
        <v>319</v>
      </c>
      <c r="H74" s="36">
        <v>16426264</v>
      </c>
      <c r="I74" s="36">
        <v>722167</v>
      </c>
      <c r="J74" s="36">
        <v>0</v>
      </c>
      <c r="K74" s="36">
        <v>0</v>
      </c>
      <c r="L74" s="36">
        <v>0</v>
      </c>
      <c r="M74" s="36">
        <v>0</v>
      </c>
      <c r="N74" s="36"/>
      <c r="O74" s="201">
        <f t="shared" si="43"/>
        <v>17148431</v>
      </c>
      <c r="Q74" s="35">
        <f>-ROUND(SUMIF('1.0'!$D:$D,T_IS!D74,'1.0'!$J:$J),0)</f>
        <v>0</v>
      </c>
      <c r="R74" s="36">
        <f>-ROUND(SUMIF('2.0'!$D:$D,T_IS!D74,'2.0'!$J:$J),0)</f>
        <v>0</v>
      </c>
      <c r="S74" s="36">
        <f>-ROUND(SUMIF('3.0'!$D:$D,T_IS!D74,'3.0'!$H:$H),0)</f>
        <v>-18156386</v>
      </c>
      <c r="T74" s="36">
        <f>-ROUND(SUMIF('4.0'!$D:$D,T_IS!D74,'4.0'!$J:$J),0)</f>
        <v>0</v>
      </c>
      <c r="U74" s="36">
        <f>-ROUND(SUMIF('5.0'!$D:$D,T_IS!D74,'5.0'!$J:$J),0)</f>
        <v>0</v>
      </c>
      <c r="V74" s="36">
        <f>ROUND(SUMIF('6.0'!$D:$D,T_IS!D74,'6.0'!$J:$J),0)</f>
        <v>0</v>
      </c>
      <c r="W74" s="36">
        <f>-ROUND(SUMIF('7.0'!$D:$D,T_IS!D74,'7.0'!$I:$I),0)</f>
        <v>0</v>
      </c>
      <c r="X74" s="36">
        <f>-ROUND(SUMIF('8.0'!$D:$D,T_IS!F74,'8.0'!$H:$H),0)</f>
        <v>0</v>
      </c>
      <c r="Y74" s="38">
        <f t="shared" si="44"/>
        <v>-18156386</v>
      </c>
      <c r="AA74" s="215">
        <f t="shared" si="45"/>
        <v>-1007955</v>
      </c>
      <c r="AC74" s="215">
        <f t="shared" si="46"/>
        <v>-1007955</v>
      </c>
      <c r="AD74" s="263"/>
      <c r="AE74" s="36"/>
    </row>
    <row r="75" spans="1:31" ht="18" customHeight="1">
      <c r="A75" s="36"/>
      <c r="D75" s="590" t="s">
        <v>320</v>
      </c>
      <c r="E75" s="164" t="s">
        <v>315</v>
      </c>
      <c r="F75" s="166">
        <v>402</v>
      </c>
      <c r="G75" s="164" t="s">
        <v>321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/>
      <c r="O75" s="201">
        <f t="shared" si="43"/>
        <v>0</v>
      </c>
      <c r="Q75" s="35">
        <f>-ROUND(SUMIF('1.0'!$D:$D,T_IS!D75,'1.0'!$J:$J),0)</f>
        <v>0</v>
      </c>
      <c r="R75" s="36">
        <f>-ROUND(SUMIF('2.0'!$D:$D,T_IS!D75,'2.0'!$J:$J),0)</f>
        <v>0</v>
      </c>
      <c r="S75" s="36">
        <f>-ROUND(SUMIF('3.0'!$D:$D,T_IS!D75,'3.0'!$H:$H),0)</f>
        <v>0</v>
      </c>
      <c r="T75" s="36">
        <f>-ROUND(SUMIF('4.0'!$D:$D,T_IS!D75,'4.0'!$J:$J),0)</f>
        <v>0</v>
      </c>
      <c r="U75" s="36">
        <f>-ROUND(SUMIF('5.0'!$D:$D,T_IS!D75,'5.0'!$J:$J),0)</f>
        <v>0</v>
      </c>
      <c r="V75" s="36">
        <f>ROUND(SUMIF('6.0'!$D:$D,T_IS!D75,'6.0'!$J:$J),0)</f>
        <v>0</v>
      </c>
      <c r="W75" s="36">
        <f>-ROUND(SUMIF('7.0'!$D:$D,T_IS!D75,'7.0'!$I:$I),0)</f>
        <v>0</v>
      </c>
      <c r="X75" s="36">
        <f>-ROUND(SUMIF('8.0'!$D:$D,T_IS!F75,'8.0'!$H:$H),0)</f>
        <v>0</v>
      </c>
      <c r="Y75" s="38">
        <f t="shared" si="44"/>
        <v>0</v>
      </c>
      <c r="AA75" s="215">
        <f t="shared" si="45"/>
        <v>0</v>
      </c>
      <c r="AC75" s="215">
        <f t="shared" si="46"/>
        <v>0</v>
      </c>
      <c r="AD75" s="263"/>
      <c r="AE75" s="36"/>
    </row>
    <row r="76" spans="1:31" ht="18" customHeight="1">
      <c r="A76" s="36"/>
      <c r="D76" s="590" t="s">
        <v>322</v>
      </c>
      <c r="E76" s="164" t="s">
        <v>315</v>
      </c>
      <c r="F76" s="166">
        <v>402</v>
      </c>
      <c r="G76" s="164" t="s">
        <v>323</v>
      </c>
      <c r="H76" s="36">
        <v>761342780</v>
      </c>
      <c r="I76" s="36">
        <v>12139595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201">
        <f t="shared" si="43"/>
        <v>773482375</v>
      </c>
      <c r="Q76" s="35">
        <f>-ROUND(SUMIF('1.0'!$D:$D,T_IS!D76,'1.0'!$J:$J),0)</f>
        <v>0</v>
      </c>
      <c r="R76" s="36">
        <f>-ROUND(SUMIF('2.0'!$D:$D,T_IS!D76,'2.0'!$J:$J),0)</f>
        <v>0</v>
      </c>
      <c r="S76" s="36">
        <f>-ROUND(SUMIF('3.0'!$D:$D,T_IS!D76,'3.0'!$H:$H),0)</f>
        <v>0</v>
      </c>
      <c r="T76" s="36">
        <f>-ROUND(SUMIF('4.0'!$D:$D,T_IS!D76,'4.0'!$J:$J),0)</f>
        <v>0</v>
      </c>
      <c r="U76" s="36">
        <f>-ROUND(SUMIF('5.0'!$D:$D,T_IS!D76,'5.0'!$J:$J),0)</f>
        <v>0</v>
      </c>
      <c r="V76" s="36">
        <f>ROUND(SUMIF('6.0'!$D:$D,T_IS!D76,'6.0'!$J:$J),0)</f>
        <v>0</v>
      </c>
      <c r="W76" s="36">
        <f>-ROUND(SUMIF('7.0'!$D:$D,T_IS!D76,'7.0'!$I:$I),0)</f>
        <v>0</v>
      </c>
      <c r="X76" s="36">
        <f>-ROUND(SUMIF('8.0'!$D:$D,T_IS!F76,'8.0'!$H:$H),0)</f>
        <v>0</v>
      </c>
      <c r="Y76" s="38">
        <f t="shared" si="44"/>
        <v>0</v>
      </c>
      <c r="AA76" s="215">
        <f t="shared" si="45"/>
        <v>773482375</v>
      </c>
      <c r="AC76" s="215">
        <f t="shared" si="46"/>
        <v>773482375</v>
      </c>
      <c r="AD76" s="263"/>
      <c r="AE76" s="36"/>
    </row>
    <row r="77" spans="1:31" ht="18" customHeight="1">
      <c r="A77" s="36"/>
      <c r="D77" s="590" t="s">
        <v>324</v>
      </c>
      <c r="E77" s="164" t="s">
        <v>315</v>
      </c>
      <c r="F77" s="166">
        <v>402</v>
      </c>
      <c r="G77" s="164" t="s">
        <v>325</v>
      </c>
      <c r="H77" s="36">
        <v>115506700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201">
        <f t="shared" si="43"/>
        <v>115506700</v>
      </c>
      <c r="Q77" s="35">
        <f>-ROUND(SUMIF('1.0'!$D:$D,T_IS!D77,'1.0'!$J:$J),0)</f>
        <v>0</v>
      </c>
      <c r="R77" s="36">
        <f>-ROUND(SUMIF('2.0'!$D:$D,T_IS!D77,'2.0'!$J:$J),0)</f>
        <v>0</v>
      </c>
      <c r="S77" s="36">
        <f>-ROUND(SUMIF('3.0'!$D:$D,T_IS!D77,'3.0'!$H:$H),0)</f>
        <v>0</v>
      </c>
      <c r="T77" s="36">
        <f>-ROUND(SUMIF('4.0'!$D:$D,T_IS!D77,'4.0'!$J:$J),0)</f>
        <v>0</v>
      </c>
      <c r="U77" s="36">
        <f>-ROUND(SUMIF('5.0'!$D:$D,T_IS!D77,'5.0'!$J:$J),0)</f>
        <v>0</v>
      </c>
      <c r="V77" s="36">
        <f>ROUND(SUMIF('6.0'!$D:$D,T_IS!D77,'6.0'!$J:$J),0)</f>
        <v>0</v>
      </c>
      <c r="W77" s="36">
        <f>-ROUND(SUMIF('7.0'!$D:$D,T_IS!D77,'7.0'!$I:$I),0)</f>
        <v>0</v>
      </c>
      <c r="X77" s="36">
        <f>-ROUND(SUMIF('8.0'!$D:$D,T_IS!F77,'8.0'!$H:$H),0)</f>
        <v>0</v>
      </c>
      <c r="Y77" s="38">
        <f t="shared" si="44"/>
        <v>0</v>
      </c>
      <c r="AA77" s="215">
        <f t="shared" si="45"/>
        <v>115506700</v>
      </c>
      <c r="AC77" s="215">
        <f t="shared" si="46"/>
        <v>115506700</v>
      </c>
      <c r="AD77" s="263"/>
      <c r="AE77" s="36"/>
    </row>
    <row r="78" spans="1:31" ht="18" customHeight="1">
      <c r="A78" s="36"/>
      <c r="D78" s="590" t="s">
        <v>326</v>
      </c>
      <c r="E78" s="164" t="s">
        <v>315</v>
      </c>
      <c r="F78" s="166">
        <v>403</v>
      </c>
      <c r="G78" s="164" t="s">
        <v>327</v>
      </c>
      <c r="H78" s="36">
        <v>98438553</v>
      </c>
      <c r="I78" s="36">
        <v>0</v>
      </c>
      <c r="J78" s="36">
        <v>0</v>
      </c>
      <c r="K78" s="36">
        <v>0</v>
      </c>
      <c r="L78" s="36">
        <v>0</v>
      </c>
      <c r="M78" s="36">
        <v>0</v>
      </c>
      <c r="N78" s="36">
        <v>0</v>
      </c>
      <c r="O78" s="201">
        <f t="shared" si="43"/>
        <v>98438553</v>
      </c>
      <c r="Q78" s="35">
        <f>-ROUND(SUMIF('1.0'!$D:$D,T_IS!D78,'1.0'!$J:$J),0)</f>
        <v>0</v>
      </c>
      <c r="R78" s="36">
        <f>-ROUND(SUMIF('2.0'!$D:$D,T_IS!D78,'2.0'!$J:$J),0)</f>
        <v>0</v>
      </c>
      <c r="S78" s="36">
        <f>-ROUND(SUMIF('3.0'!$D:$D,T_IS!D78,'3.0'!$H:$H),0)</f>
        <v>0</v>
      </c>
      <c r="T78" s="36">
        <f>-ROUND(SUMIF('4.0'!$D:$D,T_IS!D78,'4.0'!$J:$J),0)</f>
        <v>0</v>
      </c>
      <c r="U78" s="36">
        <f>-ROUND(SUMIF('5.0'!$D:$D,T_IS!D78,'5.0'!$J:$J),0)</f>
        <v>0</v>
      </c>
      <c r="V78" s="36">
        <f>ROUND(SUMIF('6.0'!$D:$D,T_IS!D78,'6.0'!$J:$J),0)</f>
        <v>0</v>
      </c>
      <c r="W78" s="36">
        <f>-ROUND(SUMIF('7.0'!$D:$D,T_IS!D78,'7.0'!$I:$I),0)</f>
        <v>0</v>
      </c>
      <c r="X78" s="36">
        <f>-ROUND(SUMIF('8.0'!$D:$D,T_IS!F78,'8.0'!$H:$H),0)</f>
        <v>0</v>
      </c>
      <c r="Y78" s="38">
        <f t="shared" si="44"/>
        <v>0</v>
      </c>
      <c r="AA78" s="215">
        <f t="shared" si="45"/>
        <v>98438553</v>
      </c>
      <c r="AC78" s="215">
        <f t="shared" si="46"/>
        <v>98438553</v>
      </c>
      <c r="AD78" s="263"/>
      <c r="AE78" s="36"/>
    </row>
    <row r="79" spans="1:31" ht="18" customHeight="1">
      <c r="A79" s="36"/>
      <c r="D79" s="590" t="s">
        <v>328</v>
      </c>
      <c r="E79" s="164" t="s">
        <v>315</v>
      </c>
      <c r="F79" s="166">
        <v>403</v>
      </c>
      <c r="G79" s="164" t="s">
        <v>329</v>
      </c>
      <c r="H79" s="36">
        <v>3944537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/>
      <c r="O79" s="201">
        <f t="shared" si="43"/>
        <v>3944537</v>
      </c>
      <c r="Q79" s="35">
        <f>-ROUND(SUMIF('1.0'!$D:$D,T_IS!D79,'1.0'!$J:$J),0)</f>
        <v>0</v>
      </c>
      <c r="R79" s="36">
        <f>-ROUND(SUMIF('2.0'!$D:$D,T_IS!D79,'2.0'!$J:$J),0)</f>
        <v>0</v>
      </c>
      <c r="S79" s="36">
        <f>-ROUND(SUMIF('3.0'!$D:$D,T_IS!D79,'3.0'!$H:$H),0)</f>
        <v>0</v>
      </c>
      <c r="T79" s="36">
        <f>-ROUND(SUMIF('4.0'!$D:$D,T_IS!D79,'4.0'!$J:$J),0)</f>
        <v>0</v>
      </c>
      <c r="U79" s="36">
        <f>-ROUND(SUMIF('5.0'!$D:$D,T_IS!D79,'5.0'!$J:$J),0)</f>
        <v>0</v>
      </c>
      <c r="V79" s="36">
        <f>ROUND(SUMIF('6.0'!$D:$D,T_IS!D79,'6.0'!$J:$J),0)</f>
        <v>0</v>
      </c>
      <c r="W79" s="36">
        <f>-ROUND(SUMIF('7.0'!$D:$D,T_IS!D79,'7.0'!$I:$I),0)</f>
        <v>0</v>
      </c>
      <c r="X79" s="36">
        <f>-ROUND(SUMIF('8.0'!$D:$D,T_IS!F79,'8.0'!$H:$H),0)</f>
        <v>0</v>
      </c>
      <c r="Y79" s="38">
        <f t="shared" si="44"/>
        <v>0</v>
      </c>
      <c r="AA79" s="215">
        <f t="shared" si="45"/>
        <v>3944537</v>
      </c>
      <c r="AC79" s="215">
        <f t="shared" si="46"/>
        <v>3944537</v>
      </c>
      <c r="AD79" s="263"/>
      <c r="AE79" s="36"/>
    </row>
    <row r="80" spans="1:31" ht="18" customHeight="1">
      <c r="A80" s="36"/>
      <c r="D80" s="590" t="s">
        <v>330</v>
      </c>
      <c r="E80" s="164" t="s">
        <v>315</v>
      </c>
      <c r="F80" s="166">
        <v>404</v>
      </c>
      <c r="G80" s="164" t="s">
        <v>331</v>
      </c>
      <c r="H80" s="36">
        <v>30066519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/>
      <c r="O80" s="201">
        <f t="shared" si="43"/>
        <v>30066519</v>
      </c>
      <c r="Q80" s="35">
        <f>-ROUND(SUMIF('1.0'!$D:$D,T_IS!D80,'1.0'!$J:$J),0)</f>
        <v>0</v>
      </c>
      <c r="R80" s="36">
        <f>-ROUND(SUMIF('2.0'!$D:$D,T_IS!D80,'2.0'!$J:$J),0)</f>
        <v>0</v>
      </c>
      <c r="S80" s="36">
        <f>-ROUND(SUMIF('3.0'!$D:$D,T_IS!D80,'3.0'!$H:$H),0)</f>
        <v>0</v>
      </c>
      <c r="T80" s="36">
        <f>-ROUND(SUMIF('4.0'!$D:$D,T_IS!D80,'4.0'!$J:$J),0)</f>
        <v>0</v>
      </c>
      <c r="U80" s="36">
        <f>-ROUND(SUMIF('5.0'!$D:$D,T_IS!D80,'5.0'!$J:$J),0)</f>
        <v>0</v>
      </c>
      <c r="V80" s="36">
        <f>ROUND(SUMIF('6.0'!$D:$D,T_IS!D80,'6.0'!$J:$J),0)</f>
        <v>0</v>
      </c>
      <c r="W80" s="36">
        <f>-ROUND(SUMIF('7.0'!$D:$D,T_IS!D80,'7.0'!$I:$I),0)</f>
        <v>0</v>
      </c>
      <c r="X80" s="36">
        <f>-ROUND(SUMIF('8.0'!$D:$D,T_IS!F80,'8.0'!$H:$H),0)</f>
        <v>0</v>
      </c>
      <c r="Y80" s="38">
        <f t="shared" si="44"/>
        <v>0</v>
      </c>
      <c r="AA80" s="215">
        <f t="shared" si="45"/>
        <v>30066519</v>
      </c>
      <c r="AC80" s="215">
        <f t="shared" si="46"/>
        <v>30066519</v>
      </c>
      <c r="AD80" s="263"/>
      <c r="AE80" s="36"/>
    </row>
    <row r="81" spans="1:31" ht="18" customHeight="1">
      <c r="A81" s="36"/>
      <c r="D81" s="590" t="s">
        <v>332</v>
      </c>
      <c r="E81" s="164" t="s">
        <v>315</v>
      </c>
      <c r="F81" s="166">
        <v>405</v>
      </c>
      <c r="G81" s="164" t="s">
        <v>333</v>
      </c>
      <c r="H81" s="36">
        <v>10629611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/>
      <c r="O81" s="201">
        <f t="shared" si="43"/>
        <v>10629611</v>
      </c>
      <c r="Q81" s="35">
        <f>-ROUND(SUMIF('1.0'!$D:$D,T_IS!D81,'1.0'!$J:$J),0)</f>
        <v>0</v>
      </c>
      <c r="R81" s="36">
        <f>-ROUND(SUMIF('2.0'!$D:$D,T_IS!D81,'2.0'!$J:$J),0)</f>
        <v>0</v>
      </c>
      <c r="S81" s="36">
        <f>-ROUND(SUMIF('3.0'!$D:$D,T_IS!D81,'3.0'!$H:$H),0)</f>
        <v>0</v>
      </c>
      <c r="T81" s="36">
        <f>-ROUND(SUMIF('4.0'!$D:$D,T_IS!D81,'4.0'!$J:$J),0)</f>
        <v>0</v>
      </c>
      <c r="U81" s="36">
        <f>-ROUND(SUMIF('5.0'!$D:$D,T_IS!D81,'5.0'!$J:$J),0)</f>
        <v>0</v>
      </c>
      <c r="V81" s="36">
        <f>ROUND(SUMIF('6.0'!$D:$D,T_IS!D81,'6.0'!$J:$J),0)</f>
        <v>0</v>
      </c>
      <c r="W81" s="36">
        <f>-ROUND(SUMIF('7.0'!$D:$D,T_IS!D81,'7.0'!$I:$I),0)</f>
        <v>0</v>
      </c>
      <c r="X81" s="36">
        <f>-ROUND(SUMIF('8.0'!$D:$D,T_IS!F81,'8.0'!$H:$H),0)</f>
        <v>0</v>
      </c>
      <c r="Y81" s="38">
        <f t="shared" si="44"/>
        <v>0</v>
      </c>
      <c r="AA81" s="215">
        <f t="shared" si="45"/>
        <v>10629611</v>
      </c>
      <c r="AC81" s="215">
        <f t="shared" si="46"/>
        <v>10629611</v>
      </c>
      <c r="AD81" s="263"/>
      <c r="AE81" s="36"/>
    </row>
    <row r="82" spans="1:31" ht="18" customHeight="1">
      <c r="A82" s="36"/>
      <c r="D82" s="586"/>
      <c r="E82" s="587"/>
      <c r="F82" s="611"/>
      <c r="G82" s="587" t="s">
        <v>334</v>
      </c>
      <c r="H82" s="52">
        <f t="shared" ref="H82:O82" si="47">SUM(H83:H93)</f>
        <v>1089437702</v>
      </c>
      <c r="I82" s="52">
        <f t="shared" si="47"/>
        <v>418369</v>
      </c>
      <c r="J82" s="52">
        <f t="shared" si="47"/>
        <v>5327260</v>
      </c>
      <c r="K82" s="52">
        <f t="shared" si="47"/>
        <v>29120076</v>
      </c>
      <c r="L82" s="52">
        <f t="shared" si="47"/>
        <v>19162803</v>
      </c>
      <c r="M82" s="52">
        <f t="shared" si="47"/>
        <v>0</v>
      </c>
      <c r="N82" s="52">
        <f t="shared" si="47"/>
        <v>12871310</v>
      </c>
      <c r="O82" s="589">
        <f t="shared" si="47"/>
        <v>1156337520</v>
      </c>
      <c r="Q82" s="612">
        <f>SUM(Q83:Q93)</f>
        <v>0</v>
      </c>
      <c r="R82" s="52">
        <f t="shared" ref="R82:U82" si="48">SUM(R83:R93)</f>
        <v>0</v>
      </c>
      <c r="S82" s="52">
        <f t="shared" si="48"/>
        <v>-18156386</v>
      </c>
      <c r="T82" s="52">
        <f t="shared" si="48"/>
        <v>0</v>
      </c>
      <c r="U82" s="52">
        <f t="shared" si="48"/>
        <v>0</v>
      </c>
      <c r="V82" s="52">
        <f t="shared" ref="V82:Y82" si="49">SUM(V83:V93)</f>
        <v>0</v>
      </c>
      <c r="W82" s="52">
        <f t="shared" si="49"/>
        <v>0</v>
      </c>
      <c r="X82" s="52">
        <f t="shared" si="49"/>
        <v>0</v>
      </c>
      <c r="Y82" s="613">
        <f t="shared" si="49"/>
        <v>-18156386</v>
      </c>
      <c r="AA82" s="614">
        <f t="shared" ref="AA82:AC82" si="50">SUM(AA83:AA93)</f>
        <v>1138181134</v>
      </c>
      <c r="AC82" s="614">
        <f t="shared" si="50"/>
        <v>1138181134</v>
      </c>
      <c r="AD82" s="263"/>
      <c r="AE82" s="36"/>
    </row>
    <row r="83" spans="1:31" ht="18" customHeight="1">
      <c r="A83" s="36"/>
      <c r="D83" s="590" t="s">
        <v>335</v>
      </c>
      <c r="E83" s="164" t="s">
        <v>334</v>
      </c>
      <c r="F83" s="166">
        <v>501</v>
      </c>
      <c r="G83" s="164" t="s">
        <v>336</v>
      </c>
      <c r="H83" s="36">
        <v>306510967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/>
      <c r="O83" s="201">
        <f t="shared" ref="O83:O93" si="51">SUM(H83:N83)</f>
        <v>306510967</v>
      </c>
      <c r="Q83" s="35">
        <f>ROUND(SUMIF('1.0'!$D:$D,T_IS!D83,'1.0'!$J:$J),0)</f>
        <v>0</v>
      </c>
      <c r="R83" s="36">
        <f>ROUND(SUMIF('2.0'!$D:$D,T_IS!D83,'2.0'!$J:$J),0)</f>
        <v>0</v>
      </c>
      <c r="S83" s="36">
        <f>ROUND(SUMIF('3.0'!$D:$D,T_IS!D83,'3.0'!$H:$H),0)</f>
        <v>0</v>
      </c>
      <c r="T83" s="36">
        <f>ROUND(SUMIF('4.0'!$D:$D,T_IS!D83,'4.0'!$J:$J),0)</f>
        <v>0</v>
      </c>
      <c r="U83" s="36">
        <f>ROUND(SUMIF('5.0'!$D:$D,T_IS!D83,'5.0'!$J:$J),0)</f>
        <v>0</v>
      </c>
      <c r="V83" s="36">
        <f>ROUND(SUMIF('6.0'!$D:$D,T_IS!D83,'6.0'!$J:$J),0)</f>
        <v>0</v>
      </c>
      <c r="W83" s="36">
        <f>ROUND(SUMIF('7.0'!$D:$D,T_IS!D83,'7.0'!$I:$I),0)</f>
        <v>0</v>
      </c>
      <c r="X83" s="36">
        <f>ROUND(SUMIF('8.0'!$D:$D,T_IS!F83,'8.0'!$H:$H),0)</f>
        <v>0</v>
      </c>
      <c r="Y83" s="38">
        <f t="shared" ref="Y83:Y93" si="52">SUM(Q83:X83)</f>
        <v>0</v>
      </c>
      <c r="AA83" s="215">
        <f t="shared" ref="AA83:AA93" si="53">Y83+O83</f>
        <v>306510967</v>
      </c>
      <c r="AC83" s="215">
        <f t="shared" ref="AC83:AC93" si="54">SUM(AA83,Q83)</f>
        <v>306510967</v>
      </c>
      <c r="AD83" s="263"/>
      <c r="AE83" s="36"/>
    </row>
    <row r="84" spans="1:31" ht="18" customHeight="1">
      <c r="A84" s="36"/>
      <c r="D84" s="590" t="s">
        <v>337</v>
      </c>
      <c r="E84" s="164" t="s">
        <v>334</v>
      </c>
      <c r="F84" s="166">
        <v>501</v>
      </c>
      <c r="G84" s="164" t="s">
        <v>338</v>
      </c>
      <c r="H84" s="36">
        <v>1061919</v>
      </c>
      <c r="I84" s="36">
        <v>0</v>
      </c>
      <c r="J84" s="36">
        <v>0</v>
      </c>
      <c r="K84" s="36">
        <v>4829693</v>
      </c>
      <c r="L84" s="36">
        <v>0</v>
      </c>
      <c r="M84" s="36"/>
      <c r="N84" s="36">
        <v>12831289</v>
      </c>
      <c r="O84" s="201">
        <f t="shared" si="51"/>
        <v>18722901</v>
      </c>
      <c r="Q84" s="35">
        <f>ROUND(SUMIF('1.0'!$D:$D,T_IS!D84,'1.0'!$J:$J),0)</f>
        <v>0</v>
      </c>
      <c r="R84" s="36">
        <f>ROUND(SUMIF('2.0'!$D:$D,T_IS!D84,'2.0'!$J:$J),0)</f>
        <v>0</v>
      </c>
      <c r="S84" s="36">
        <f>ROUND(SUMIF('3.0'!$D:$D,T_IS!D84,'3.0'!$H:$H),0)</f>
        <v>-18156386</v>
      </c>
      <c r="T84" s="36">
        <f>ROUND(SUMIF('4.0'!$D:$D,T_IS!D84,'4.0'!$J:$J),0)</f>
        <v>0</v>
      </c>
      <c r="U84" s="36">
        <f>ROUND(SUMIF('5.0'!$D:$D,T_IS!D84,'5.0'!$J:$J),0)</f>
        <v>0</v>
      </c>
      <c r="V84" s="36">
        <f>ROUND(SUMIF('6.0'!$D:$D,T_IS!D84,'6.0'!$J:$J),0)</f>
        <v>0</v>
      </c>
      <c r="W84" s="36">
        <f>ROUND(SUMIF('7.0'!$D:$D,T_IS!D84,'7.0'!$I:$I),0)</f>
        <v>0</v>
      </c>
      <c r="X84" s="36">
        <f>ROUND(SUMIF('8.0'!$D:$D,T_IS!F84,'8.0'!$H:$H),0)</f>
        <v>0</v>
      </c>
      <c r="Y84" s="38">
        <f t="shared" si="52"/>
        <v>-18156386</v>
      </c>
      <c r="AA84" s="215">
        <f t="shared" si="53"/>
        <v>566515</v>
      </c>
      <c r="AC84" s="215">
        <f t="shared" si="54"/>
        <v>566515</v>
      </c>
      <c r="AD84" s="263"/>
      <c r="AE84" s="36"/>
    </row>
    <row r="85" spans="1:31" ht="18" customHeight="1">
      <c r="A85" s="36"/>
      <c r="D85" s="590" t="s">
        <v>339</v>
      </c>
      <c r="E85" s="164" t="s">
        <v>334</v>
      </c>
      <c r="F85" s="166">
        <v>505</v>
      </c>
      <c r="G85" s="164" t="s">
        <v>340</v>
      </c>
      <c r="H85" s="36">
        <v>181599135</v>
      </c>
      <c r="I85" s="36">
        <v>418369</v>
      </c>
      <c r="J85" s="36">
        <v>5327260</v>
      </c>
      <c r="K85" s="36">
        <v>24290383</v>
      </c>
      <c r="L85" s="36">
        <v>14388689</v>
      </c>
      <c r="M85" s="36">
        <v>0</v>
      </c>
      <c r="N85" s="36"/>
      <c r="O85" s="201">
        <f t="shared" si="51"/>
        <v>226023836</v>
      </c>
      <c r="Q85" s="35">
        <f>ROUND(SUMIF('1.0'!$D:$D,T_IS!D85,'1.0'!$J:$J),0)</f>
        <v>0</v>
      </c>
      <c r="R85" s="36">
        <f>ROUND(SUMIF('2.0'!$D:$D,T_IS!D85,'2.0'!$J:$J),0)</f>
        <v>0</v>
      </c>
      <c r="S85" s="36">
        <f>ROUND(SUMIF('3.0'!$D:$D,T_IS!D85,'3.0'!$H:$H),0)</f>
        <v>0</v>
      </c>
      <c r="T85" s="36">
        <f>ROUND(SUMIF('4.0'!$D:$D,T_IS!D85,'4.0'!$J:$J),0)</f>
        <v>0</v>
      </c>
      <c r="U85" s="36">
        <f>ROUND(SUMIF('5.0'!$D:$D,T_IS!D85,'5.0'!$J:$J),0)</f>
        <v>0</v>
      </c>
      <c r="V85" s="36">
        <f>ROUND(SUMIF('6.0'!$D:$D,T_IS!D85,'6.0'!$J:$J),0)</f>
        <v>0</v>
      </c>
      <c r="W85" s="36">
        <f>ROUND(SUMIF('7.0'!$D:$D,T_IS!D85,'7.0'!$I:$I),0)</f>
        <v>0</v>
      </c>
      <c r="X85" s="36">
        <f>ROUND(SUMIF('8.0'!$D:$D,T_IS!F85,'8.0'!$H:$H),0)</f>
        <v>0</v>
      </c>
      <c r="Y85" s="38">
        <f t="shared" si="52"/>
        <v>0</v>
      </c>
      <c r="AA85" s="215">
        <f t="shared" si="53"/>
        <v>226023836</v>
      </c>
      <c r="AC85" s="215">
        <f t="shared" si="54"/>
        <v>226023836</v>
      </c>
      <c r="AD85" s="263"/>
      <c r="AE85" s="36"/>
    </row>
    <row r="86" spans="1:31" ht="18" customHeight="1">
      <c r="A86" s="36"/>
      <c r="D86" s="591" t="s">
        <v>1639</v>
      </c>
      <c r="E86" s="164" t="s">
        <v>334</v>
      </c>
      <c r="F86" s="166">
        <v>501</v>
      </c>
      <c r="G86" s="164" t="s">
        <v>388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/>
      <c r="O86" s="201">
        <f t="shared" si="51"/>
        <v>0</v>
      </c>
      <c r="Q86" s="35">
        <f>ROUND(SUMIF('1.0'!$D:$D,T_IS!D86,'1.0'!$J:$J),0)</f>
        <v>0</v>
      </c>
      <c r="R86" s="36">
        <f>ROUND(SUMIF('2.0'!$D:$D,T_IS!D86,'2.0'!$J:$J),0)</f>
        <v>0</v>
      </c>
      <c r="S86" s="36">
        <f>ROUND(SUMIF('3.0'!$D:$D,T_IS!D86,'3.0'!$H:$H),0)</f>
        <v>0</v>
      </c>
      <c r="T86" s="36">
        <f>ROUND(SUMIF('4.0'!$D:$D,T_IS!D86,'4.0'!$J:$J),0)</f>
        <v>0</v>
      </c>
      <c r="U86" s="36">
        <f>ROUND(SUMIF('5.0'!$D:$D,T_IS!D86,'5.0'!$J:$J),0)</f>
        <v>0</v>
      </c>
      <c r="V86" s="36">
        <f>ROUND(SUMIF('6.0'!$D:$D,T_IS!D86,'6.0'!$J:$J),0)</f>
        <v>0</v>
      </c>
      <c r="W86" s="36">
        <f>ROUND(SUMIF('7.0'!$D:$D,T_IS!D86,'7.0'!$I:$I),0)</f>
        <v>0</v>
      </c>
      <c r="X86" s="36">
        <f>ROUND(SUMIF('8.0'!$D:$D,T_IS!F86,'8.0'!$H:$H),0)</f>
        <v>0</v>
      </c>
      <c r="Y86" s="38">
        <f t="shared" si="52"/>
        <v>0</v>
      </c>
      <c r="AA86" s="215">
        <f t="shared" si="53"/>
        <v>0</v>
      </c>
      <c r="AC86" s="215">
        <f t="shared" si="54"/>
        <v>0</v>
      </c>
      <c r="AD86" s="263"/>
      <c r="AE86" s="36"/>
    </row>
    <row r="87" spans="1:31" ht="18" customHeight="1">
      <c r="A87" s="36"/>
      <c r="D87" s="590" t="s">
        <v>341</v>
      </c>
      <c r="E87" s="164" t="s">
        <v>334</v>
      </c>
      <c r="F87" s="166">
        <v>502</v>
      </c>
      <c r="G87" s="164" t="s">
        <v>342</v>
      </c>
      <c r="H87" s="36">
        <v>185613067</v>
      </c>
      <c r="I87" s="36">
        <v>0</v>
      </c>
      <c r="J87" s="36">
        <v>0</v>
      </c>
      <c r="K87" s="36">
        <v>0</v>
      </c>
      <c r="L87" s="36">
        <v>4774114</v>
      </c>
      <c r="M87" s="36">
        <v>0</v>
      </c>
      <c r="N87" s="36">
        <v>40021</v>
      </c>
      <c r="O87" s="201">
        <f t="shared" si="51"/>
        <v>190427202</v>
      </c>
      <c r="Q87" s="35">
        <f>ROUND(SUMIF('1.0'!$D:$D,T_IS!D87,'1.0'!$J:$J),0)</f>
        <v>0</v>
      </c>
      <c r="R87" s="36">
        <f>ROUND(SUMIF('2.0'!$D:$D,T_IS!D87,'2.0'!$J:$J),0)</f>
        <v>0</v>
      </c>
      <c r="S87" s="36">
        <f>ROUND(SUMIF('3.0'!$D:$D,T_IS!D87,'3.0'!$H:$H),0)</f>
        <v>0</v>
      </c>
      <c r="T87" s="36">
        <f>ROUND(SUMIF('4.0'!$D:$D,T_IS!D87,'4.0'!$J:$J),0)</f>
        <v>0</v>
      </c>
      <c r="U87" s="36">
        <f>ROUND(SUMIF('5.0'!$D:$D,T_IS!D87,'5.0'!$J:$J),0)</f>
        <v>0</v>
      </c>
      <c r="V87" s="36">
        <f>ROUND(SUMIF('6.0'!$D:$D,T_IS!D87,'6.0'!$J:$J),0)</f>
        <v>0</v>
      </c>
      <c r="W87" s="36">
        <f>ROUND(SUMIF('7.0'!$D:$D,T_IS!D87,'7.0'!$I:$I),0)</f>
        <v>0</v>
      </c>
      <c r="X87" s="36">
        <f>ROUND(SUMIF('8.0'!$D:$D,T_IS!F87,'8.0'!$H:$H),0)</f>
        <v>0</v>
      </c>
      <c r="Y87" s="38">
        <f t="shared" si="52"/>
        <v>0</v>
      </c>
      <c r="AA87" s="215">
        <f t="shared" si="53"/>
        <v>190427202</v>
      </c>
      <c r="AC87" s="215">
        <f t="shared" si="54"/>
        <v>190427202</v>
      </c>
      <c r="AD87" s="263"/>
      <c r="AE87" s="36"/>
    </row>
    <row r="88" spans="1:31" ht="18" customHeight="1">
      <c r="A88" s="36"/>
      <c r="D88" s="590" t="s">
        <v>343</v>
      </c>
      <c r="E88" s="164" t="s">
        <v>334</v>
      </c>
      <c r="F88" s="166">
        <v>502</v>
      </c>
      <c r="G88" s="164" t="s">
        <v>344</v>
      </c>
      <c r="H88" s="36">
        <v>5548253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/>
      <c r="O88" s="201">
        <f t="shared" si="51"/>
        <v>5548253</v>
      </c>
      <c r="Q88" s="35">
        <f>ROUND(SUMIF('1.0'!$D:$D,T_IS!D88,'1.0'!$J:$J),0)</f>
        <v>0</v>
      </c>
      <c r="R88" s="36">
        <f>ROUND(SUMIF('2.0'!$D:$D,T_IS!D88,'2.0'!$J:$J),0)</f>
        <v>0</v>
      </c>
      <c r="S88" s="36">
        <f>ROUND(SUMIF('3.0'!$D:$D,T_IS!D88,'3.0'!$H:$H),0)</f>
        <v>0</v>
      </c>
      <c r="T88" s="36">
        <f>ROUND(SUMIF('4.0'!$D:$D,T_IS!D88,'4.0'!$J:$J),0)</f>
        <v>0</v>
      </c>
      <c r="U88" s="36">
        <f>ROUND(SUMIF('5.0'!$D:$D,T_IS!D88,'5.0'!$J:$J),0)</f>
        <v>0</v>
      </c>
      <c r="V88" s="36">
        <f>ROUND(SUMIF('6.0'!$D:$D,T_IS!D88,'6.0'!$J:$J),0)</f>
        <v>0</v>
      </c>
      <c r="W88" s="36">
        <f>ROUND(SUMIF('7.0'!$D:$D,T_IS!D88,'7.0'!$I:$I),0)</f>
        <v>0</v>
      </c>
      <c r="X88" s="36">
        <f>ROUND(SUMIF('8.0'!$D:$D,T_IS!F88,'8.0'!$H:$H),0)</f>
        <v>0</v>
      </c>
      <c r="Y88" s="38">
        <f t="shared" si="52"/>
        <v>0</v>
      </c>
      <c r="AA88" s="215">
        <f t="shared" si="53"/>
        <v>5548253</v>
      </c>
      <c r="AC88" s="215">
        <f t="shared" si="54"/>
        <v>5548253</v>
      </c>
      <c r="AD88" s="263"/>
      <c r="AE88" s="36"/>
    </row>
    <row r="89" spans="1:31" ht="18" customHeight="1">
      <c r="A89" s="36"/>
      <c r="D89" s="590" t="s">
        <v>345</v>
      </c>
      <c r="E89" s="164" t="s">
        <v>334</v>
      </c>
      <c r="F89" s="166">
        <v>502</v>
      </c>
      <c r="G89" s="164" t="s">
        <v>346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/>
      <c r="O89" s="201">
        <f t="shared" si="51"/>
        <v>0</v>
      </c>
      <c r="Q89" s="35">
        <f>ROUND(SUMIF('1.0'!$D:$D,T_IS!D89,'1.0'!$J:$J),0)</f>
        <v>0</v>
      </c>
      <c r="R89" s="36">
        <f>ROUND(SUMIF('2.0'!$D:$D,T_IS!D89,'2.0'!$J:$J),0)</f>
        <v>0</v>
      </c>
      <c r="S89" s="36">
        <f>ROUND(SUMIF('3.0'!$D:$D,T_IS!D89,'3.0'!$H:$H),0)</f>
        <v>0</v>
      </c>
      <c r="T89" s="36">
        <f>ROUND(SUMIF('4.0'!$D:$D,T_IS!D89,'4.0'!$J:$J),0)</f>
        <v>0</v>
      </c>
      <c r="U89" s="36">
        <f>ROUND(SUMIF('5.0'!$D:$D,T_IS!D89,'5.0'!$J:$J),0)</f>
        <v>0</v>
      </c>
      <c r="V89" s="36">
        <f>ROUND(SUMIF('6.0'!$D:$D,T_IS!D89,'6.0'!$J:$J),0)</f>
        <v>0</v>
      </c>
      <c r="W89" s="36">
        <f>ROUND(SUMIF('7.0'!$D:$D,T_IS!D89,'7.0'!$I:$I),0)</f>
        <v>0</v>
      </c>
      <c r="X89" s="36">
        <f>ROUND(SUMIF('8.0'!$D:$D,T_IS!F89,'8.0'!$H:$H),0)</f>
        <v>0</v>
      </c>
      <c r="Y89" s="38">
        <f t="shared" si="52"/>
        <v>0</v>
      </c>
      <c r="AA89" s="215">
        <f t="shared" si="53"/>
        <v>0</v>
      </c>
      <c r="AC89" s="215">
        <f t="shared" si="54"/>
        <v>0</v>
      </c>
      <c r="AD89" s="263"/>
      <c r="AE89" s="36"/>
    </row>
    <row r="90" spans="1:31" ht="18" customHeight="1">
      <c r="A90" s="36"/>
      <c r="D90" s="590" t="s">
        <v>347</v>
      </c>
      <c r="E90" s="164" t="s">
        <v>334</v>
      </c>
      <c r="F90" s="166">
        <v>503</v>
      </c>
      <c r="G90" s="164" t="s">
        <v>348</v>
      </c>
      <c r="H90" s="36">
        <v>343692934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6"/>
      <c r="O90" s="201">
        <f t="shared" si="51"/>
        <v>343692934</v>
      </c>
      <c r="Q90" s="35">
        <f>ROUND(SUMIF('1.0'!$D:$D,T_IS!D90,'1.0'!$J:$J),0)</f>
        <v>0</v>
      </c>
      <c r="R90" s="36">
        <f>ROUND(SUMIF('2.0'!$D:$D,T_IS!D90,'2.0'!$J:$J),0)</f>
        <v>0</v>
      </c>
      <c r="S90" s="36">
        <f>ROUND(SUMIF('3.0'!$D:$D,T_IS!D90,'3.0'!$H:$H),0)</f>
        <v>0</v>
      </c>
      <c r="T90" s="36">
        <f>ROUND(SUMIF('4.0'!$D:$D,T_IS!D90,'4.0'!$J:$J),0)</f>
        <v>0</v>
      </c>
      <c r="U90" s="36">
        <f>ROUND(SUMIF('5.0'!$D:$D,T_IS!D90,'5.0'!$J:$J),0)</f>
        <v>0</v>
      </c>
      <c r="V90" s="36">
        <f>ROUND(SUMIF('6.0'!$D:$D,T_IS!D90,'6.0'!$J:$J),0)</f>
        <v>0</v>
      </c>
      <c r="W90" s="36">
        <f>ROUND(SUMIF('7.0'!$D:$D,T_IS!D90,'7.0'!$I:$I),0)</f>
        <v>0</v>
      </c>
      <c r="X90" s="36">
        <f>ROUND(SUMIF('8.0'!$D:$D,T_IS!F90,'8.0'!$H:$H),0)</f>
        <v>0</v>
      </c>
      <c r="Y90" s="38">
        <f t="shared" si="52"/>
        <v>0</v>
      </c>
      <c r="AA90" s="215">
        <f t="shared" si="53"/>
        <v>343692934</v>
      </c>
      <c r="AC90" s="215">
        <f t="shared" si="54"/>
        <v>343692934</v>
      </c>
      <c r="AD90" s="263"/>
      <c r="AE90" s="36"/>
    </row>
    <row r="91" spans="1:31" ht="18" customHeight="1">
      <c r="A91" s="36"/>
      <c r="D91" s="590" t="s">
        <v>349</v>
      </c>
      <c r="E91" s="164" t="s">
        <v>334</v>
      </c>
      <c r="F91" s="166">
        <v>503</v>
      </c>
      <c r="G91" s="164" t="s">
        <v>350</v>
      </c>
      <c r="H91" s="36">
        <v>65411427</v>
      </c>
      <c r="I91" s="36">
        <v>0</v>
      </c>
      <c r="J91" s="36">
        <v>0</v>
      </c>
      <c r="K91" s="36">
        <v>0</v>
      </c>
      <c r="L91" s="36">
        <v>0</v>
      </c>
      <c r="M91" s="36">
        <v>0</v>
      </c>
      <c r="N91" s="36"/>
      <c r="O91" s="201">
        <f t="shared" si="51"/>
        <v>65411427</v>
      </c>
      <c r="Q91" s="35">
        <f>ROUND(SUMIF('1.0'!$D:$D,T_IS!D91,'1.0'!$J:$J),0)</f>
        <v>0</v>
      </c>
      <c r="R91" s="36">
        <f>ROUND(SUMIF('2.0'!$D:$D,T_IS!D91,'2.0'!$J:$J),0)</f>
        <v>0</v>
      </c>
      <c r="S91" s="36">
        <f>ROUND(SUMIF('3.0'!$D:$D,T_IS!D91,'3.0'!$H:$H),0)</f>
        <v>0</v>
      </c>
      <c r="T91" s="36">
        <f>ROUND(SUMIF('4.0'!$D:$D,T_IS!D91,'4.0'!$J:$J),0)</f>
        <v>0</v>
      </c>
      <c r="U91" s="36">
        <f>ROUND(SUMIF('5.0'!$D:$D,T_IS!D91,'5.0'!$J:$J),0)</f>
        <v>0</v>
      </c>
      <c r="V91" s="36">
        <f>ROUND(SUMIF('6.0'!$D:$D,T_IS!D91,'6.0'!$J:$J),0)</f>
        <v>0</v>
      </c>
      <c r="W91" s="36">
        <f>ROUND(SUMIF('7.0'!$D:$D,T_IS!D91,'7.0'!$I:$I),0)</f>
        <v>0</v>
      </c>
      <c r="X91" s="36">
        <f>ROUND(SUMIF('8.0'!$D:$D,T_IS!F91,'8.0'!$H:$H),0)</f>
        <v>0</v>
      </c>
      <c r="Y91" s="38">
        <f t="shared" si="52"/>
        <v>0</v>
      </c>
      <c r="AA91" s="215">
        <f t="shared" si="53"/>
        <v>65411427</v>
      </c>
      <c r="AC91" s="215">
        <f t="shared" si="54"/>
        <v>65411427</v>
      </c>
      <c r="AD91" s="263"/>
      <c r="AE91" s="36"/>
    </row>
    <row r="92" spans="1:31" ht="18" customHeight="1">
      <c r="A92" s="36"/>
      <c r="D92" s="591" t="s">
        <v>351</v>
      </c>
      <c r="E92" s="164" t="s">
        <v>334</v>
      </c>
      <c r="F92" s="166">
        <v>504</v>
      </c>
      <c r="G92" s="164" t="s">
        <v>352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v>0</v>
      </c>
      <c r="N92" s="36"/>
      <c r="O92" s="201">
        <f t="shared" si="51"/>
        <v>0</v>
      </c>
      <c r="Q92" s="35">
        <f>ROUND(SUMIF('1.0'!$D:$D,T_IS!D92,'1.0'!$J:$J),0)</f>
        <v>0</v>
      </c>
      <c r="R92" s="36">
        <f>ROUND(SUMIF('2.0'!$D:$D,T_IS!D92,'2.0'!$J:$J),0)</f>
        <v>0</v>
      </c>
      <c r="S92" s="36">
        <f>ROUND(SUMIF('3.0'!$D:$D,T_IS!D92,'3.0'!$H:$H),0)</f>
        <v>0</v>
      </c>
      <c r="T92" s="36">
        <f>ROUND(SUMIF('4.0'!$D:$D,T_IS!D92,'4.0'!$J:$J),0)</f>
        <v>0</v>
      </c>
      <c r="U92" s="36">
        <f>ROUND(SUMIF('5.0'!$D:$D,T_IS!D92,'5.0'!$J:$J),0)</f>
        <v>0</v>
      </c>
      <c r="V92" s="36">
        <f>ROUND(SUMIF('6.0'!$D:$D,T_IS!D92,'6.0'!$J:$J),0)</f>
        <v>0</v>
      </c>
      <c r="W92" s="36">
        <f>ROUND(SUMIF('7.0'!$D:$D,T_IS!D92,'7.0'!$I:$I),0)</f>
        <v>0</v>
      </c>
      <c r="X92" s="36">
        <f>ROUND(SUMIF('8.0'!$D:$D,T_IS!F92,'8.0'!$H:$H),0)</f>
        <v>0</v>
      </c>
      <c r="Y92" s="38">
        <f t="shared" si="52"/>
        <v>0</v>
      </c>
      <c r="AA92" s="215">
        <f t="shared" si="53"/>
        <v>0</v>
      </c>
      <c r="AC92" s="215">
        <f t="shared" si="54"/>
        <v>0</v>
      </c>
      <c r="AD92" s="263"/>
      <c r="AE92" s="36"/>
    </row>
    <row r="93" spans="1:31" ht="18" customHeight="1">
      <c r="A93" s="36"/>
      <c r="D93" s="591" t="s">
        <v>353</v>
      </c>
      <c r="E93" s="164" t="s">
        <v>334</v>
      </c>
      <c r="F93" s="166" t="s">
        <v>616</v>
      </c>
      <c r="G93" s="164" t="s">
        <v>354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v>0</v>
      </c>
      <c r="N93" s="36"/>
      <c r="O93" s="201">
        <f t="shared" si="51"/>
        <v>0</v>
      </c>
      <c r="Q93" s="35">
        <f>ROUND(SUMIF('1.0'!$D:$D,T_IS!D93,'1.0'!$J:$J),0)</f>
        <v>0</v>
      </c>
      <c r="R93" s="36">
        <f>ROUND(SUMIF('2.0'!$D:$D,T_IS!D93,'2.0'!$J:$J),0)</f>
        <v>0</v>
      </c>
      <c r="S93" s="36">
        <f>ROUND(SUMIF('3.0'!$D:$D,T_IS!D93,'3.0'!$H:$H),0)</f>
        <v>0</v>
      </c>
      <c r="T93" s="36">
        <f>ROUND(SUMIF('4.0'!$D:$D,T_IS!D93,'4.0'!$J:$J),0)</f>
        <v>0</v>
      </c>
      <c r="U93" s="36">
        <f>ROUND(SUMIF('5.0'!$D:$D,T_IS!D93,'5.0'!$J:$J),0)</f>
        <v>0</v>
      </c>
      <c r="V93" s="36">
        <f>ROUND(SUMIF('6.0'!$D:$D,T_IS!D93,'6.0'!$J:$J),0)</f>
        <v>0</v>
      </c>
      <c r="W93" s="36">
        <f>ROUND(SUMIF('7.0'!$D:$D,T_IS!D93,'7.0'!$I:$I),0)</f>
        <v>0</v>
      </c>
      <c r="X93" s="36">
        <f>ROUND(SUMIF('8.0'!$D:$D,T_IS!F93,'8.0'!$H:$H),0)</f>
        <v>0</v>
      </c>
      <c r="Y93" s="38">
        <f t="shared" si="52"/>
        <v>0</v>
      </c>
      <c r="AA93" s="215">
        <f t="shared" si="53"/>
        <v>0</v>
      </c>
      <c r="AC93" s="215">
        <f t="shared" si="54"/>
        <v>0</v>
      </c>
      <c r="AD93" s="263"/>
      <c r="AE93" s="36"/>
    </row>
    <row r="94" spans="1:31" ht="18" customHeight="1">
      <c r="A94" s="36"/>
      <c r="D94" s="586"/>
      <c r="E94" s="587"/>
      <c r="F94" s="611"/>
      <c r="G94" s="587" t="s">
        <v>355</v>
      </c>
      <c r="H94" s="52">
        <f t="shared" ref="H94:O94" si="55">SUM(H95:H98)</f>
        <v>241501887</v>
      </c>
      <c r="I94" s="52">
        <f t="shared" si="55"/>
        <v>0</v>
      </c>
      <c r="J94" s="52">
        <f t="shared" si="55"/>
        <v>3559080873</v>
      </c>
      <c r="K94" s="52">
        <f t="shared" si="55"/>
        <v>75674638</v>
      </c>
      <c r="L94" s="52">
        <f t="shared" si="55"/>
        <v>5648868</v>
      </c>
      <c r="M94" s="52">
        <f t="shared" si="55"/>
        <v>0</v>
      </c>
      <c r="N94" s="52">
        <f t="shared" si="55"/>
        <v>32864</v>
      </c>
      <c r="O94" s="589">
        <f t="shared" si="55"/>
        <v>3881939130</v>
      </c>
      <c r="Q94" s="612">
        <f t="shared" ref="Q94:Y94" si="56">SUM(Q95:Q98)</f>
        <v>0</v>
      </c>
      <c r="R94" s="52">
        <f t="shared" si="56"/>
        <v>-3510577560</v>
      </c>
      <c r="S94" s="52">
        <f t="shared" si="56"/>
        <v>0</v>
      </c>
      <c r="T94" s="52">
        <f t="shared" si="56"/>
        <v>0</v>
      </c>
      <c r="U94" s="52">
        <f t="shared" si="56"/>
        <v>0</v>
      </c>
      <c r="V94" s="52">
        <f t="shared" si="56"/>
        <v>0</v>
      </c>
      <c r="W94" s="52">
        <f t="shared" si="56"/>
        <v>0</v>
      </c>
      <c r="X94" s="52">
        <f t="shared" si="56"/>
        <v>0</v>
      </c>
      <c r="Y94" s="613">
        <f t="shared" si="56"/>
        <v>-3510577560</v>
      </c>
      <c r="AA94" s="614">
        <f>SUM(AA95:AA98)</f>
        <v>371361570</v>
      </c>
      <c r="AC94" s="614">
        <f>SUM(AC95:AC98)</f>
        <v>371361570</v>
      </c>
      <c r="AD94" s="263"/>
      <c r="AE94" s="36"/>
    </row>
    <row r="95" spans="1:31" ht="18" customHeight="1">
      <c r="A95" s="36"/>
      <c r="D95" s="590" t="s">
        <v>356</v>
      </c>
      <c r="E95" s="164" t="s">
        <v>355</v>
      </c>
      <c r="F95" s="166">
        <v>602</v>
      </c>
      <c r="G95" s="164" t="s">
        <v>357</v>
      </c>
      <c r="H95" s="36">
        <v>221590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6"/>
      <c r="O95" s="201">
        <f t="shared" ref="O95:O98" si="57">SUM(H95:N95)</f>
        <v>221590</v>
      </c>
      <c r="Q95" s="35">
        <f>-ROUND(SUMIF('1.0'!$D:$D,T_IS!D95,'1.0'!$J:$J),0)</f>
        <v>0</v>
      </c>
      <c r="R95" s="36">
        <f>-ROUND(SUMIF('2.0'!$D:$D,T_IS!D95,'2.0'!$J:$J),0)</f>
        <v>0</v>
      </c>
      <c r="S95" s="36">
        <f>ROUND(SUMIF('3.0'!$D:$D,T_IS!D95,'3.0'!$H:$H),0)</f>
        <v>0</v>
      </c>
      <c r="T95" s="36">
        <f>-ROUND(SUMIF('4.0'!$D:$D,T_IS!D95,'4.0'!$J:$J),0)</f>
        <v>0</v>
      </c>
      <c r="U95" s="36">
        <f>-ROUND(SUMIF('5.0'!$D:$D,T_IS!D95,'5.0'!$J:$J),0)</f>
        <v>0</v>
      </c>
      <c r="V95" s="36">
        <f>ROUND(SUMIF('6.0'!$D:$D,T_IS!D95,'6.0'!$J:$J),0)</f>
        <v>0</v>
      </c>
      <c r="W95" s="36">
        <f>-ROUND(SUMIF('7.0'!$D:$D,T_IS!D95,'7.0'!$I:$I),0)</f>
        <v>0</v>
      </c>
      <c r="X95" s="36">
        <f>-ROUND(SUMIF('8.0'!$D:$D,T_IS!F95,'8.0'!$H:$H),0)</f>
        <v>0</v>
      </c>
      <c r="Y95" s="38">
        <f t="shared" ref="Y95:Y98" si="58">SUM(Q95:X95)</f>
        <v>0</v>
      </c>
      <c r="AA95" s="215">
        <f t="shared" ref="AA95:AA98" si="59">Y95+O95</f>
        <v>221590</v>
      </c>
      <c r="AC95" s="215">
        <f t="shared" ref="AC95:AC114" si="60">SUM(AA95,Q95)</f>
        <v>221590</v>
      </c>
      <c r="AD95" s="263"/>
      <c r="AE95" s="36"/>
    </row>
    <row r="96" spans="1:31" ht="18" customHeight="1">
      <c r="A96" s="36"/>
      <c r="D96" s="590" t="s">
        <v>358</v>
      </c>
      <c r="E96" s="164" t="s">
        <v>355</v>
      </c>
      <c r="F96" s="166">
        <v>604</v>
      </c>
      <c r="G96" s="164" t="s">
        <v>359</v>
      </c>
      <c r="H96" s="36">
        <v>0</v>
      </c>
      <c r="I96" s="36">
        <v>0</v>
      </c>
      <c r="J96" s="36">
        <v>0</v>
      </c>
      <c r="K96" s="36">
        <v>0</v>
      </c>
      <c r="L96" s="36">
        <v>0</v>
      </c>
      <c r="M96" s="36">
        <v>0</v>
      </c>
      <c r="N96" s="36"/>
      <c r="O96" s="201">
        <f t="shared" si="57"/>
        <v>0</v>
      </c>
      <c r="Q96" s="35">
        <f>-ROUND(SUMIF('1.0'!$D:$D,T_IS!D96,'1.0'!$J:$J),0)</f>
        <v>0</v>
      </c>
      <c r="R96" s="36">
        <f>-ROUND(SUMIF('2.0'!$D:$D,T_IS!D96,'2.0'!$J:$J),0)</f>
        <v>0</v>
      </c>
      <c r="S96" s="36">
        <f>ROUND(SUMIF('3.0'!$D:$D,T_IS!D96,'3.0'!$H:$H),0)</f>
        <v>0</v>
      </c>
      <c r="T96" s="36">
        <f>-ROUND(SUMIF('4.0'!$D:$D,T_IS!D96,'4.0'!$J:$J),0)</f>
        <v>0</v>
      </c>
      <c r="U96" s="36">
        <f>-ROUND(SUMIF('5.0'!$D:$D,T_IS!D96,'5.0'!$J:$J),0)</f>
        <v>0</v>
      </c>
      <c r="V96" s="36">
        <f>ROUND(SUMIF('6.0'!$D:$D,T_IS!D96,'6.0'!$J:$J),0)</f>
        <v>0</v>
      </c>
      <c r="W96" s="36">
        <f>-ROUND(SUMIF('7.0'!$D:$D,T_IS!D96,'7.0'!$I:$I),0)</f>
        <v>0</v>
      </c>
      <c r="X96" s="36">
        <f>-ROUND(SUMIF('8.0'!$D:$D,T_IS!F96,'8.0'!$H:$H),0)</f>
        <v>0</v>
      </c>
      <c r="Y96" s="38">
        <f t="shared" si="58"/>
        <v>0</v>
      </c>
      <c r="AA96" s="215">
        <f t="shared" si="59"/>
        <v>0</v>
      </c>
      <c r="AC96" s="215">
        <f t="shared" si="60"/>
        <v>0</v>
      </c>
      <c r="AD96" s="263"/>
      <c r="AE96" s="36"/>
    </row>
    <row r="97" spans="1:31" ht="18" customHeight="1">
      <c r="A97" s="36"/>
      <c r="D97" s="590" t="s">
        <v>1852</v>
      </c>
      <c r="E97" s="164" t="s">
        <v>355</v>
      </c>
      <c r="F97" s="166" t="s">
        <v>616</v>
      </c>
      <c r="G97" s="164" t="s">
        <v>1865</v>
      </c>
      <c r="H97" s="36">
        <v>0</v>
      </c>
      <c r="I97" s="36">
        <v>0</v>
      </c>
      <c r="J97" s="36">
        <v>3510577560</v>
      </c>
      <c r="K97" s="36">
        <v>0</v>
      </c>
      <c r="L97" s="36">
        <v>0</v>
      </c>
      <c r="M97" s="36"/>
      <c r="N97" s="36"/>
      <c r="O97" s="201">
        <f t="shared" si="57"/>
        <v>3510577560</v>
      </c>
      <c r="Q97" s="35"/>
      <c r="R97" s="36">
        <f>-ROUND(SUMIF('2.0'!$D:$D,T_IS!D97,'2.0'!$J:$J),0)</f>
        <v>-3510577560</v>
      </c>
      <c r="S97" s="36">
        <f>ROUND(SUMIF('3.0'!$D:$D,T_IS!D97,'3.0'!$H:$H),0)</f>
        <v>0</v>
      </c>
      <c r="T97" s="36"/>
      <c r="U97" s="36">
        <f>-ROUND(SUMIF('5.0'!$D:$D,T_IS!D97,'5.0'!$J:$J),0)</f>
        <v>0</v>
      </c>
      <c r="V97" s="36">
        <f>ROUND(SUMIF('6.0'!$D:$D,T_IS!D97,'6.0'!$J:$J),0)</f>
        <v>0</v>
      </c>
      <c r="W97" s="36">
        <f>-ROUND(SUMIF('7.0'!$D:$D,T_IS!D97,'7.0'!$I:$I),0)</f>
        <v>0</v>
      </c>
      <c r="X97" s="36">
        <f>-ROUND(SUMIF('8.0'!$D:$D,T_IS!F97,'8.0'!$H:$H),0)</f>
        <v>0</v>
      </c>
      <c r="Y97" s="38">
        <f t="shared" si="58"/>
        <v>-3510577560</v>
      </c>
      <c r="AA97" s="215">
        <f t="shared" si="59"/>
        <v>0</v>
      </c>
      <c r="AC97" s="215"/>
      <c r="AD97" s="263"/>
      <c r="AE97" s="36"/>
    </row>
    <row r="98" spans="1:31" ht="18" customHeight="1">
      <c r="A98" s="36"/>
      <c r="D98" s="590" t="s">
        <v>360</v>
      </c>
      <c r="E98" s="164" t="s">
        <v>355</v>
      </c>
      <c r="F98" s="166">
        <v>603</v>
      </c>
      <c r="G98" s="164" t="s">
        <v>361</v>
      </c>
      <c r="H98" s="36">
        <v>241280297</v>
      </c>
      <c r="I98" s="36">
        <v>0</v>
      </c>
      <c r="J98" s="36">
        <v>48503313</v>
      </c>
      <c r="K98" s="36">
        <v>75674638</v>
      </c>
      <c r="L98" s="36">
        <v>5648868</v>
      </c>
      <c r="M98" s="36"/>
      <c r="N98" s="36">
        <v>32864</v>
      </c>
      <c r="O98" s="201">
        <f t="shared" si="57"/>
        <v>371139980</v>
      </c>
      <c r="Q98" s="35">
        <f>-ROUND(SUMIF('1.0'!$D:$D,T_IS!D98,'1.0'!$J:$J),0)</f>
        <v>0</v>
      </c>
      <c r="R98" s="36">
        <f>-ROUND(SUMIF('2.0'!$D:$D,T_IS!D98,'2.0'!$J:$J),0)</f>
        <v>0</v>
      </c>
      <c r="S98" s="36">
        <f>ROUND(SUMIF('3.0'!$D:$D,T_IS!D98,'3.0'!$H:$H),0)</f>
        <v>0</v>
      </c>
      <c r="T98" s="36">
        <f>-ROUND(SUMIF('4.0'!$D:$D,T_IS!D98,'4.0'!$J:$J),0)</f>
        <v>0</v>
      </c>
      <c r="U98" s="36">
        <f>-ROUND(SUMIF('5.0'!$D:$D,T_IS!D98,'5.0'!$J:$J),0)</f>
        <v>0</v>
      </c>
      <c r="V98" s="36">
        <f>ROUND(SUMIF('6.0'!$D:$D,T_IS!D98,'6.0'!$J:$J),0)</f>
        <v>0</v>
      </c>
      <c r="W98" s="36">
        <f>-ROUND(SUMIF('7.0'!$D:$D,T_IS!D98,'7.0'!$I:$I),0)</f>
        <v>0</v>
      </c>
      <c r="X98" s="36">
        <f>-ROUND(SUMIF('8.0'!$D:$D,T_IS!F98,'8.0'!$H:$H),0)</f>
        <v>0</v>
      </c>
      <c r="Y98" s="38">
        <f t="shared" si="58"/>
        <v>0</v>
      </c>
      <c r="AA98" s="215">
        <f t="shared" si="59"/>
        <v>371139980</v>
      </c>
      <c r="AC98" s="215">
        <f t="shared" si="60"/>
        <v>371139980</v>
      </c>
      <c r="AD98" s="263"/>
      <c r="AE98" s="36"/>
    </row>
    <row r="99" spans="1:31" ht="18" customHeight="1">
      <c r="A99" s="36"/>
      <c r="D99" s="586"/>
      <c r="E99" s="587"/>
      <c r="F99" s="611"/>
      <c r="G99" s="587" t="s">
        <v>362</v>
      </c>
      <c r="H99" s="52">
        <f>SUM(H100:H108)</f>
        <v>931542516</v>
      </c>
      <c r="I99" s="52">
        <f t="shared" ref="I99:O99" si="61">SUM(I100:I108)</f>
        <v>0</v>
      </c>
      <c r="J99" s="52">
        <f t="shared" si="61"/>
        <v>0</v>
      </c>
      <c r="K99" s="52">
        <f t="shared" si="61"/>
        <v>502313594</v>
      </c>
      <c r="L99" s="52">
        <f t="shared" si="61"/>
        <v>4263401</v>
      </c>
      <c r="M99" s="52">
        <f t="shared" si="61"/>
        <v>0</v>
      </c>
      <c r="N99" s="52">
        <f t="shared" si="61"/>
        <v>9</v>
      </c>
      <c r="O99" s="589">
        <f t="shared" si="61"/>
        <v>1438119520</v>
      </c>
      <c r="Q99" s="612">
        <f t="shared" ref="Q99" si="62">SUM(Q100:Q108)</f>
        <v>0</v>
      </c>
      <c r="R99" s="52">
        <f t="shared" ref="R99" si="63">SUM(R100:R108)</f>
        <v>0</v>
      </c>
      <c r="S99" s="52">
        <f t="shared" ref="S99" si="64">SUM(S100:S108)</f>
        <v>0</v>
      </c>
      <c r="T99" s="52">
        <f t="shared" ref="T99" si="65">SUM(T100:T108)</f>
        <v>0</v>
      </c>
      <c r="U99" s="52">
        <f t="shared" ref="U99:V99" si="66">SUM(U100:U108)</f>
        <v>20593687255</v>
      </c>
      <c r="V99" s="52">
        <f t="shared" si="66"/>
        <v>0</v>
      </c>
      <c r="W99" s="52">
        <f t="shared" ref="W99:Y99" si="67">SUM(W100:W108)</f>
        <v>0</v>
      </c>
      <c r="X99" s="52">
        <f t="shared" si="67"/>
        <v>0</v>
      </c>
      <c r="Y99" s="613">
        <f t="shared" si="67"/>
        <v>20593687255</v>
      </c>
      <c r="AA99" s="614">
        <f t="shared" ref="AA99:AC99" si="68">SUM(AA100:AA108)</f>
        <v>22031806775</v>
      </c>
      <c r="AC99" s="614">
        <f t="shared" si="68"/>
        <v>21884508440</v>
      </c>
      <c r="AD99" s="263"/>
      <c r="AE99" s="36"/>
    </row>
    <row r="100" spans="1:31" ht="18" customHeight="1">
      <c r="A100" s="36"/>
      <c r="D100" s="590" t="s">
        <v>363</v>
      </c>
      <c r="E100" s="164" t="s">
        <v>362</v>
      </c>
      <c r="F100" s="166">
        <v>706</v>
      </c>
      <c r="G100" s="164" t="s">
        <v>485</v>
      </c>
      <c r="H100" s="36">
        <v>760551092</v>
      </c>
      <c r="I100" s="36">
        <v>0</v>
      </c>
      <c r="J100" s="36">
        <v>0</v>
      </c>
      <c r="K100" s="36">
        <v>470443496</v>
      </c>
      <c r="L100" s="36">
        <v>0</v>
      </c>
      <c r="M100" s="36">
        <v>0</v>
      </c>
      <c r="N100" s="36">
        <v>0</v>
      </c>
      <c r="O100" s="201">
        <f t="shared" ref="O100:O108" si="69">SUM(H100:N100)</f>
        <v>1230994588</v>
      </c>
      <c r="Q100" s="35">
        <f>ROUND(SUMIF('1.0'!$D:$D,T_IS!D100,'1.0'!$J:$J),0)</f>
        <v>0</v>
      </c>
      <c r="R100" s="36">
        <f>ROUND(SUMIF('2.0'!$D:$D,T_IS!D100,'2.0'!$J:$J),0)</f>
        <v>0</v>
      </c>
      <c r="S100" s="36">
        <f>ROUND(SUMIF('3.0'!$D:$D,T_IS!D100,'3.0'!$H:$H),0)</f>
        <v>0</v>
      </c>
      <c r="T100" s="36">
        <f>ROUND(SUMIF('4.0'!$D:$D,T_IS!D100,'4.0'!$J:$J),0)</f>
        <v>0</v>
      </c>
      <c r="U100" s="36">
        <f>ROUND(SUMIF('5.0'!$D:$D,T_IS!D100,'5.0'!$J:$J),0)</f>
        <v>20593687255</v>
      </c>
      <c r="V100" s="36">
        <f>ROUND(SUMIF('6.0'!$D:$D,T_IS!D100,'6.0'!$J:$J),0)</f>
        <v>0</v>
      </c>
      <c r="W100" s="36">
        <f>ROUND(SUMIF('7.0'!$D:$D,T_IS!D100,'7.0'!$I:$I),0)</f>
        <v>0</v>
      </c>
      <c r="X100" s="36">
        <f>ROUND(SUMIF('8.0'!$D:$D,T_IS!F100,'8.0'!$H:$H),0)</f>
        <v>0</v>
      </c>
      <c r="Y100" s="38">
        <f t="shared" ref="Y100:Y108" si="70">SUM(Q100:X100)</f>
        <v>20593687255</v>
      </c>
      <c r="AA100" s="215">
        <f t="shared" ref="AA100:AA108" si="71">Y100+O100</f>
        <v>21824681843</v>
      </c>
      <c r="AC100" s="215">
        <f t="shared" si="60"/>
        <v>21824681843</v>
      </c>
      <c r="AD100" s="263"/>
      <c r="AE100" s="36"/>
    </row>
    <row r="101" spans="1:31" ht="18" customHeight="1">
      <c r="A101" s="36"/>
      <c r="D101" s="590" t="s">
        <v>365</v>
      </c>
      <c r="E101" s="164" t="s">
        <v>362</v>
      </c>
      <c r="F101" s="166">
        <v>701</v>
      </c>
      <c r="G101" s="164" t="s">
        <v>366</v>
      </c>
      <c r="H101" s="36">
        <v>25430480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201">
        <f t="shared" si="69"/>
        <v>25430480</v>
      </c>
      <c r="Q101" s="35">
        <f>ROUND(SUMIF('1.0'!$D:$D,T_IS!D101,'1.0'!$J:$J),0)</f>
        <v>0</v>
      </c>
      <c r="R101" s="36">
        <f>ROUND(SUMIF('2.0'!$D:$D,T_IS!D101,'2.0'!$J:$J),0)</f>
        <v>0</v>
      </c>
      <c r="S101" s="36">
        <f>ROUND(SUMIF('3.0'!$D:$D,T_IS!D101,'3.0'!$H:$H),0)</f>
        <v>0</v>
      </c>
      <c r="T101" s="36">
        <f>ROUND(SUMIF('4.0'!$D:$D,T_IS!D101,'4.0'!$J:$J),0)</f>
        <v>0</v>
      </c>
      <c r="U101" s="36">
        <f>ROUND(SUMIF('5.0'!$D:$D,T_IS!D101,'5.0'!$J:$J),0)</f>
        <v>0</v>
      </c>
      <c r="V101" s="36">
        <f>ROUND(SUMIF('6.0'!$D:$D,T_IS!D101,'6.0'!$J:$J),0)</f>
        <v>0</v>
      </c>
      <c r="W101" s="36">
        <f>ROUND(SUMIF('7.0'!$D:$D,T_IS!D101,'7.0'!$I:$I),0)</f>
        <v>0</v>
      </c>
      <c r="X101" s="36">
        <f>ROUND(SUMIF('8.0'!$D:$D,T_IS!F101,'8.0'!$H:$H),0)</f>
        <v>0</v>
      </c>
      <c r="Y101" s="38">
        <f t="shared" si="70"/>
        <v>0</v>
      </c>
      <c r="AA101" s="215">
        <f t="shared" si="71"/>
        <v>25430480</v>
      </c>
      <c r="AC101" s="215">
        <f t="shared" si="60"/>
        <v>25430480</v>
      </c>
      <c r="AD101" s="263"/>
      <c r="AE101" s="36"/>
    </row>
    <row r="102" spans="1:31" s="519" customFormat="1" ht="18" customHeight="1">
      <c r="A102" s="36"/>
      <c r="D102" s="609" t="s">
        <v>1641</v>
      </c>
      <c r="E102" s="519" t="s">
        <v>362</v>
      </c>
      <c r="F102" s="610">
        <v>705</v>
      </c>
      <c r="G102" s="519" t="s">
        <v>1642</v>
      </c>
      <c r="H102" s="36">
        <v>15979275</v>
      </c>
      <c r="I102" s="36">
        <v>0</v>
      </c>
      <c r="J102" s="36">
        <v>0</v>
      </c>
      <c r="K102" s="36">
        <v>0</v>
      </c>
      <c r="L102" s="36">
        <v>0</v>
      </c>
      <c r="M102" s="259"/>
      <c r="N102" s="259"/>
      <c r="O102" s="201">
        <f t="shared" si="69"/>
        <v>15979275</v>
      </c>
      <c r="Q102" s="35">
        <f>ROUND(SUMIF('1.0'!$D:$D,T_IS!D102,'1.0'!$J:$J),0)</f>
        <v>0</v>
      </c>
      <c r="R102" s="36">
        <f>ROUND(SUMIF('2.0'!$D:$D,T_IS!D102,'2.0'!$J:$J),0)</f>
        <v>0</v>
      </c>
      <c r="S102" s="36">
        <f>ROUND(SUMIF('3.0'!$D:$D,T_IS!D102,'3.0'!$H:$H),0)</f>
        <v>0</v>
      </c>
      <c r="T102" s="36">
        <f>ROUND(SUMIF('4.0'!$D:$D,T_IS!D102,'4.0'!$J:$J),0)</f>
        <v>0</v>
      </c>
      <c r="U102" s="36">
        <f>ROUND(SUMIF('5.0'!$D:$D,T_IS!D102,'5.0'!$J:$J),0)</f>
        <v>0</v>
      </c>
      <c r="V102" s="36">
        <f>ROUND(SUMIF('6.0'!$D:$D,T_IS!D102,'6.0'!$J:$J),0)</f>
        <v>0</v>
      </c>
      <c r="W102" s="36">
        <f>ROUND(SUMIF('7.0'!$D:$D,T_IS!D102,'7.0'!$I:$I),0)</f>
        <v>0</v>
      </c>
      <c r="X102" s="36">
        <f>ROUND(SUMIF('8.0'!$D:$D,T_IS!F102,'8.0'!$H:$H),0)</f>
        <v>0</v>
      </c>
      <c r="Y102" s="38">
        <f t="shared" si="70"/>
        <v>0</v>
      </c>
      <c r="AA102" s="215">
        <f t="shared" si="71"/>
        <v>15979275</v>
      </c>
      <c r="AC102" s="307"/>
      <c r="AD102" s="263"/>
      <c r="AE102" s="36"/>
    </row>
    <row r="103" spans="1:31" s="519" customFormat="1" ht="18" customHeight="1">
      <c r="A103" s="36"/>
      <c r="B103" s="519" t="s">
        <v>1628</v>
      </c>
      <c r="D103" s="609" t="s">
        <v>1813</v>
      </c>
      <c r="E103" s="519" t="s">
        <v>362</v>
      </c>
      <c r="F103" s="610">
        <v>702</v>
      </c>
      <c r="G103" s="519" t="s">
        <v>1815</v>
      </c>
      <c r="H103" s="36">
        <v>127467924</v>
      </c>
      <c r="I103" s="36">
        <v>0</v>
      </c>
      <c r="J103" s="36">
        <v>0</v>
      </c>
      <c r="K103" s="36">
        <v>0</v>
      </c>
      <c r="L103" s="36">
        <v>0</v>
      </c>
      <c r="M103" s="259"/>
      <c r="N103" s="259"/>
      <c r="O103" s="201">
        <f t="shared" si="69"/>
        <v>127467924</v>
      </c>
      <c r="Q103" s="35">
        <f>ROUND(SUMIF('1.0'!$D:$D,T_IS!D103,'1.0'!$J:$J),0)</f>
        <v>0</v>
      </c>
      <c r="R103" s="36">
        <f>ROUND(SUMIF('2.0'!$D:$D,T_IS!D103,'2.0'!$J:$J),0)</f>
        <v>0</v>
      </c>
      <c r="S103" s="36">
        <f>ROUND(SUMIF('3.0'!$D:$D,T_IS!D103,'3.0'!$H:$H),0)</f>
        <v>0</v>
      </c>
      <c r="T103" s="36">
        <f>ROUND(SUMIF('4.0'!$D:$D,T_IS!D103,'4.0'!$J:$J),0)</f>
        <v>0</v>
      </c>
      <c r="U103" s="36">
        <f>ROUND(SUMIF('5.0'!$D:$D,T_IS!D103,'5.0'!$J:$J),0)</f>
        <v>0</v>
      </c>
      <c r="V103" s="36">
        <f>ROUND(SUMIF('6.0'!$D:$D,T_IS!D103,'6.0'!$J:$J),0)</f>
        <v>0</v>
      </c>
      <c r="W103" s="36">
        <f>ROUND(SUMIF('7.0'!$D:$D,T_IS!D103,'7.0'!$I:$I),0)</f>
        <v>0</v>
      </c>
      <c r="X103" s="36">
        <f>ROUND(SUMIF('8.0'!$D:$D,T_IS!F103,'8.0'!$H:$H),0)</f>
        <v>0</v>
      </c>
      <c r="Y103" s="38">
        <f t="shared" si="70"/>
        <v>0</v>
      </c>
      <c r="AA103" s="215">
        <f t="shared" si="71"/>
        <v>127467924</v>
      </c>
      <c r="AC103" s="307"/>
      <c r="AD103" s="263"/>
      <c r="AE103" s="36"/>
    </row>
    <row r="104" spans="1:31" s="519" customFormat="1" ht="18" customHeight="1">
      <c r="A104" s="36"/>
      <c r="D104" s="609" t="s">
        <v>367</v>
      </c>
      <c r="E104" s="519" t="s">
        <v>362</v>
      </c>
      <c r="F104" s="610">
        <v>333</v>
      </c>
      <c r="G104" s="519" t="s">
        <v>368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259">
        <v>0</v>
      </c>
      <c r="N104" s="259"/>
      <c r="O104" s="201">
        <f t="shared" si="69"/>
        <v>0</v>
      </c>
      <c r="Q104" s="35">
        <f>ROUND(SUMIF('1.0'!$D:$D,T_IS!D104,'1.0'!$J:$J),0)</f>
        <v>0</v>
      </c>
      <c r="R104" s="36">
        <f>ROUND(SUMIF('2.0'!$D:$D,T_IS!D104,'2.0'!$J:$J),0)</f>
        <v>0</v>
      </c>
      <c r="S104" s="36">
        <f>ROUND(SUMIF('3.0'!$D:$D,T_IS!D104,'3.0'!$H:$H),0)</f>
        <v>0</v>
      </c>
      <c r="T104" s="36">
        <f>ROUND(SUMIF('4.0'!$D:$D,T_IS!D104,'4.0'!$J:$J),0)</f>
        <v>0</v>
      </c>
      <c r="U104" s="36">
        <f>ROUND(SUMIF('5.0'!$D:$D,T_IS!D104,'5.0'!$J:$J),0)</f>
        <v>0</v>
      </c>
      <c r="V104" s="36">
        <f>ROUND(SUMIF('6.0'!$D:$D,T_IS!D104,'6.0'!$J:$J),0)</f>
        <v>0</v>
      </c>
      <c r="W104" s="36">
        <f>ROUND(SUMIF('7.0'!$D:$D,T_IS!D104,'7.0'!$I:$I),0)</f>
        <v>0</v>
      </c>
      <c r="X104" s="36">
        <f>ROUND(SUMIF('8.0'!$D:$D,T_IS!F104,'8.0'!$H:$H),0)</f>
        <v>0</v>
      </c>
      <c r="Y104" s="38">
        <f t="shared" si="70"/>
        <v>0</v>
      </c>
      <c r="AA104" s="215">
        <f t="shared" si="71"/>
        <v>0</v>
      </c>
      <c r="AC104" s="307">
        <f t="shared" si="60"/>
        <v>0</v>
      </c>
      <c r="AD104" s="263"/>
      <c r="AE104" s="36"/>
    </row>
    <row r="105" spans="1:31" s="519" customFormat="1" ht="18" customHeight="1">
      <c r="A105" s="36"/>
      <c r="D105" s="609" t="s">
        <v>369</v>
      </c>
      <c r="E105" s="519" t="s">
        <v>362</v>
      </c>
      <c r="F105" s="610">
        <v>704</v>
      </c>
      <c r="G105" s="519" t="s">
        <v>370</v>
      </c>
      <c r="H105" s="36">
        <v>2113745</v>
      </c>
      <c r="I105" s="36">
        <v>0</v>
      </c>
      <c r="J105" s="36">
        <v>0</v>
      </c>
      <c r="K105" s="36">
        <v>31870098</v>
      </c>
      <c r="L105" s="36">
        <v>412265</v>
      </c>
      <c r="M105" s="259">
        <v>0</v>
      </c>
      <c r="N105" s="259">
        <v>9</v>
      </c>
      <c r="O105" s="201">
        <f t="shared" si="69"/>
        <v>34396117</v>
      </c>
      <c r="Q105" s="35">
        <f>ROUND(SUMIF('1.0'!$D:$D,T_IS!D105,'1.0'!$J:$J),0)</f>
        <v>0</v>
      </c>
      <c r="R105" s="36">
        <f>ROUND(SUMIF('2.0'!$D:$D,T_IS!D105,'2.0'!$J:$J),0)</f>
        <v>0</v>
      </c>
      <c r="S105" s="36">
        <f>ROUND(SUMIF('3.0'!$D:$D,T_IS!D105,'3.0'!$H:$H),0)</f>
        <v>0</v>
      </c>
      <c r="T105" s="36">
        <f>ROUND(SUMIF('4.0'!$D:$D,T_IS!D105,'4.0'!$J:$J),0)</f>
        <v>0</v>
      </c>
      <c r="U105" s="36">
        <f>ROUND(SUMIF('5.0'!$D:$D,T_IS!D105,'5.0'!$J:$J),0)</f>
        <v>0</v>
      </c>
      <c r="V105" s="36">
        <f>ROUND(SUMIF('6.0'!$D:$D,T_IS!D105,'6.0'!$J:$J),0)</f>
        <v>0</v>
      </c>
      <c r="W105" s="36">
        <f>ROUND(SUMIF('7.0'!$D:$D,T_IS!D105,'7.0'!$I:$I),0)</f>
        <v>0</v>
      </c>
      <c r="X105" s="36">
        <f>ROUND(SUMIF('8.0'!$D:$D,T_IS!F105,'8.0'!$H:$H),0)</f>
        <v>0</v>
      </c>
      <c r="Y105" s="38">
        <f t="shared" si="70"/>
        <v>0</v>
      </c>
      <c r="AA105" s="215">
        <f t="shared" si="71"/>
        <v>34396117</v>
      </c>
      <c r="AC105" s="307">
        <f t="shared" si="60"/>
        <v>34396117</v>
      </c>
      <c r="AD105" s="263"/>
      <c r="AE105" s="36"/>
    </row>
    <row r="106" spans="1:31" s="519" customFormat="1" ht="18" customHeight="1">
      <c r="A106" s="36"/>
      <c r="B106" s="519" t="s">
        <v>1628</v>
      </c>
      <c r="D106" s="609">
        <v>732100</v>
      </c>
      <c r="E106" s="519" t="s">
        <v>362</v>
      </c>
      <c r="F106" s="610">
        <v>708</v>
      </c>
      <c r="G106" s="519" t="s">
        <v>1646</v>
      </c>
      <c r="H106" s="36">
        <v>0</v>
      </c>
      <c r="I106" s="36">
        <v>0</v>
      </c>
      <c r="J106" s="36">
        <v>0</v>
      </c>
      <c r="K106" s="36">
        <v>0</v>
      </c>
      <c r="L106" s="36">
        <v>3851136</v>
      </c>
      <c r="M106" s="259"/>
      <c r="N106" s="259"/>
      <c r="O106" s="201">
        <f t="shared" si="69"/>
        <v>3851136</v>
      </c>
      <c r="Q106" s="35">
        <f>ROUND(SUMIF('1.0'!$D:$D,T_IS!D106,'1.0'!$J:$J),0)</f>
        <v>0</v>
      </c>
      <c r="R106" s="36">
        <f>ROUND(SUMIF('2.0'!$D:$D,T_IS!D106,'2.0'!$J:$J),0)</f>
        <v>0</v>
      </c>
      <c r="S106" s="36">
        <f>ROUND(SUMIF('3.0'!$D:$D,T_IS!D106,'3.0'!$H:$H),0)</f>
        <v>0</v>
      </c>
      <c r="T106" s="36">
        <f>ROUND(SUMIF('4.0'!$D:$D,T_IS!D106,'4.0'!$J:$J),0)</f>
        <v>0</v>
      </c>
      <c r="U106" s="36">
        <f>ROUND(SUMIF('5.0'!$D:$D,T_IS!D106,'5.0'!$J:$J),0)</f>
        <v>0</v>
      </c>
      <c r="V106" s="36">
        <f>ROUND(SUMIF('6.0'!$D:$D,T_IS!D106,'6.0'!$J:$J),0)</f>
        <v>0</v>
      </c>
      <c r="W106" s="36">
        <f>ROUND(SUMIF('7.0'!$D:$D,T_IS!D106,'7.0'!$I:$I),0)</f>
        <v>0</v>
      </c>
      <c r="X106" s="36">
        <f>ROUND(SUMIF('8.0'!$D:$D,T_IS!F106,'8.0'!$H:$H),0)</f>
        <v>0</v>
      </c>
      <c r="Y106" s="38">
        <f t="shared" si="70"/>
        <v>0</v>
      </c>
      <c r="AA106" s="215">
        <f t="shared" si="71"/>
        <v>3851136</v>
      </c>
      <c r="AC106" s="307"/>
      <c r="AD106" s="263"/>
      <c r="AE106" s="36"/>
    </row>
    <row r="107" spans="1:31" s="519" customFormat="1" ht="18" customHeight="1">
      <c r="A107" s="36"/>
      <c r="D107" s="609" t="s">
        <v>1906</v>
      </c>
      <c r="E107" s="519" t="s">
        <v>362</v>
      </c>
      <c r="F107" s="610">
        <v>703</v>
      </c>
      <c r="G107" s="519" t="s">
        <v>769</v>
      </c>
      <c r="H107" s="36">
        <v>0</v>
      </c>
      <c r="I107" s="36"/>
      <c r="J107" s="36"/>
      <c r="K107" s="36">
        <v>0</v>
      </c>
      <c r="L107" s="36">
        <v>0</v>
      </c>
      <c r="M107" s="259"/>
      <c r="N107" s="259"/>
      <c r="O107" s="201">
        <f t="shared" si="69"/>
        <v>0</v>
      </c>
      <c r="Q107" s="35">
        <f>ROUND(SUMIF('1.0'!$D:$D,T_IS!D107,'1.0'!$J:$J),0)</f>
        <v>0</v>
      </c>
      <c r="R107" s="36">
        <f>ROUND(SUMIF('2.0'!$D:$D,T_IS!D107,'2.0'!$J:$J),0)</f>
        <v>0</v>
      </c>
      <c r="S107" s="36">
        <f>ROUND(SUMIF('3.0'!$D:$D,T_IS!D107,'3.0'!$H:$H),0)</f>
        <v>0</v>
      </c>
      <c r="T107" s="36">
        <f>ROUND(SUMIF('4.0'!$D:$D,T_IS!D107,'4.0'!$J:$J),0)</f>
        <v>0</v>
      </c>
      <c r="U107" s="36">
        <f>ROUND(SUMIF('5.0'!$D:$D,T_IS!D107,'5.0'!$J:$J),0)</f>
        <v>0</v>
      </c>
      <c r="V107" s="36">
        <f>ROUND(SUMIF('6.0'!$D:$D,T_IS!D107,'6.0'!$J:$J),0)</f>
        <v>0</v>
      </c>
      <c r="W107" s="36">
        <f>ROUND(SUMIF('7.0'!$D:$D,T_IS!D107,'7.0'!$I:$I),0)</f>
        <v>0</v>
      </c>
      <c r="X107" s="36">
        <f>ROUND(SUMIF('8.0'!$D:$D,T_IS!F107,'8.0'!$H:$H),0)</f>
        <v>0</v>
      </c>
      <c r="Y107" s="38">
        <f t="shared" si="70"/>
        <v>0</v>
      </c>
      <c r="AA107" s="215">
        <f t="shared" si="71"/>
        <v>0</v>
      </c>
      <c r="AC107" s="307"/>
      <c r="AD107" s="263"/>
      <c r="AE107" s="36"/>
    </row>
    <row r="108" spans="1:31" ht="18" customHeight="1">
      <c r="A108" s="36"/>
      <c r="D108" s="591" t="s">
        <v>484</v>
      </c>
      <c r="E108" s="164" t="s">
        <v>362</v>
      </c>
      <c r="F108" s="166">
        <v>709</v>
      </c>
      <c r="G108" s="164" t="s">
        <v>483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201">
        <f t="shared" si="69"/>
        <v>0</v>
      </c>
      <c r="Q108" s="35">
        <f>ROUND(SUMIF('1.0'!$D:$D,T_IS!D108,'1.0'!$J:$J),0)</f>
        <v>0</v>
      </c>
      <c r="R108" s="36">
        <f>ROUND(SUMIF('2.0'!$D:$D,T_IS!D108,'2.0'!$J:$J),0)</f>
        <v>0</v>
      </c>
      <c r="S108" s="36">
        <f>ROUND(SUMIF('3.0'!$D:$D,T_IS!D108,'3.0'!$H:$H),0)</f>
        <v>0</v>
      </c>
      <c r="T108" s="36">
        <f>ROUND(SUMIF('4.0'!$D:$D,T_IS!D108,'4.0'!$J:$J),0)</f>
        <v>0</v>
      </c>
      <c r="U108" s="36">
        <f>ROUND(SUMIF('5.0'!$D:$D,T_IS!D108,'5.0'!$J:$J),0)</f>
        <v>0</v>
      </c>
      <c r="V108" s="36">
        <f>ROUND(SUMIF('6.0'!$D:$D,T_IS!D108,'6.0'!$J:$J),0)</f>
        <v>0</v>
      </c>
      <c r="W108" s="36">
        <f>ROUND(SUMIF('7.0'!$D:$D,T_IS!D108,'7.0'!$I:$I),0)</f>
        <v>0</v>
      </c>
      <c r="X108" s="36">
        <f>ROUND(SUMIF('8.0'!$D:$D,T_IS!F108,'8.0'!$H:$H),0)</f>
        <v>0</v>
      </c>
      <c r="Y108" s="38">
        <f t="shared" si="70"/>
        <v>0</v>
      </c>
      <c r="AA108" s="215">
        <f t="shared" si="71"/>
        <v>0</v>
      </c>
      <c r="AC108" s="215">
        <f t="shared" si="60"/>
        <v>0</v>
      </c>
      <c r="AD108" s="263"/>
      <c r="AE108" s="36"/>
    </row>
    <row r="109" spans="1:31" ht="18" customHeight="1">
      <c r="A109" s="36"/>
      <c r="D109" s="586"/>
      <c r="E109" s="587"/>
      <c r="F109" s="611"/>
      <c r="G109" s="587" t="s">
        <v>371</v>
      </c>
      <c r="H109" s="52">
        <f t="shared" ref="H109:O109" si="72">SUM(H110:H112)</f>
        <v>1199</v>
      </c>
      <c r="I109" s="52">
        <f t="shared" si="72"/>
        <v>0</v>
      </c>
      <c r="J109" s="52">
        <f t="shared" si="72"/>
        <v>0</v>
      </c>
      <c r="K109" s="52">
        <f t="shared" si="72"/>
        <v>0</v>
      </c>
      <c r="L109" s="52">
        <f t="shared" si="72"/>
        <v>0</v>
      </c>
      <c r="M109" s="52">
        <f t="shared" si="72"/>
        <v>0</v>
      </c>
      <c r="N109" s="52">
        <f t="shared" si="72"/>
        <v>0</v>
      </c>
      <c r="O109" s="589">
        <f t="shared" si="72"/>
        <v>1199</v>
      </c>
      <c r="Q109" s="612">
        <f t="shared" ref="Q109:Y109" si="73">SUM(Q110:Q112)</f>
        <v>0</v>
      </c>
      <c r="R109" s="52">
        <f t="shared" si="73"/>
        <v>-798643118</v>
      </c>
      <c r="S109" s="52">
        <f t="shared" si="73"/>
        <v>0</v>
      </c>
      <c r="T109" s="52">
        <f t="shared" si="73"/>
        <v>0</v>
      </c>
      <c r="U109" s="52">
        <f t="shared" si="73"/>
        <v>0</v>
      </c>
      <c r="V109" s="52">
        <f t="shared" si="73"/>
        <v>0</v>
      </c>
      <c r="W109" s="52">
        <f t="shared" si="73"/>
        <v>0</v>
      </c>
      <c r="X109" s="52">
        <f t="shared" si="73"/>
        <v>0</v>
      </c>
      <c r="Y109" s="613">
        <f t="shared" si="73"/>
        <v>-798643118</v>
      </c>
      <c r="AA109" s="614">
        <f>SUM(AA110:AA112)</f>
        <v>-798641919</v>
      </c>
      <c r="AC109" s="614">
        <f>SUM(AC110:AC112)</f>
        <v>-798641919</v>
      </c>
      <c r="AD109" s="263"/>
      <c r="AE109" s="36"/>
    </row>
    <row r="110" spans="1:31" ht="18" customHeight="1">
      <c r="A110" s="36"/>
      <c r="D110" s="590" t="s">
        <v>372</v>
      </c>
      <c r="E110" s="164" t="s">
        <v>1976</v>
      </c>
      <c r="G110" s="164" t="s">
        <v>373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/>
      <c r="O110" s="201">
        <f t="shared" ref="O110:O112" si="74">SUM(H110:N110)</f>
        <v>0</v>
      </c>
      <c r="Q110" s="35">
        <f>-ROUND(SUMIF('1.0'!$D:$D,T_IS!D110,'1.0'!$J:$J),0)</f>
        <v>0</v>
      </c>
      <c r="R110" s="36">
        <f>-ROUND(SUMIF('2.0'!$D:$D,T_IS!D110,'2.0'!$J:$J),0)</f>
        <v>0</v>
      </c>
      <c r="S110" s="36">
        <f>-ROUND(SUMIF('3.0'!$D:$D,T_IS!D110,'3.0'!$H:$H),0)</f>
        <v>0</v>
      </c>
      <c r="T110" s="36">
        <f>-ROUND(SUMIF('4.0'!$D:$D,T_IS!D110,'4.0'!$J:$J),0)</f>
        <v>0</v>
      </c>
      <c r="U110" s="36">
        <f>ROUND(SUMIF('5.0'!$D:$D,T_IS!D110,'5.0'!$J:$J),0)</f>
        <v>0</v>
      </c>
      <c r="V110" s="36">
        <f>ROUND(SUMIF('6.0'!$D:$D,T_IS!D110,'6.0'!$J:$J),0)</f>
        <v>0</v>
      </c>
      <c r="W110" s="36">
        <f>-ROUND(SUMIF('7.0'!$D:$D,T_IS!D110,'7.0'!$I:$I),0)</f>
        <v>0</v>
      </c>
      <c r="X110" s="36">
        <f>-ROUND(SUMIF('8.0'!$D:$D,T_IS!F110,'8.0'!$H:$H),0)</f>
        <v>0</v>
      </c>
      <c r="Y110" s="38">
        <f t="shared" ref="Y110:Y112" si="75">SUM(Q110:X110)</f>
        <v>0</v>
      </c>
      <c r="AA110" s="215">
        <f t="shared" ref="AA110:AA112" si="76">Y110+O110</f>
        <v>0</v>
      </c>
      <c r="AC110" s="215">
        <f t="shared" si="60"/>
        <v>0</v>
      </c>
      <c r="AD110" s="263"/>
      <c r="AE110" s="36"/>
    </row>
    <row r="111" spans="1:31" ht="18" customHeight="1">
      <c r="A111" s="36"/>
      <c r="D111" s="590" t="s">
        <v>374</v>
      </c>
      <c r="E111" s="164" t="s">
        <v>1976</v>
      </c>
      <c r="F111" s="166">
        <v>907</v>
      </c>
      <c r="G111" s="164" t="s">
        <v>375</v>
      </c>
      <c r="H111" s="36">
        <v>1199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/>
      <c r="O111" s="201">
        <f t="shared" si="74"/>
        <v>1199</v>
      </c>
      <c r="Q111" s="35">
        <f>-ROUND(SUMIF('1.0'!$D:$D,T_IS!D111,'1.0'!$J:$J),0)</f>
        <v>0</v>
      </c>
      <c r="R111" s="36">
        <f>-ROUND(SUMIF('2.0'!$D:$D,T_IS!D111,'2.0'!$J:$J),0)</f>
        <v>-798643118</v>
      </c>
      <c r="S111" s="36">
        <f>-ROUND(SUMIF('3.0'!$D:$D,T_IS!D111,'3.0'!$H:$H),0)</f>
        <v>0</v>
      </c>
      <c r="T111" s="36">
        <f>-ROUND(SUMIF('4.0'!$D:$D,T_IS!D111,'4.0'!$J:$J),0)</f>
        <v>0</v>
      </c>
      <c r="U111" s="36">
        <f>ROUND(SUMIF('5.0'!$D:$D,T_IS!D111,'5.0'!$J:$J),0)</f>
        <v>0</v>
      </c>
      <c r="V111" s="36">
        <f>ROUND(SUMIF('6.0'!$D:$D,T_IS!D111,'6.0'!$J:$J),0)</f>
        <v>0</v>
      </c>
      <c r="W111" s="36">
        <f>-ROUND(SUMIF('7.0'!$D:$D,T_IS!D111,'7.0'!$I:$I),0)</f>
        <v>0</v>
      </c>
      <c r="X111" s="36">
        <f>-ROUND(SUMIF('8.0'!$D:$D,T_IS!F111,'8.0'!$H:$H),0)</f>
        <v>0</v>
      </c>
      <c r="Y111" s="38">
        <f t="shared" si="75"/>
        <v>-798643118</v>
      </c>
      <c r="AA111" s="215">
        <f t="shared" si="76"/>
        <v>-798641919</v>
      </c>
      <c r="AC111" s="215">
        <f t="shared" si="60"/>
        <v>-798641919</v>
      </c>
      <c r="AD111" s="263"/>
      <c r="AE111" s="36"/>
    </row>
    <row r="112" spans="1:31" ht="18" customHeight="1">
      <c r="A112" s="36"/>
      <c r="D112" s="590" t="s">
        <v>376</v>
      </c>
      <c r="E112" s="164" t="s">
        <v>1976</v>
      </c>
      <c r="G112" s="164" t="s">
        <v>377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/>
      <c r="O112" s="201">
        <f t="shared" si="74"/>
        <v>0</v>
      </c>
      <c r="Q112" s="35">
        <f>-ROUND(SUMIF('1.0'!$D:$D,T_IS!D112,'1.0'!$J:$J),0)</f>
        <v>0</v>
      </c>
      <c r="R112" s="36">
        <f>-ROUND(SUMIF('2.0'!$D:$D,T_IS!D112,'2.0'!$J:$J),0)</f>
        <v>0</v>
      </c>
      <c r="S112" s="36">
        <f>-ROUND(SUMIF('3.0'!$D:$D,T_IS!D112,'3.0'!$H:$H),0)</f>
        <v>0</v>
      </c>
      <c r="T112" s="36">
        <f>-ROUND(SUMIF('4.0'!$D:$D,T_IS!D112,'4.0'!$J:$J),0)</f>
        <v>0</v>
      </c>
      <c r="U112" s="36">
        <f>ROUND(SUMIF('5.0'!$D:$D,T_IS!D112,'5.0'!$J:$J),0)</f>
        <v>0</v>
      </c>
      <c r="V112" s="36">
        <f>ROUND(SUMIF('6.0'!$D:$D,T_IS!D112,'6.0'!$J:$J),0)</f>
        <v>0</v>
      </c>
      <c r="W112" s="36">
        <f>-ROUND(SUMIF('7.0'!$D:$D,T_IS!D112,'7.0'!$I:$I),0)</f>
        <v>0</v>
      </c>
      <c r="X112" s="36">
        <f>-ROUND(SUMIF('8.0'!$D:$D,T_IS!F112,'8.0'!$H:$H),0)</f>
        <v>0</v>
      </c>
      <c r="Y112" s="38">
        <f t="shared" si="75"/>
        <v>0</v>
      </c>
      <c r="AA112" s="215">
        <f t="shared" si="76"/>
        <v>0</v>
      </c>
      <c r="AC112" s="215">
        <f>SUM(AA112,Q112)</f>
        <v>0</v>
      </c>
      <c r="AD112" s="263"/>
      <c r="AE112" s="36"/>
    </row>
    <row r="113" spans="1:31" ht="18" customHeight="1">
      <c r="A113" s="36"/>
      <c r="D113" s="586"/>
      <c r="E113" s="587"/>
      <c r="F113" s="611"/>
      <c r="G113" s="587" t="s">
        <v>378</v>
      </c>
      <c r="H113" s="52">
        <f t="shared" ref="H113:O113" si="77">SUM(H114:H115)</f>
        <v>25472597960</v>
      </c>
      <c r="I113" s="52">
        <f t="shared" si="77"/>
        <v>0</v>
      </c>
      <c r="J113" s="52">
        <f t="shared" si="77"/>
        <v>0</v>
      </c>
      <c r="K113" s="52">
        <f t="shared" si="77"/>
        <v>0</v>
      </c>
      <c r="L113" s="52">
        <f t="shared" si="77"/>
        <v>0</v>
      </c>
      <c r="M113" s="52">
        <f t="shared" si="77"/>
        <v>0</v>
      </c>
      <c r="N113" s="52">
        <f t="shared" si="77"/>
        <v>0</v>
      </c>
      <c r="O113" s="589">
        <f t="shared" si="77"/>
        <v>25472597960</v>
      </c>
      <c r="Q113" s="612">
        <f>SUM(Q114:Q115)</f>
        <v>-25472597960</v>
      </c>
      <c r="R113" s="52">
        <f>SUM(R114:R115)</f>
        <v>0</v>
      </c>
      <c r="S113" s="52">
        <f t="shared" ref="S113:AC113" si="78">SUM(S114:S114)</f>
        <v>0</v>
      </c>
      <c r="T113" s="52">
        <f t="shared" si="78"/>
        <v>0</v>
      </c>
      <c r="U113" s="52">
        <f t="shared" si="78"/>
        <v>0</v>
      </c>
      <c r="V113" s="52">
        <f t="shared" si="78"/>
        <v>0</v>
      </c>
      <c r="W113" s="52">
        <f t="shared" si="78"/>
        <v>0</v>
      </c>
      <c r="X113" s="52">
        <f t="shared" si="78"/>
        <v>0</v>
      </c>
      <c r="Y113" s="613">
        <f>SUM(Y114:Y115)</f>
        <v>-25472597960</v>
      </c>
      <c r="AA113" s="614">
        <f>SUM(AA114:AA115)</f>
        <v>0</v>
      </c>
      <c r="AC113" s="614">
        <f t="shared" si="78"/>
        <v>-25472597960</v>
      </c>
      <c r="AD113" s="263"/>
      <c r="AE113" s="36"/>
    </row>
    <row r="114" spans="1:31" ht="18" customHeight="1">
      <c r="A114" s="36"/>
      <c r="D114" s="590" t="s">
        <v>379</v>
      </c>
      <c r="E114" s="164" t="s">
        <v>1976</v>
      </c>
      <c r="G114" s="164" t="s">
        <v>378</v>
      </c>
      <c r="H114" s="36">
        <v>25472597960</v>
      </c>
      <c r="I114" s="36">
        <v>0</v>
      </c>
      <c r="J114" s="36">
        <v>0</v>
      </c>
      <c r="K114" s="36">
        <v>0</v>
      </c>
      <c r="L114" s="36">
        <v>0</v>
      </c>
      <c r="M114" s="36">
        <v>0</v>
      </c>
      <c r="N114" s="36"/>
      <c r="O114" s="201">
        <f t="shared" ref="O114:O115" si="79">SUM(H114:N114)</f>
        <v>25472597960</v>
      </c>
      <c r="Q114" s="35">
        <f>ROUND(SUMIF('1.0'!$D:$D,T_IS!D114,'1.0'!$J:$J),0)</f>
        <v>-25472597960</v>
      </c>
      <c r="R114" s="36">
        <f>ROUND(SUMIF('2.0'!$D:$D,T_IS!D114,'2.0'!$J:$J),0)</f>
        <v>0</v>
      </c>
      <c r="S114" s="36">
        <f>ROUND(SUMIF('3.0'!$D:$D,T_IS!D114,'3.0'!$H:$H),0)</f>
        <v>0</v>
      </c>
      <c r="T114" s="36">
        <f>ROUND(SUMIF('4.0'!$D:$D,T_IS!D114,'4.0'!$J:$J),0)</f>
        <v>0</v>
      </c>
      <c r="U114" s="36">
        <f>ROUND(SUMIF('5.0'!$D:$D,T_IS!D114,'5.0'!$J:$J),0)</f>
        <v>0</v>
      </c>
      <c r="V114" s="36">
        <f>ROUND(SUMIF('6.0'!$D:$D,T_IS!D114,'6.0'!$J:$J),0)</f>
        <v>0</v>
      </c>
      <c r="W114" s="36">
        <f>ROUND(SUMIF('7.0'!$D:$D,T_IS!D114,'7.0'!$I:$I),0)</f>
        <v>0</v>
      </c>
      <c r="X114" s="36">
        <f>ROUND(SUMIF('8.0'!$D:$D,T_IS!F114,'8.0'!$H:$H),0)</f>
        <v>0</v>
      </c>
      <c r="Y114" s="38">
        <f t="shared" ref="Y114:Y115" si="80">SUM(Q114:X114)</f>
        <v>-25472597960</v>
      </c>
      <c r="AA114" s="215">
        <f t="shared" ref="AA114:AA115" si="81">Y114+O114</f>
        <v>0</v>
      </c>
      <c r="AC114" s="215">
        <f t="shared" si="60"/>
        <v>-25472597960</v>
      </c>
      <c r="AD114" s="263" t="b">
        <f>AA114=0</f>
        <v>1</v>
      </c>
      <c r="AE114" s="36"/>
    </row>
    <row r="115" spans="1:31" ht="18" customHeight="1">
      <c r="A115" s="36"/>
      <c r="D115" s="590">
        <v>714000</v>
      </c>
      <c r="E115" s="164" t="s">
        <v>1976</v>
      </c>
      <c r="G115" s="164" t="s">
        <v>1841</v>
      </c>
      <c r="H115" s="36">
        <v>0</v>
      </c>
      <c r="I115" s="36">
        <v>0</v>
      </c>
      <c r="J115" s="36"/>
      <c r="K115" s="36">
        <v>0</v>
      </c>
      <c r="L115" s="36">
        <v>0</v>
      </c>
      <c r="M115" s="36"/>
      <c r="N115" s="36"/>
      <c r="O115" s="201">
        <f t="shared" si="79"/>
        <v>0</v>
      </c>
      <c r="Q115" s="35">
        <f>ROUND(SUMIF('1.0'!$D:$D,T_IS!D115,'1.0'!$J:$J),0)</f>
        <v>0</v>
      </c>
      <c r="R115" s="36">
        <f>ROUND(SUMIF('2.0'!$D:$D,T_IS!D115,'2.0'!$J:$J),0)</f>
        <v>0</v>
      </c>
      <c r="S115" s="36">
        <f>ROUND(SUMIF('3.0'!$D:$D,T_IS!D115,'3.0'!$H:$H),0)</f>
        <v>0</v>
      </c>
      <c r="T115" s="36">
        <f>ROUND(SUMIF('4.0'!$D:$D,T_IS!D115,'4.0'!$J:$J),0)</f>
        <v>0</v>
      </c>
      <c r="U115" s="36">
        <f>ROUND(SUMIF('5.0'!$D:$D,T_IS!D115,'5.0'!$J:$J),0)</f>
        <v>0</v>
      </c>
      <c r="V115" s="36">
        <f>ROUND(SUMIF('6.0'!$D:$D,T_IS!D115,'6.0'!$J:$J),0)</f>
        <v>0</v>
      </c>
      <c r="W115" s="36">
        <f>ROUND(SUMIF('7.0'!$D:$D,T_IS!D115,'7.0'!$I:$I),0)</f>
        <v>0</v>
      </c>
      <c r="X115" s="36">
        <f>ROUND(SUMIF('8.0'!$D:$D,T_IS!F115,'8.0'!$H:$H),0)</f>
        <v>0</v>
      </c>
      <c r="Y115" s="38">
        <f t="shared" si="80"/>
        <v>0</v>
      </c>
      <c r="AA115" s="215">
        <f t="shared" si="81"/>
        <v>0</v>
      </c>
      <c r="AC115" s="215"/>
      <c r="AD115" s="263"/>
      <c r="AE115" s="36"/>
    </row>
    <row r="116" spans="1:31" ht="18" customHeight="1">
      <c r="A116" s="36"/>
      <c r="D116" s="583"/>
      <c r="E116" s="584"/>
      <c r="F116" s="600"/>
      <c r="G116" s="584" t="s">
        <v>380</v>
      </c>
      <c r="H116" s="49">
        <f>H71+H72-H82+H94-H99+H109+H115-H114</f>
        <v>-48581156076</v>
      </c>
      <c r="I116" s="49">
        <f t="shared" ref="I116:O116" si="82">I71+I72-I82+I94-I99+I109+I115-I114</f>
        <v>-255705283</v>
      </c>
      <c r="J116" s="49">
        <f t="shared" si="82"/>
        <v>3468906194</v>
      </c>
      <c r="K116" s="49">
        <f t="shared" si="82"/>
        <v>-1421671524</v>
      </c>
      <c r="L116" s="49">
        <f t="shared" si="82"/>
        <v>820615045</v>
      </c>
      <c r="M116" s="49">
        <f t="shared" si="82"/>
        <v>0</v>
      </c>
      <c r="N116" s="49">
        <f t="shared" si="82"/>
        <v>-4508613933</v>
      </c>
      <c r="O116" s="340">
        <f t="shared" si="82"/>
        <v>-50477625577</v>
      </c>
      <c r="Q116" s="606">
        <f t="shared" ref="Q116:Y116" si="83">Q71+Q72-Q82+Q94-Q99+Q109-Q113</f>
        <v>25472597960</v>
      </c>
      <c r="R116" s="49">
        <f t="shared" si="83"/>
        <v>-3389214180</v>
      </c>
      <c r="S116" s="49">
        <f t="shared" si="83"/>
        <v>0</v>
      </c>
      <c r="T116" s="49">
        <f t="shared" si="83"/>
        <v>1737869158</v>
      </c>
      <c r="U116" s="49">
        <f t="shared" si="83"/>
        <v>-21278911433</v>
      </c>
      <c r="V116" s="49">
        <f t="shared" si="83"/>
        <v>0</v>
      </c>
      <c r="W116" s="49">
        <f t="shared" si="83"/>
        <v>0</v>
      </c>
      <c r="X116" s="49">
        <f t="shared" si="83"/>
        <v>0</v>
      </c>
      <c r="Y116" s="607">
        <f t="shared" si="83"/>
        <v>2542341505</v>
      </c>
      <c r="AA116" s="608">
        <f>AA71+AA72-AA82+AA94-AA99+AA109-AA113</f>
        <v>-47935284072</v>
      </c>
      <c r="AC116" s="608">
        <f>AC71+AC72-AC82+AC94-AC99+AC109-AC113</f>
        <v>-56675387371</v>
      </c>
      <c r="AD116" s="263"/>
      <c r="AE116" s="36"/>
    </row>
    <row r="117" spans="1:31" ht="18" customHeight="1">
      <c r="A117" s="36"/>
      <c r="D117" s="586"/>
      <c r="E117" s="587"/>
      <c r="F117" s="611"/>
      <c r="G117" s="587" t="s">
        <v>381</v>
      </c>
      <c r="H117" s="52">
        <f t="shared" ref="H117:AC117" si="84">H118</f>
        <v>0</v>
      </c>
      <c r="I117" s="52">
        <f t="shared" si="84"/>
        <v>0</v>
      </c>
      <c r="J117" s="52">
        <f t="shared" si="84"/>
        <v>926480</v>
      </c>
      <c r="K117" s="52">
        <f t="shared" si="84"/>
        <v>3293491</v>
      </c>
      <c r="L117" s="52">
        <f t="shared" si="84"/>
        <v>304544626</v>
      </c>
      <c r="M117" s="52">
        <f t="shared" si="84"/>
        <v>0</v>
      </c>
      <c r="N117" s="52">
        <f t="shared" si="84"/>
        <v>0</v>
      </c>
      <c r="O117" s="589">
        <f t="shared" si="84"/>
        <v>308764597</v>
      </c>
      <c r="Q117" s="612">
        <f t="shared" si="84"/>
        <v>0</v>
      </c>
      <c r="R117" s="52">
        <f t="shared" si="84"/>
        <v>0</v>
      </c>
      <c r="S117" s="52">
        <f t="shared" si="84"/>
        <v>0</v>
      </c>
      <c r="T117" s="52">
        <f t="shared" si="84"/>
        <v>0</v>
      </c>
      <c r="U117" s="52">
        <f t="shared" si="84"/>
        <v>-238526523</v>
      </c>
      <c r="V117" s="52">
        <f t="shared" si="84"/>
        <v>0</v>
      </c>
      <c r="W117" s="52">
        <f t="shared" si="84"/>
        <v>0</v>
      </c>
      <c r="X117" s="52">
        <f t="shared" si="84"/>
        <v>0</v>
      </c>
      <c r="Y117" s="613">
        <f t="shared" si="84"/>
        <v>-238526523</v>
      </c>
      <c r="AA117" s="614">
        <f t="shared" si="84"/>
        <v>70238074</v>
      </c>
      <c r="AC117" s="614">
        <f t="shared" si="84"/>
        <v>70238074</v>
      </c>
      <c r="AD117" s="263"/>
      <c r="AE117" s="36"/>
    </row>
    <row r="118" spans="1:31" ht="18" customHeight="1">
      <c r="A118" s="36"/>
      <c r="D118" s="590" t="s">
        <v>382</v>
      </c>
      <c r="E118" s="164" t="s">
        <v>381</v>
      </c>
      <c r="F118" s="166">
        <v>801</v>
      </c>
      <c r="G118" s="164" t="s">
        <v>381</v>
      </c>
      <c r="H118" s="36">
        <v>0</v>
      </c>
      <c r="I118" s="36">
        <v>0</v>
      </c>
      <c r="J118" s="36">
        <v>926480</v>
      </c>
      <c r="K118" s="36">
        <v>3293491</v>
      </c>
      <c r="L118" s="36">
        <v>304544626</v>
      </c>
      <c r="M118" s="36"/>
      <c r="N118" s="36">
        <v>0</v>
      </c>
      <c r="O118" s="201">
        <f t="shared" ref="O118" si="85">SUM(H118:N118)</f>
        <v>308764597</v>
      </c>
      <c r="Q118" s="35">
        <f>ROUND(SUMIF('1.0'!$D:$D,T_IS!D118,'1.0'!$J:$J),0)</f>
        <v>0</v>
      </c>
      <c r="R118" s="36">
        <f>ROUND(SUMIF('2.0'!$D:$D,T_IS!D118,'2.0'!$J:$J),0)</f>
        <v>0</v>
      </c>
      <c r="S118" s="36">
        <f>ROUND(SUMIF('3.0'!$D:$D,T_IS!D118,'3.0'!$H:$H),0)</f>
        <v>0</v>
      </c>
      <c r="T118" s="36">
        <f>ROUND(SUMIF('4.0'!$D:$D,T_IS!D118,'4.0'!$J:$J),0)</f>
        <v>0</v>
      </c>
      <c r="U118" s="36">
        <f>ROUND(SUMIF('5.0'!$D:$D,T_IS!D118,'5.0'!$J:$J),0)</f>
        <v>-238526523</v>
      </c>
      <c r="V118" s="36">
        <f>ROUND(SUMIF('6.0'!$D:$D,T_IS!D118,'6.0'!$J:$J),0)</f>
        <v>0</v>
      </c>
      <c r="W118" s="36">
        <f>ROUND(SUMIF('7.0'!$D:$D,T_IS!D118,'7.0'!$I:$I),0)</f>
        <v>0</v>
      </c>
      <c r="X118" s="36">
        <f>ROUND(SUMIF('8.0'!$D:$D,T_IS!F118,'8.0'!$H:$H),0)</f>
        <v>0</v>
      </c>
      <c r="Y118" s="38">
        <f t="shared" ref="Y118" si="86">SUM(Q118:X118)</f>
        <v>-238526523</v>
      </c>
      <c r="AA118" s="215">
        <f t="shared" ref="AA118" si="87">Y118+O118</f>
        <v>70238074</v>
      </c>
      <c r="AC118" s="215">
        <f t="shared" ref="AC118" si="88">SUM(AA118,Q118)</f>
        <v>70238074</v>
      </c>
      <c r="AD118" s="263"/>
      <c r="AE118" s="36"/>
    </row>
    <row r="119" spans="1:31" ht="18" customHeight="1">
      <c r="A119" s="36"/>
      <c r="D119" s="583"/>
      <c r="E119" s="584"/>
      <c r="F119" s="600"/>
      <c r="G119" s="584" t="s">
        <v>383</v>
      </c>
      <c r="H119" s="49">
        <f>H116-H117</f>
        <v>-48581156076</v>
      </c>
      <c r="I119" s="49">
        <f t="shared" ref="I119:N119" si="89">I116-I117</f>
        <v>-255705283</v>
      </c>
      <c r="J119" s="49">
        <f t="shared" si="89"/>
        <v>3467979714</v>
      </c>
      <c r="K119" s="49">
        <f t="shared" si="89"/>
        <v>-1424965015</v>
      </c>
      <c r="L119" s="49">
        <f t="shared" si="89"/>
        <v>516070419</v>
      </c>
      <c r="M119" s="49">
        <f t="shared" si="89"/>
        <v>0</v>
      </c>
      <c r="N119" s="49">
        <f t="shared" si="89"/>
        <v>-4508613933</v>
      </c>
      <c r="O119" s="340">
        <f t="shared" ref="O119:Q119" si="90">O116-O117</f>
        <v>-50786390174</v>
      </c>
      <c r="Q119" s="606">
        <f t="shared" si="90"/>
        <v>25472597960</v>
      </c>
      <c r="R119" s="49">
        <f t="shared" ref="R119:U119" si="91">R116-R117</f>
        <v>-3389214180</v>
      </c>
      <c r="S119" s="49">
        <f t="shared" si="91"/>
        <v>0</v>
      </c>
      <c r="T119" s="49">
        <f t="shared" si="91"/>
        <v>1737869158</v>
      </c>
      <c r="U119" s="49">
        <f t="shared" si="91"/>
        <v>-21040384910</v>
      </c>
      <c r="V119" s="49">
        <f t="shared" ref="V119:Y119" si="92">V116-V117</f>
        <v>0</v>
      </c>
      <c r="W119" s="49">
        <f t="shared" si="92"/>
        <v>0</v>
      </c>
      <c r="X119" s="49">
        <f t="shared" si="92"/>
        <v>0</v>
      </c>
      <c r="Y119" s="607">
        <f t="shared" si="92"/>
        <v>2780868028</v>
      </c>
      <c r="AA119" s="608">
        <f t="shared" ref="AA119:AC119" si="93">AA116-AA117</f>
        <v>-48005522146</v>
      </c>
      <c r="AC119" s="608">
        <f t="shared" si="93"/>
        <v>-56745625445</v>
      </c>
      <c r="AD119" s="263"/>
      <c r="AE119" s="36"/>
    </row>
    <row r="120" spans="1:31" ht="18" customHeight="1">
      <c r="A120" s="36"/>
      <c r="D120" s="590" t="s">
        <v>384</v>
      </c>
      <c r="E120" s="164" t="s">
        <v>11</v>
      </c>
      <c r="G120" s="164" t="s">
        <v>11</v>
      </c>
      <c r="H120" s="36">
        <v>-48581156076</v>
      </c>
      <c r="I120" s="36">
        <f>+I119</f>
        <v>-255705283</v>
      </c>
      <c r="J120" s="36">
        <f>+J119</f>
        <v>3467979714</v>
      </c>
      <c r="K120" s="36">
        <v>-1424965015</v>
      </c>
      <c r="L120" s="36">
        <v>516070419</v>
      </c>
      <c r="M120" s="36">
        <f>M119</f>
        <v>0</v>
      </c>
      <c r="N120" s="36">
        <f t="shared" ref="N120" si="94">N119</f>
        <v>-4508613933</v>
      </c>
      <c r="O120" s="201">
        <f t="shared" ref="O120" si="95">SUM(H120:N120)</f>
        <v>-50786390174</v>
      </c>
      <c r="Q120" s="35">
        <f t="shared" ref="Q120:X120" si="96">Q119</f>
        <v>25472597960</v>
      </c>
      <c r="R120" s="36">
        <f t="shared" si="96"/>
        <v>-3389214180</v>
      </c>
      <c r="S120" s="36">
        <f>S119</f>
        <v>0</v>
      </c>
      <c r="T120" s="36">
        <f t="shared" si="96"/>
        <v>1737869158</v>
      </c>
      <c r="U120" s="36">
        <f t="shared" si="96"/>
        <v>-21040384910</v>
      </c>
      <c r="V120" s="36">
        <f t="shared" si="96"/>
        <v>0</v>
      </c>
      <c r="W120" s="36">
        <f t="shared" si="96"/>
        <v>0</v>
      </c>
      <c r="X120" s="36">
        <f t="shared" si="96"/>
        <v>0</v>
      </c>
      <c r="Y120" s="38">
        <f>SUM(Q120:X120)</f>
        <v>2780868028</v>
      </c>
      <c r="AA120" s="215">
        <f>Y120+O120</f>
        <v>-48005522146</v>
      </c>
      <c r="AC120" s="215">
        <f>AC119</f>
        <v>-56745625445</v>
      </c>
      <c r="AD120" s="263" t="b">
        <f>AA120=T_BS!AA224</f>
        <v>1</v>
      </c>
      <c r="AE120" s="36"/>
    </row>
    <row r="121" spans="1:31" ht="18" customHeight="1" thickBot="1">
      <c r="A121" s="36"/>
      <c r="D121" s="615" t="s">
        <v>385</v>
      </c>
      <c r="E121" s="526" t="s">
        <v>211</v>
      </c>
      <c r="F121" s="594"/>
      <c r="G121" s="526" t="s">
        <v>211</v>
      </c>
      <c r="H121" s="345">
        <v>0</v>
      </c>
      <c r="I121" s="345">
        <v>0</v>
      </c>
      <c r="J121" s="345">
        <v>0</v>
      </c>
      <c r="K121" s="345">
        <v>0</v>
      </c>
      <c r="L121" s="345">
        <v>0</v>
      </c>
      <c r="M121" s="345"/>
      <c r="N121" s="345">
        <f t="shared" ref="N121" si="97">N119-N120</f>
        <v>0</v>
      </c>
      <c r="O121" s="208">
        <f t="shared" ref="O121" si="98">SUM(H121:N121)</f>
        <v>0</v>
      </c>
      <c r="Q121" s="348">
        <f t="shared" ref="Q121" si="99">Q119-Q120</f>
        <v>0</v>
      </c>
      <c r="R121" s="217">
        <f t="shared" ref="R121" si="100">R119-R120</f>
        <v>0</v>
      </c>
      <c r="S121" s="217">
        <f t="shared" ref="S121" si="101">S119-S120</f>
        <v>0</v>
      </c>
      <c r="T121" s="217">
        <f t="shared" ref="T121" si="102">T119-T120</f>
        <v>0</v>
      </c>
      <c r="U121" s="217">
        <f t="shared" ref="U121" si="103">U119-U120</f>
        <v>0</v>
      </c>
      <c r="V121" s="217">
        <f t="shared" ref="V121" si="104">V119-V120</f>
        <v>0</v>
      </c>
      <c r="W121" s="217">
        <f t="shared" ref="W121" si="105">W119-W120</f>
        <v>0</v>
      </c>
      <c r="X121" s="217">
        <f t="shared" ref="X121" si="106">X119-X120</f>
        <v>0</v>
      </c>
      <c r="Y121" s="218">
        <f t="shared" ref="Y121" si="107">SUM(Q121:X121)</f>
        <v>0</v>
      </c>
      <c r="AA121" s="616">
        <f t="shared" ref="AA121:AC121" si="108">AA119-AA120</f>
        <v>0</v>
      </c>
      <c r="AC121" s="616">
        <f t="shared" si="108"/>
        <v>0</v>
      </c>
      <c r="AD121" s="263"/>
      <c r="AE121" s="36"/>
    </row>
    <row r="122" spans="1:31" s="471" customFormat="1" ht="18" customHeight="1">
      <c r="F122" s="595"/>
      <c r="H122" s="263" t="b">
        <f>H119-T_BS!H224=0</f>
        <v>1</v>
      </c>
      <c r="I122" s="471" t="b">
        <f>I119=T_BS!I224</f>
        <v>1</v>
      </c>
      <c r="K122" s="263"/>
      <c r="L122" s="263" t="b">
        <f>L119=T_BS!L224</f>
        <v>1</v>
      </c>
      <c r="M122" s="164"/>
      <c r="O122" s="263"/>
      <c r="Q122" s="263">
        <f>Q120-T_BS!Q224</f>
        <v>0</v>
      </c>
      <c r="R122" s="263"/>
      <c r="S122" s="263">
        <f>S120-T_BS!S224</f>
        <v>0</v>
      </c>
      <c r="T122" s="263">
        <f>T120-T_BS!T224</f>
        <v>0</v>
      </c>
      <c r="U122" s="263">
        <f>U120-T_BS!U224</f>
        <v>0</v>
      </c>
      <c r="V122" s="263">
        <f>V120-T_BS!V224</f>
        <v>0</v>
      </c>
      <c r="W122" s="263">
        <f>W120-T_BS!W224</f>
        <v>0</v>
      </c>
      <c r="X122" s="263"/>
      <c r="Y122" s="263"/>
      <c r="AA122" s="263"/>
      <c r="AD122" s="263"/>
    </row>
    <row r="123" spans="1:31" ht="18" customHeight="1">
      <c r="O123" s="617"/>
      <c r="Q123" s="36"/>
      <c r="R123" s="36"/>
      <c r="U123" s="37"/>
      <c r="Y123" s="36"/>
      <c r="AA123" s="36"/>
    </row>
    <row r="124" spans="1:31" ht="18" customHeight="1">
      <c r="H124" s="36"/>
      <c r="O124" s="36"/>
      <c r="AA124" s="36"/>
    </row>
    <row r="126" spans="1:31" ht="18" customHeight="1">
      <c r="H126" s="618"/>
    </row>
    <row r="127" spans="1:31" ht="18" customHeight="1">
      <c r="H127" s="36"/>
      <c r="O127" s="36"/>
    </row>
    <row r="128" spans="1:31" ht="18" customHeight="1">
      <c r="O128" s="36"/>
    </row>
  </sheetData>
  <autoFilter ref="D5:AA121" xr:uid="{00000000-0009-0000-0000-000004000000}"/>
  <phoneticPr fontId="1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D2:M29"/>
  <sheetViews>
    <sheetView zoomScale="90" zoomScaleNormal="90" workbookViewId="0">
      <pane xSplit="7" ySplit="5" topLeftCell="H6" activePane="bottomRight" state="frozen"/>
      <selection sqref="A1:XFD1048576"/>
      <selection pane="topRight" sqref="A1:XFD1048576"/>
      <selection pane="bottomLeft" sqref="A1:XFD1048576"/>
      <selection pane="bottomRight" activeCell="I18" sqref="I18"/>
    </sheetView>
  </sheetViews>
  <sheetFormatPr defaultColWidth="8.75" defaultRowHeight="18" customHeight="1"/>
  <cols>
    <col min="1" max="3" width="2.375" style="164" customWidth="1"/>
    <col min="4" max="23" width="20.375" style="164" customWidth="1"/>
    <col min="24" max="16384" width="8.75" style="164"/>
  </cols>
  <sheetData>
    <row r="2" spans="4:13" ht="18" customHeight="1">
      <c r="H2" s="36"/>
      <c r="I2" s="36"/>
    </row>
    <row r="4" spans="4:13" ht="18" customHeight="1" thickBot="1">
      <c r="H4" s="163" t="b">
        <f>H6='CE(공)'!K16</f>
        <v>1</v>
      </c>
      <c r="I4" s="163" t="b">
        <f>I6=T_BS!AA203</f>
        <v>1</v>
      </c>
    </row>
    <row r="5" spans="4:13" ht="18" customHeight="1">
      <c r="D5" s="493" t="s">
        <v>16</v>
      </c>
      <c r="E5" s="494" t="s">
        <v>17</v>
      </c>
      <c r="F5" s="494" t="s">
        <v>18</v>
      </c>
      <c r="G5" s="494" t="s">
        <v>19</v>
      </c>
      <c r="H5" s="494" t="s">
        <v>1713</v>
      </c>
      <c r="I5" s="494" t="s">
        <v>1910</v>
      </c>
      <c r="J5" s="494" t="s">
        <v>1729</v>
      </c>
      <c r="K5" s="494" t="s">
        <v>1513</v>
      </c>
      <c r="L5" s="494" t="s">
        <v>1514</v>
      </c>
      <c r="M5" s="578" t="s">
        <v>1734</v>
      </c>
    </row>
    <row r="6" spans="4:13" ht="18" customHeight="1">
      <c r="D6" s="579"/>
      <c r="E6" s="580"/>
      <c r="F6" s="581"/>
      <c r="G6" s="580" t="s">
        <v>14</v>
      </c>
      <c r="H6" s="46">
        <f>SUM(H7,H28)</f>
        <v>159858811329</v>
      </c>
      <c r="I6" s="46">
        <f>SUM(I7,I28)</f>
        <v>117917039839</v>
      </c>
      <c r="J6" s="46">
        <f>SUM(J7,J28)</f>
        <v>-41941771490</v>
      </c>
      <c r="K6" s="46"/>
      <c r="L6" s="46"/>
      <c r="M6" s="582"/>
    </row>
    <row r="7" spans="4:13" ht="18" customHeight="1">
      <c r="D7" s="583"/>
      <c r="E7" s="584"/>
      <c r="F7" s="585"/>
      <c r="G7" s="584" t="s">
        <v>11</v>
      </c>
      <c r="H7" s="49">
        <f>SUM(H8,H10,H14,H24)</f>
        <v>159858811329</v>
      </c>
      <c r="I7" s="49">
        <f>SUM(I8,I10,I14,I24)</f>
        <v>117917039839</v>
      </c>
      <c r="J7" s="49">
        <f>SUM(J8,J10,J14,J24)</f>
        <v>-41941771490</v>
      </c>
      <c r="K7" s="49"/>
      <c r="L7" s="49"/>
      <c r="M7" s="340"/>
    </row>
    <row r="8" spans="4:13" ht="18" customHeight="1">
      <c r="D8" s="586"/>
      <c r="E8" s="587"/>
      <c r="F8" s="588"/>
      <c r="G8" s="587" t="s">
        <v>10</v>
      </c>
      <c r="H8" s="52">
        <f t="shared" ref="H8:J8" si="0">H9</f>
        <v>27779139500</v>
      </c>
      <c r="I8" s="52">
        <f t="shared" si="0"/>
        <v>28429923500</v>
      </c>
      <c r="J8" s="52">
        <f t="shared" si="0"/>
        <v>650784000</v>
      </c>
      <c r="K8" s="52"/>
      <c r="L8" s="52"/>
      <c r="M8" s="589"/>
    </row>
    <row r="9" spans="4:13" ht="18" customHeight="1">
      <c r="D9" s="590">
        <v>310100</v>
      </c>
      <c r="F9" s="166">
        <v>5101</v>
      </c>
      <c r="G9" s="164" t="s">
        <v>191</v>
      </c>
      <c r="H9" s="36">
        <v>27779139500</v>
      </c>
      <c r="I9" s="36">
        <f>SUMIF(T_BS!$D:$D,T_CE!D9,T_BS!$AA:$AA)</f>
        <v>28429923500</v>
      </c>
      <c r="J9" s="36">
        <f>I9-H9</f>
        <v>650784000</v>
      </c>
      <c r="K9" s="36" t="s">
        <v>1730</v>
      </c>
      <c r="L9" s="36">
        <v>650784000</v>
      </c>
      <c r="M9" s="201">
        <f>J9-L9</f>
        <v>0</v>
      </c>
    </row>
    <row r="10" spans="4:13" ht="18" customHeight="1">
      <c r="D10" s="586"/>
      <c r="E10" s="587"/>
      <c r="F10" s="588"/>
      <c r="G10" s="587" t="s">
        <v>12</v>
      </c>
      <c r="H10" s="52">
        <f t="shared" ref="H10:I10" si="1">SUM(H11:H13)</f>
        <v>173855395328</v>
      </c>
      <c r="I10" s="52">
        <f t="shared" si="1"/>
        <v>178559577856</v>
      </c>
      <c r="J10" s="52">
        <f t="shared" ref="J10" si="2">SUM(J11:J13)</f>
        <v>4704182528</v>
      </c>
      <c r="K10" s="52"/>
      <c r="L10" s="52"/>
      <c r="M10" s="589"/>
    </row>
    <row r="11" spans="4:13" ht="18" customHeight="1">
      <c r="D11" s="590">
        <v>320100</v>
      </c>
      <c r="F11" s="166">
        <v>5201</v>
      </c>
      <c r="G11" s="164" t="s">
        <v>192</v>
      </c>
      <c r="H11" s="36">
        <v>172351901382</v>
      </c>
      <c r="I11" s="36">
        <f>SUMIF(T_BS!$D:$D,T_CE!D11,T_BS!$AA:$AA)</f>
        <v>177997002186</v>
      </c>
      <c r="J11" s="36">
        <f t="shared" ref="J11:J13" si="3">I11-H11</f>
        <v>5645100804</v>
      </c>
      <c r="K11" s="36" t="s">
        <v>1730</v>
      </c>
      <c r="L11" s="36">
        <v>5645100804</v>
      </c>
      <c r="M11" s="201">
        <f t="shared" ref="M11:M13" si="4">J11-L11</f>
        <v>0</v>
      </c>
    </row>
    <row r="12" spans="4:13" ht="18" customHeight="1">
      <c r="D12" s="590">
        <v>320500</v>
      </c>
      <c r="F12" s="166">
        <v>5203</v>
      </c>
      <c r="G12" s="164" t="s">
        <v>193</v>
      </c>
      <c r="H12" s="36">
        <v>940918276</v>
      </c>
      <c r="I12" s="36">
        <f>SUMIF(T_BS!$D:$D,T_CE!D12,T_BS!$AA:$AA)</f>
        <v>0</v>
      </c>
      <c r="J12" s="36">
        <f t="shared" si="3"/>
        <v>-940918276</v>
      </c>
      <c r="K12" s="36" t="s">
        <v>1730</v>
      </c>
      <c r="L12" s="36">
        <v>-940918276</v>
      </c>
      <c r="M12" s="201">
        <f t="shared" si="4"/>
        <v>0</v>
      </c>
    </row>
    <row r="13" spans="4:13" ht="18" customHeight="1">
      <c r="D13" s="590">
        <v>320300</v>
      </c>
      <c r="F13" s="166">
        <v>5202</v>
      </c>
      <c r="G13" s="164" t="s">
        <v>194</v>
      </c>
      <c r="H13" s="36">
        <v>562575670</v>
      </c>
      <c r="I13" s="36">
        <f>SUMIF(T_BS!$D:$D,T_CE!D13,T_BS!$AA:$AA)</f>
        <v>562575670</v>
      </c>
      <c r="J13" s="36">
        <f t="shared" si="3"/>
        <v>0</v>
      </c>
      <c r="K13" s="36"/>
      <c r="L13" s="36"/>
      <c r="M13" s="201">
        <f t="shared" si="4"/>
        <v>0</v>
      </c>
    </row>
    <row r="14" spans="4:13" ht="18" customHeight="1">
      <c r="D14" s="586"/>
      <c r="E14" s="587"/>
      <c r="F14" s="588"/>
      <c r="G14" s="587" t="s">
        <v>195</v>
      </c>
      <c r="H14" s="52">
        <f>SUM(H15:H23)</f>
        <v>-2776797396</v>
      </c>
      <c r="I14" s="52">
        <f>SUM(I15:I23)</f>
        <v>-1301501750</v>
      </c>
      <c r="J14" s="52">
        <f>SUM(J15:J23)</f>
        <v>1475295646</v>
      </c>
      <c r="K14" s="52"/>
      <c r="L14" s="52"/>
      <c r="M14" s="589"/>
    </row>
    <row r="15" spans="4:13" ht="18" customHeight="1">
      <c r="D15" s="590">
        <v>350300</v>
      </c>
      <c r="F15" s="166">
        <v>5304</v>
      </c>
      <c r="G15" s="164" t="s">
        <v>196</v>
      </c>
      <c r="H15" s="36">
        <v>-4240000</v>
      </c>
      <c r="I15" s="36">
        <f>SUMIF(T_BS!$D:$D,T_CE!D15,T_BS!$AA:$AA)</f>
        <v>-4240000</v>
      </c>
      <c r="J15" s="36">
        <f t="shared" ref="J15:J29" si="5">I15-H15</f>
        <v>0</v>
      </c>
      <c r="K15" s="36"/>
      <c r="L15" s="36"/>
      <c r="M15" s="201">
        <f t="shared" ref="M15:M23" si="6">J15-L15</f>
        <v>0</v>
      </c>
    </row>
    <row r="16" spans="4:13" ht="18" customHeight="1">
      <c r="D16" s="590">
        <v>350350</v>
      </c>
      <c r="F16" s="166">
        <v>5301</v>
      </c>
      <c r="G16" s="164" t="s">
        <v>197</v>
      </c>
      <c r="H16" s="36">
        <v>-1292039719</v>
      </c>
      <c r="I16" s="36">
        <f>SUMIF(T_BS!$D:$D,T_CE!D16,T_BS!$AA:$AA)</f>
        <v>-1292039719</v>
      </c>
      <c r="J16" s="36">
        <f t="shared" si="5"/>
        <v>0</v>
      </c>
      <c r="K16" s="36"/>
      <c r="L16" s="36"/>
      <c r="M16" s="201">
        <f t="shared" si="6"/>
        <v>0</v>
      </c>
    </row>
    <row r="17" spans="4:13" ht="18" customHeight="1">
      <c r="D17" s="590" t="s">
        <v>1357</v>
      </c>
      <c r="F17" s="166" t="s">
        <v>616</v>
      </c>
      <c r="G17" s="164" t="s">
        <v>226</v>
      </c>
      <c r="H17" s="36">
        <v>0</v>
      </c>
      <c r="I17" s="36">
        <f>SUMIF(T_BS!$D:$D,T_CE!D17,T_BS!$AA:$AA)</f>
        <v>0</v>
      </c>
      <c r="J17" s="36">
        <f t="shared" si="5"/>
        <v>0</v>
      </c>
      <c r="K17" s="36"/>
      <c r="L17" s="36"/>
      <c r="M17" s="201">
        <f t="shared" si="6"/>
        <v>0</v>
      </c>
    </row>
    <row r="18" spans="4:13" ht="18" customHeight="1">
      <c r="D18" s="590">
        <v>350400</v>
      </c>
      <c r="F18" s="166">
        <v>4664</v>
      </c>
      <c r="G18" s="164" t="s">
        <v>198</v>
      </c>
      <c r="H18" s="36">
        <v>0</v>
      </c>
      <c r="I18" s="36">
        <f>SUMIF(T_BS!$D:$D,T_CE!D18,T_BS!$AA:$AA)</f>
        <v>674683389</v>
      </c>
      <c r="J18" s="36">
        <f t="shared" si="5"/>
        <v>674683389</v>
      </c>
      <c r="K18" s="36" t="s">
        <v>1731</v>
      </c>
      <c r="L18" s="36">
        <f>T_IS!O39</f>
        <v>674683389</v>
      </c>
      <c r="M18" s="201">
        <f t="shared" si="6"/>
        <v>0</v>
      </c>
    </row>
    <row r="19" spans="4:13" ht="18" customHeight="1">
      <c r="D19" s="590">
        <v>350210</v>
      </c>
      <c r="F19" s="166">
        <v>5304</v>
      </c>
      <c r="G19" s="164" t="s">
        <v>199</v>
      </c>
      <c r="H19" s="36">
        <v>-2731869088</v>
      </c>
      <c r="I19" s="36">
        <f>SUMIF(T_BS!$D:$D,T_CE!D19,T_BS!$AA:$AA)</f>
        <v>-2731869088</v>
      </c>
      <c r="J19" s="36">
        <f t="shared" si="5"/>
        <v>0</v>
      </c>
      <c r="K19" s="36"/>
      <c r="L19" s="36"/>
      <c r="M19" s="201">
        <f t="shared" si="6"/>
        <v>0</v>
      </c>
    </row>
    <row r="20" spans="4:13" ht="18" customHeight="1">
      <c r="D20" s="590" t="s">
        <v>1360</v>
      </c>
      <c r="F20" s="166" t="s">
        <v>616</v>
      </c>
      <c r="G20" s="164" t="s">
        <v>201</v>
      </c>
      <c r="H20" s="36">
        <v>0</v>
      </c>
      <c r="I20" s="36">
        <f>SUMIF(T_BS!$D:$D,T_CE!D20,T_BS!$AA:$AA)</f>
        <v>0</v>
      </c>
      <c r="J20" s="36">
        <f t="shared" si="5"/>
        <v>0</v>
      </c>
      <c r="K20" s="36"/>
      <c r="L20" s="36"/>
      <c r="M20" s="201">
        <f t="shared" si="6"/>
        <v>0</v>
      </c>
    </row>
    <row r="21" spans="4:13" ht="18" customHeight="1">
      <c r="D21" s="590" t="s">
        <v>1361</v>
      </c>
      <c r="F21" s="166" t="s">
        <v>616</v>
      </c>
      <c r="G21" s="164" t="s">
        <v>203</v>
      </c>
      <c r="H21" s="36">
        <v>0</v>
      </c>
      <c r="I21" s="36">
        <f>SUMIF(T_BS!$D:$D,T_CE!D21,T_BS!$AA:$AA)</f>
        <v>0</v>
      </c>
      <c r="J21" s="36">
        <f t="shared" si="5"/>
        <v>0</v>
      </c>
      <c r="K21" s="36"/>
      <c r="L21" s="36"/>
      <c r="M21" s="201">
        <f t="shared" si="6"/>
        <v>0</v>
      </c>
    </row>
    <row r="22" spans="4:13" ht="18" customHeight="1">
      <c r="D22" s="590" t="s">
        <v>1362</v>
      </c>
      <c r="F22" s="166">
        <v>5307</v>
      </c>
      <c r="G22" s="164" t="s">
        <v>1358</v>
      </c>
      <c r="H22" s="36">
        <v>1251351411</v>
      </c>
      <c r="I22" s="36">
        <f>SUMIF(T_BS!$D:$D,T_CE!D22,T_BS!$AA:$AA)</f>
        <v>2051963668</v>
      </c>
      <c r="J22" s="36">
        <f t="shared" si="5"/>
        <v>800612257</v>
      </c>
      <c r="K22" s="36" t="s">
        <v>1732</v>
      </c>
      <c r="L22" s="36">
        <f>J22</f>
        <v>800612257</v>
      </c>
      <c r="M22" s="201">
        <f t="shared" si="6"/>
        <v>0</v>
      </c>
    </row>
    <row r="23" spans="4:13" ht="18" customHeight="1">
      <c r="D23" s="590" t="s">
        <v>1363</v>
      </c>
      <c r="F23" s="166"/>
      <c r="G23" s="164" t="s">
        <v>1359</v>
      </c>
      <c r="H23" s="36">
        <v>0</v>
      </c>
      <c r="I23" s="36">
        <f>SUMIF(T_BS!$D:$D,T_CE!D23,T_BS!$AA:$AA)</f>
        <v>0</v>
      </c>
      <c r="J23" s="36">
        <f t="shared" si="5"/>
        <v>0</v>
      </c>
      <c r="K23" s="36"/>
      <c r="L23" s="36"/>
      <c r="M23" s="201">
        <f t="shared" si="6"/>
        <v>0</v>
      </c>
    </row>
    <row r="24" spans="4:13" ht="18" customHeight="1">
      <c r="D24" s="586"/>
      <c r="E24" s="587"/>
      <c r="F24" s="588"/>
      <c r="G24" s="587" t="s">
        <v>13</v>
      </c>
      <c r="H24" s="52">
        <f t="shared" ref="H24:I24" si="7">SUM(H25:H27)</f>
        <v>-38998926103</v>
      </c>
      <c r="I24" s="52">
        <f t="shared" si="7"/>
        <v>-87770959767</v>
      </c>
      <c r="J24" s="52">
        <f t="shared" ref="J24" si="8">SUM(J25:J27)</f>
        <v>-48772033664</v>
      </c>
      <c r="K24" s="52"/>
      <c r="L24" s="52"/>
      <c r="M24" s="589"/>
    </row>
    <row r="25" spans="4:13" ht="18" customHeight="1">
      <c r="D25" s="590">
        <v>350951</v>
      </c>
      <c r="F25" s="166">
        <v>5401</v>
      </c>
      <c r="G25" s="164" t="s">
        <v>206</v>
      </c>
      <c r="H25" s="36">
        <v>525952518</v>
      </c>
      <c r="I25" s="36">
        <f>SUMIF(T_BS!$D:$D,T_CE!D25,T_BS!$AA:$AA)</f>
        <v>-240559000</v>
      </c>
      <c r="J25" s="36">
        <f t="shared" si="5"/>
        <v>-766511518</v>
      </c>
      <c r="K25" s="36"/>
      <c r="L25" s="36">
        <v>-766511518</v>
      </c>
      <c r="M25" s="201">
        <f t="shared" ref="M25:M27" si="9">J25-L25</f>
        <v>0</v>
      </c>
    </row>
    <row r="26" spans="4:13" ht="18" customHeight="1">
      <c r="D26" s="591" t="s">
        <v>1364</v>
      </c>
      <c r="F26" s="166">
        <v>5402</v>
      </c>
      <c r="G26" s="164" t="s">
        <v>208</v>
      </c>
      <c r="H26" s="36">
        <v>-39524878621</v>
      </c>
      <c r="I26" s="36">
        <f>SUMIF(T_BS!$D:$D,T_CE!D26,T_BS!$AA:$AA)</f>
        <v>-39524878621</v>
      </c>
      <c r="J26" s="36">
        <f t="shared" si="5"/>
        <v>0</v>
      </c>
      <c r="K26" s="36"/>
      <c r="L26" s="36"/>
      <c r="M26" s="201">
        <f t="shared" si="9"/>
        <v>0</v>
      </c>
    </row>
    <row r="27" spans="4:13" ht="18" customHeight="1">
      <c r="D27" s="591" t="s">
        <v>1365</v>
      </c>
      <c r="F27" s="166" t="s">
        <v>616</v>
      </c>
      <c r="G27" s="164" t="s">
        <v>210</v>
      </c>
      <c r="H27" s="36">
        <v>0</v>
      </c>
      <c r="I27" s="36">
        <f>SUMIF(T_BS!$D:$D,T_CE!D27,T_BS!$AA:$AA)</f>
        <v>-48005522146</v>
      </c>
      <c r="J27" s="36">
        <f t="shared" si="5"/>
        <v>-48005522146</v>
      </c>
      <c r="K27" s="36" t="s">
        <v>1733</v>
      </c>
      <c r="L27" s="36">
        <f>T_IS!AA119</f>
        <v>-48005522146</v>
      </c>
      <c r="M27" s="201">
        <f t="shared" si="9"/>
        <v>0</v>
      </c>
    </row>
    <row r="28" spans="4:13" ht="18" customHeight="1">
      <c r="D28" s="583"/>
      <c r="E28" s="584"/>
      <c r="F28" s="585"/>
      <c r="G28" s="584" t="s">
        <v>211</v>
      </c>
      <c r="H28" s="49">
        <f t="shared" ref="H28:J28" si="10">H29</f>
        <v>0</v>
      </c>
      <c r="I28" s="49">
        <f t="shared" si="10"/>
        <v>0</v>
      </c>
      <c r="J28" s="49">
        <f t="shared" si="10"/>
        <v>0</v>
      </c>
      <c r="K28" s="49"/>
      <c r="L28" s="49"/>
      <c r="M28" s="340"/>
    </row>
    <row r="29" spans="4:13" ht="18" customHeight="1" thickBot="1">
      <c r="D29" s="592" t="s">
        <v>496</v>
      </c>
      <c r="E29" s="593"/>
      <c r="F29" s="594"/>
      <c r="G29" s="593" t="s">
        <v>211</v>
      </c>
      <c r="H29" s="345">
        <v>0</v>
      </c>
      <c r="I29" s="345">
        <f>SUMIF(T_BS!$D:$D,T_CE!D29,T_BS!$AA:$AA)</f>
        <v>0</v>
      </c>
      <c r="J29" s="345">
        <f t="shared" si="5"/>
        <v>0</v>
      </c>
      <c r="K29" s="345"/>
      <c r="L29" s="345"/>
      <c r="M29" s="208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2:I213"/>
  <sheetViews>
    <sheetView zoomScale="80" zoomScaleNormal="8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K14" sqref="K14"/>
    </sheetView>
  </sheetViews>
  <sheetFormatPr defaultColWidth="8.75" defaultRowHeight="18" customHeight="1"/>
  <cols>
    <col min="1" max="3" width="2.375" style="3" customWidth="1"/>
    <col min="4" max="6" width="20.375" style="3" customWidth="1"/>
    <col min="7" max="7" width="33.25" style="3" bestFit="1" customWidth="1"/>
    <col min="8" max="22" width="20.375" style="3" customWidth="1"/>
    <col min="23" max="16384" width="8.75" style="3"/>
  </cols>
  <sheetData>
    <row r="2" spans="4:9" s="2" customFormat="1" ht="18" customHeight="1">
      <c r="D2" s="2" t="s">
        <v>1811</v>
      </c>
    </row>
    <row r="3" spans="4:9" s="68" customFormat="1" ht="18" customHeight="1" thickBot="1">
      <c r="H3" s="68" t="b">
        <f>H213=H5</f>
        <v>1</v>
      </c>
      <c r="I3" s="68" t="b">
        <f>I213=I5</f>
        <v>0</v>
      </c>
    </row>
    <row r="4" spans="4:9" ht="18" customHeight="1">
      <c r="D4" s="9" t="s">
        <v>16</v>
      </c>
      <c r="E4" s="10" t="s">
        <v>17</v>
      </c>
      <c r="F4" s="10" t="s">
        <v>18</v>
      </c>
      <c r="G4" s="10" t="s">
        <v>19</v>
      </c>
      <c r="H4" s="70" t="s">
        <v>1713</v>
      </c>
      <c r="I4" s="70" t="s">
        <v>1714</v>
      </c>
    </row>
    <row r="5" spans="4:9" ht="18" customHeight="1">
      <c r="D5" s="11"/>
      <c r="E5" s="71"/>
      <c r="F5" s="72"/>
      <c r="G5" s="71" t="s">
        <v>0</v>
      </c>
      <c r="H5" s="73">
        <f t="shared" ref="H5:I5" si="0">SUM(H6,H62)</f>
        <v>204478522045</v>
      </c>
      <c r="I5" s="73">
        <f t="shared" si="0"/>
        <v>165182214320</v>
      </c>
    </row>
    <row r="6" spans="4:9" ht="18" customHeight="1">
      <c r="D6" s="12"/>
      <c r="E6" s="74"/>
      <c r="F6" s="75"/>
      <c r="G6" s="74" t="s">
        <v>20</v>
      </c>
      <c r="H6" s="76">
        <f t="shared" ref="H6:I6" si="1">SUM(H7,H12,H33,H43,H28,H48,)</f>
        <v>150013247292</v>
      </c>
      <c r="I6" s="76">
        <f t="shared" si="1"/>
        <v>130397357982</v>
      </c>
    </row>
    <row r="7" spans="4:9" ht="18" customHeight="1">
      <c r="D7" s="13"/>
      <c r="E7" s="77"/>
      <c r="F7" s="78"/>
      <c r="G7" s="77" t="s">
        <v>1</v>
      </c>
      <c r="H7" s="79">
        <f t="shared" ref="H7:I7" si="2">SUM(H8:H11)</f>
        <v>95653360723</v>
      </c>
      <c r="I7" s="79">
        <f t="shared" si="2"/>
        <v>88901392676</v>
      </c>
    </row>
    <row r="8" spans="4:9" ht="18" customHeight="1">
      <c r="D8" s="14" t="s">
        <v>1350</v>
      </c>
      <c r="E8" s="80" t="s">
        <v>1</v>
      </c>
      <c r="F8" s="81">
        <v>1101</v>
      </c>
      <c r="G8" s="82" t="s">
        <v>1352</v>
      </c>
      <c r="H8" s="83">
        <v>0</v>
      </c>
      <c r="I8" s="83">
        <f>SUMIF(T_BS!$D:$D,BS!D8,T_BS!AA:AA)</f>
        <v>0</v>
      </c>
    </row>
    <row r="9" spans="4:9" ht="18" customHeight="1">
      <c r="D9" s="14" t="s">
        <v>1353</v>
      </c>
      <c r="E9" s="80" t="s">
        <v>1</v>
      </c>
      <c r="F9" s="81">
        <v>1101</v>
      </c>
      <c r="G9" s="82" t="s">
        <v>1351</v>
      </c>
      <c r="H9" s="83">
        <v>1231302</v>
      </c>
      <c r="I9" s="83">
        <f>SUMIF(T_BS!$D:$D,BS!D9,T_BS!AA:AA)</f>
        <v>145839</v>
      </c>
    </row>
    <row r="10" spans="4:9" ht="18" customHeight="1">
      <c r="D10" s="14">
        <v>111151</v>
      </c>
      <c r="E10" s="6" t="s">
        <v>1</v>
      </c>
      <c r="F10" s="84">
        <v>1102</v>
      </c>
      <c r="G10" s="6" t="s">
        <v>21</v>
      </c>
      <c r="H10" s="83">
        <v>76679154984</v>
      </c>
      <c r="I10" s="83">
        <f>SUMIF(T_BS!$D:$D,BS!D10,T_BS!AA:AA)</f>
        <v>65423272185</v>
      </c>
    </row>
    <row r="11" spans="4:9" ht="18" customHeight="1">
      <c r="D11" s="14">
        <v>111171</v>
      </c>
      <c r="E11" s="6" t="s">
        <v>1</v>
      </c>
      <c r="F11" s="84">
        <v>1102</v>
      </c>
      <c r="G11" s="6" t="s">
        <v>22</v>
      </c>
      <c r="H11" s="83">
        <v>18972974437</v>
      </c>
      <c r="I11" s="83">
        <f>SUMIF(T_BS!$D:$D,BS!D11,T_BS!AA:AA)</f>
        <v>23477974652</v>
      </c>
    </row>
    <row r="12" spans="4:9" ht="18" customHeight="1">
      <c r="D12" s="13"/>
      <c r="E12" s="77"/>
      <c r="F12" s="78"/>
      <c r="G12" s="77" t="s">
        <v>23</v>
      </c>
      <c r="H12" s="79">
        <f t="shared" ref="H12:I12" si="3">SUM(H13:H27)</f>
        <v>27783916336</v>
      </c>
      <c r="I12" s="79">
        <f t="shared" si="3"/>
        <v>31477416921</v>
      </c>
    </row>
    <row r="13" spans="4:9" ht="18" customHeight="1">
      <c r="D13" s="14">
        <v>111711</v>
      </c>
      <c r="E13" s="6" t="s">
        <v>1749</v>
      </c>
      <c r="F13" s="84">
        <v>1201</v>
      </c>
      <c r="G13" s="6" t="s">
        <v>24</v>
      </c>
      <c r="H13" s="83">
        <v>12050160020</v>
      </c>
      <c r="I13" s="83">
        <f>SUMIF(T_BS!$D:$D,BS!D13,T_BS!AA:AA)</f>
        <v>13071501430</v>
      </c>
    </row>
    <row r="14" spans="4:9" ht="18" customHeight="1">
      <c r="D14" s="14">
        <v>111712</v>
      </c>
      <c r="E14" s="6" t="s">
        <v>1749</v>
      </c>
      <c r="F14" s="84">
        <v>1202</v>
      </c>
      <c r="G14" s="6" t="s">
        <v>25</v>
      </c>
      <c r="H14" s="83">
        <v>-926791001</v>
      </c>
      <c r="I14" s="83">
        <f>SUMIF(T_BS!$D:$D,BS!D14,T_BS!AA:AA)</f>
        <v>-948318052</v>
      </c>
    </row>
    <row r="15" spans="4:9" ht="18" customHeight="1">
      <c r="D15" s="14">
        <v>111731</v>
      </c>
      <c r="E15" s="6" t="s">
        <v>1749</v>
      </c>
      <c r="F15" s="84">
        <v>1203</v>
      </c>
      <c r="G15" s="6" t="s">
        <v>26</v>
      </c>
      <c r="H15" s="83">
        <v>8892178020</v>
      </c>
      <c r="I15" s="83">
        <f>SUMIF(T_BS!$D:$D,BS!D15,T_BS!AA:AA)</f>
        <v>7402099394</v>
      </c>
    </row>
    <row r="16" spans="4:9" ht="18" customHeight="1">
      <c r="D16" s="14">
        <v>111732</v>
      </c>
      <c r="E16" s="6" t="s">
        <v>1749</v>
      </c>
      <c r="F16" s="84">
        <v>1202</v>
      </c>
      <c r="G16" s="6" t="s">
        <v>27</v>
      </c>
      <c r="H16" s="83">
        <v>-675608521</v>
      </c>
      <c r="I16" s="83">
        <f>SUMIF(T_BS!$D:$D,BS!D16,T_BS!AA:AA)</f>
        <v>-898470776</v>
      </c>
    </row>
    <row r="17" spans="4:9" ht="18" customHeight="1">
      <c r="D17" s="14">
        <v>111761</v>
      </c>
      <c r="E17" s="6" t="s">
        <v>1749</v>
      </c>
      <c r="F17" s="84">
        <v>1201</v>
      </c>
      <c r="G17" s="6" t="s">
        <v>28</v>
      </c>
      <c r="H17" s="83">
        <v>3468550995</v>
      </c>
      <c r="I17" s="83">
        <f>SUMIF(T_BS!$D:$D,BS!D17,T_BS!AA:AA)</f>
        <v>3814012528</v>
      </c>
    </row>
    <row r="18" spans="4:9" ht="18" customHeight="1">
      <c r="D18" s="14">
        <v>111762</v>
      </c>
      <c r="E18" s="6" t="s">
        <v>1749</v>
      </c>
      <c r="F18" s="84">
        <v>1201</v>
      </c>
      <c r="G18" s="6" t="s">
        <v>29</v>
      </c>
      <c r="H18" s="83">
        <v>0</v>
      </c>
      <c r="I18" s="83">
        <f>SUMIF(T_BS!$D:$D,BS!D18,T_BS!AA:AA)</f>
        <v>2884075277</v>
      </c>
    </row>
    <row r="19" spans="4:9" ht="18" customHeight="1">
      <c r="D19" s="14">
        <v>111763</v>
      </c>
      <c r="E19" s="6" t="s">
        <v>1749</v>
      </c>
      <c r="F19" s="84">
        <v>1201</v>
      </c>
      <c r="G19" s="6" t="s">
        <v>30</v>
      </c>
      <c r="H19" s="83">
        <v>0</v>
      </c>
      <c r="I19" s="83">
        <f>SUMIF(T_BS!$D:$D,BS!D19,T_BS!AA:AA)</f>
        <v>538305874</v>
      </c>
    </row>
    <row r="20" spans="4:9" ht="18" customHeight="1">
      <c r="D20" s="14">
        <v>111911</v>
      </c>
      <c r="E20" s="6" t="s">
        <v>1749</v>
      </c>
      <c r="F20" s="84" t="s">
        <v>616</v>
      </c>
      <c r="G20" s="6" t="s">
        <v>31</v>
      </c>
      <c r="H20" s="83">
        <v>0</v>
      </c>
      <c r="I20" s="83">
        <f>SUMIF(T_BS!$D:$D,BS!D20,T_BS!AA:AA)</f>
        <v>0</v>
      </c>
    </row>
    <row r="21" spans="4:9" ht="18" customHeight="1">
      <c r="D21" s="14" t="s">
        <v>1683</v>
      </c>
      <c r="E21" s="6" t="s">
        <v>1749</v>
      </c>
      <c r="F21" s="84" t="s">
        <v>616</v>
      </c>
      <c r="G21" s="6" t="s">
        <v>1645</v>
      </c>
      <c r="H21" s="83">
        <v>0</v>
      </c>
      <c r="I21" s="83">
        <f>SUMIF(T_BS!$D:$D,BS!D21,T_BS!AA:AA)</f>
        <v>0</v>
      </c>
    </row>
    <row r="22" spans="4:9" ht="18" customHeight="1">
      <c r="D22" s="14">
        <v>112111</v>
      </c>
      <c r="E22" s="6" t="s">
        <v>1749</v>
      </c>
      <c r="F22" s="84">
        <v>1208</v>
      </c>
      <c r="G22" s="6" t="s">
        <v>32</v>
      </c>
      <c r="H22" s="83">
        <v>2954254970</v>
      </c>
      <c r="I22" s="83">
        <f>SUMIF(T_BS!$D:$D,BS!D22,T_BS!AA:AA)</f>
        <v>720956897</v>
      </c>
    </row>
    <row r="23" spans="4:9" ht="18" customHeight="1">
      <c r="D23" s="14">
        <v>112113</v>
      </c>
      <c r="E23" s="6" t="s">
        <v>1749</v>
      </c>
      <c r="F23" s="84">
        <v>1208</v>
      </c>
      <c r="G23" s="6" t="s">
        <v>33</v>
      </c>
      <c r="H23" s="83">
        <v>1861839485</v>
      </c>
      <c r="I23" s="83">
        <f>SUMIF(T_BS!$D:$D,BS!D23,T_BS!AA:AA)</f>
        <v>625534991</v>
      </c>
    </row>
    <row r="24" spans="4:9" ht="18" customHeight="1">
      <c r="D24" s="14">
        <v>112115</v>
      </c>
      <c r="E24" s="6" t="s">
        <v>1749</v>
      </c>
      <c r="F24" s="84">
        <v>1208</v>
      </c>
      <c r="G24" s="6" t="s">
        <v>34</v>
      </c>
      <c r="H24" s="83">
        <v>0</v>
      </c>
      <c r="I24" s="83">
        <f>SUMIF(T_BS!$D:$D,BS!D24,T_BS!AA:AA)</f>
        <v>4160000000</v>
      </c>
    </row>
    <row r="25" spans="4:9" ht="18" customHeight="1">
      <c r="D25" s="14">
        <v>112116</v>
      </c>
      <c r="E25" s="6" t="s">
        <v>1749</v>
      </c>
      <c r="F25" s="84">
        <v>1208</v>
      </c>
      <c r="G25" s="6" t="s">
        <v>35</v>
      </c>
      <c r="H25" s="83">
        <v>0</v>
      </c>
      <c r="I25" s="83">
        <f>SUMIF(T_BS!$D:$D,BS!D25,T_BS!AA:AA)</f>
        <v>0</v>
      </c>
    </row>
    <row r="26" spans="4:9" ht="18" customHeight="1">
      <c r="D26" s="14">
        <v>112300</v>
      </c>
      <c r="E26" s="6" t="s">
        <v>1749</v>
      </c>
      <c r="F26" s="84">
        <v>1212</v>
      </c>
      <c r="G26" s="6" t="s">
        <v>36</v>
      </c>
      <c r="H26" s="83">
        <v>159332368</v>
      </c>
      <c r="I26" s="83">
        <f>SUMIF(T_BS!$D:$D,BS!D26,T_BS!AA:AA)</f>
        <v>57719358</v>
      </c>
    </row>
    <row r="27" spans="4:9" ht="18" customHeight="1">
      <c r="D27" s="14">
        <v>113310</v>
      </c>
      <c r="E27" s="6" t="s">
        <v>1749</v>
      </c>
      <c r="F27" s="84" t="s">
        <v>616</v>
      </c>
      <c r="G27" s="6" t="s">
        <v>37</v>
      </c>
      <c r="H27" s="83">
        <v>0</v>
      </c>
      <c r="I27" s="83">
        <f>SUMIF(T_BS!$D:$D,BS!D27,T_BS!AA:AA)</f>
        <v>50000000</v>
      </c>
    </row>
    <row r="28" spans="4:9" ht="18" customHeight="1">
      <c r="D28" s="85"/>
      <c r="E28" s="77"/>
      <c r="F28" s="78"/>
      <c r="G28" s="86" t="s">
        <v>38</v>
      </c>
      <c r="H28" s="79">
        <f t="shared" ref="H28:I28" si="4">SUM(H29:H32)</f>
        <v>5366337088</v>
      </c>
      <c r="I28" s="79">
        <f t="shared" si="4"/>
        <v>0</v>
      </c>
    </row>
    <row r="29" spans="4:9" ht="18" customHeight="1">
      <c r="D29" s="14">
        <v>111391</v>
      </c>
      <c r="E29" s="6" t="s">
        <v>38</v>
      </c>
      <c r="F29" s="84"/>
      <c r="G29" s="6" t="s">
        <v>39</v>
      </c>
      <c r="H29" s="83">
        <v>0</v>
      </c>
      <c r="I29" s="83">
        <f>SUMIF(T_BS!$D:$D,BS!D29,T_BS!AA:AA)</f>
        <v>0</v>
      </c>
    </row>
    <row r="30" spans="4:9" ht="18" customHeight="1">
      <c r="D30" s="14">
        <v>111410</v>
      </c>
      <c r="E30" s="6" t="s">
        <v>38</v>
      </c>
      <c r="F30" s="84">
        <v>1501</v>
      </c>
      <c r="G30" s="6" t="s">
        <v>40</v>
      </c>
      <c r="H30" s="83">
        <v>5366337088</v>
      </c>
      <c r="I30" s="83">
        <f>SUMIF(T_BS!$D:$D,BS!D30,T_BS!AA:AA)</f>
        <v>0</v>
      </c>
    </row>
    <row r="31" spans="4:9" ht="18" customHeight="1">
      <c r="D31" s="87" t="s">
        <v>220</v>
      </c>
      <c r="E31" s="6" t="s">
        <v>38</v>
      </c>
      <c r="F31" s="84"/>
      <c r="G31" s="6" t="s">
        <v>41</v>
      </c>
      <c r="H31" s="83">
        <v>0</v>
      </c>
      <c r="I31" s="83">
        <f>SUMIF(T_BS!$D:$D,BS!D31,T_BS!AA:AA)</f>
        <v>0</v>
      </c>
    </row>
    <row r="32" spans="4:9" ht="18" customHeight="1">
      <c r="D32" s="87" t="s">
        <v>221</v>
      </c>
      <c r="E32" s="6" t="s">
        <v>38</v>
      </c>
      <c r="F32" s="84"/>
      <c r="G32" s="6" t="s">
        <v>42</v>
      </c>
      <c r="H32" s="83">
        <v>0</v>
      </c>
      <c r="I32" s="83">
        <f>SUMIF(T_BS!$D:$D,BS!D32,T_BS!AA:AA)</f>
        <v>0</v>
      </c>
    </row>
    <row r="33" spans="4:9" ht="18" customHeight="1">
      <c r="D33" s="13"/>
      <c r="E33" s="77"/>
      <c r="F33" s="78"/>
      <c r="G33" s="77" t="s">
        <v>2</v>
      </c>
      <c r="H33" s="79">
        <f t="shared" ref="H33:I33" si="5">SUM(H34:H42)</f>
        <v>16457154007</v>
      </c>
      <c r="I33" s="79">
        <f t="shared" si="5"/>
        <v>7130214686</v>
      </c>
    </row>
    <row r="34" spans="4:9" ht="18" customHeight="1">
      <c r="D34" s="14">
        <v>115100</v>
      </c>
      <c r="E34" s="6" t="s">
        <v>2</v>
      </c>
      <c r="F34" s="84">
        <v>1301</v>
      </c>
      <c r="G34" s="6" t="s">
        <v>43</v>
      </c>
      <c r="H34" s="83">
        <v>10327320724</v>
      </c>
      <c r="I34" s="83">
        <f>SUMIF(T_BS!$D:$D,BS!D34,T_BS!AA:AA)</f>
        <v>10731516615</v>
      </c>
    </row>
    <row r="35" spans="4:9" ht="18" customHeight="1">
      <c r="D35" s="14">
        <v>115170</v>
      </c>
      <c r="E35" s="6" t="s">
        <v>2</v>
      </c>
      <c r="F35" s="84">
        <v>1302</v>
      </c>
      <c r="G35" s="6" t="s">
        <v>44</v>
      </c>
      <c r="H35" s="83">
        <v>-5302830736</v>
      </c>
      <c r="I35" s="83">
        <f>SUMIF(T_BS!$D:$D,BS!D35,T_BS!AA:AA)</f>
        <v>-8960597141</v>
      </c>
    </row>
    <row r="36" spans="4:9" ht="18" customHeight="1">
      <c r="D36" s="14">
        <v>115200</v>
      </c>
      <c r="E36" s="6" t="s">
        <v>2</v>
      </c>
      <c r="F36" s="84">
        <v>1303</v>
      </c>
      <c r="G36" s="6" t="s">
        <v>45</v>
      </c>
      <c r="H36" s="83">
        <v>933949731</v>
      </c>
      <c r="I36" s="83">
        <f>SUMIF(T_BS!$D:$D,BS!D36,T_BS!AA:AA)</f>
        <v>3376618889</v>
      </c>
    </row>
    <row r="37" spans="4:9" ht="18" customHeight="1">
      <c r="D37" s="14">
        <v>115270</v>
      </c>
      <c r="E37" s="6" t="s">
        <v>2</v>
      </c>
      <c r="F37" s="84">
        <v>1304</v>
      </c>
      <c r="G37" s="6" t="s">
        <v>46</v>
      </c>
      <c r="H37" s="83">
        <v>-251389031</v>
      </c>
      <c r="I37" s="83">
        <f>SUMIF(T_BS!$D:$D,BS!D37,T_BS!AA:AA)</f>
        <v>-2264959753</v>
      </c>
    </row>
    <row r="38" spans="4:9" ht="18" customHeight="1">
      <c r="D38" s="14">
        <v>115300</v>
      </c>
      <c r="E38" s="6" t="s">
        <v>2</v>
      </c>
      <c r="F38" s="84">
        <v>1305</v>
      </c>
      <c r="G38" s="6" t="s">
        <v>47</v>
      </c>
      <c r="H38" s="83">
        <v>2560619605</v>
      </c>
      <c r="I38" s="83">
        <f>SUMIF(T_BS!$D:$D,BS!D38,T_BS!AA:AA)</f>
        <v>1545570816</v>
      </c>
    </row>
    <row r="39" spans="4:9" ht="18" customHeight="1">
      <c r="D39" s="14">
        <v>115350</v>
      </c>
      <c r="E39" s="6" t="s">
        <v>2</v>
      </c>
      <c r="F39" s="84">
        <v>1306</v>
      </c>
      <c r="G39" s="6" t="s">
        <v>48</v>
      </c>
      <c r="H39" s="83">
        <v>-337565558</v>
      </c>
      <c r="I39" s="83">
        <f>SUMIF(T_BS!$D:$D,BS!D39,T_BS!AA:AA)</f>
        <v>-539343650</v>
      </c>
    </row>
    <row r="40" spans="4:9" ht="18" customHeight="1">
      <c r="D40" s="14">
        <v>115400</v>
      </c>
      <c r="E40" s="6" t="s">
        <v>2</v>
      </c>
      <c r="F40" s="84">
        <v>1307</v>
      </c>
      <c r="G40" s="6" t="s">
        <v>49</v>
      </c>
      <c r="H40" s="83">
        <v>11232722171</v>
      </c>
      <c r="I40" s="83">
        <f>SUMIF(T_BS!$D:$D,BS!D40,T_BS!AA:AA)</f>
        <v>11208584813</v>
      </c>
    </row>
    <row r="41" spans="4:9" ht="18" customHeight="1">
      <c r="D41" s="14">
        <v>115470</v>
      </c>
      <c r="E41" s="6" t="s">
        <v>2</v>
      </c>
      <c r="F41" s="84">
        <v>1308</v>
      </c>
      <c r="G41" s="6" t="s">
        <v>50</v>
      </c>
      <c r="H41" s="83">
        <v>-2705672899</v>
      </c>
      <c r="I41" s="83">
        <f>SUMIF(T_BS!$D:$D,BS!D41,T_BS!AA:AA)</f>
        <v>-7967175903</v>
      </c>
    </row>
    <row r="42" spans="4:9" ht="18" customHeight="1">
      <c r="D42" s="14">
        <v>115800</v>
      </c>
      <c r="E42" s="6" t="s">
        <v>2</v>
      </c>
      <c r="F42" s="84" t="s">
        <v>616</v>
      </c>
      <c r="G42" s="6" t="s">
        <v>51</v>
      </c>
      <c r="H42" s="83">
        <v>0</v>
      </c>
      <c r="I42" s="83">
        <f>SUMIF(T_BS!$D:$D,BS!D42,T_BS!AA:AA)</f>
        <v>0</v>
      </c>
    </row>
    <row r="43" spans="4:9" ht="18" customHeight="1">
      <c r="D43" s="13"/>
      <c r="E43" s="77"/>
      <c r="F43" s="78"/>
      <c r="G43" s="77" t="s">
        <v>3</v>
      </c>
      <c r="H43" s="79">
        <f t="shared" ref="H43:I43" si="6">SUM(H44:H47)</f>
        <v>123183784</v>
      </c>
      <c r="I43" s="79">
        <f t="shared" si="6"/>
        <v>324941593</v>
      </c>
    </row>
    <row r="44" spans="4:9" ht="18" customHeight="1">
      <c r="D44" s="14">
        <v>113100</v>
      </c>
      <c r="E44" s="6" t="s">
        <v>3</v>
      </c>
      <c r="F44" s="84">
        <v>1401</v>
      </c>
      <c r="G44" s="6" t="s">
        <v>52</v>
      </c>
      <c r="H44" s="83">
        <v>2294570</v>
      </c>
      <c r="I44" s="83">
        <f>SUMIF(T_BS!$D:$D,BS!D44,T_BS!AA:AA)</f>
        <v>234108850</v>
      </c>
    </row>
    <row r="45" spans="4:9" ht="18" customHeight="1">
      <c r="D45" s="14">
        <v>113101</v>
      </c>
      <c r="E45" s="6" t="s">
        <v>3</v>
      </c>
      <c r="F45" s="84">
        <v>1401</v>
      </c>
      <c r="G45" s="6" t="s">
        <v>53</v>
      </c>
      <c r="H45" s="83">
        <v>0</v>
      </c>
      <c r="I45" s="83">
        <f>SUMIF(T_BS!$D:$D,BS!D45,T_BS!AA:AA)</f>
        <v>22104300</v>
      </c>
    </row>
    <row r="46" spans="4:9" ht="18" customHeight="1">
      <c r="D46" s="14">
        <v>113160</v>
      </c>
      <c r="E46" s="6" t="s">
        <v>3</v>
      </c>
      <c r="F46" s="84">
        <v>1401</v>
      </c>
      <c r="G46" s="6" t="s">
        <v>54</v>
      </c>
      <c r="H46" s="83">
        <v>120889214</v>
      </c>
      <c r="I46" s="83">
        <f>SUMIF(T_BS!$D:$D,BS!D46,T_BS!AA:AA)</f>
        <v>68171473</v>
      </c>
    </row>
    <row r="47" spans="4:9" ht="18" customHeight="1">
      <c r="D47" s="14">
        <v>113161</v>
      </c>
      <c r="E47" s="6" t="s">
        <v>3</v>
      </c>
      <c r="F47" s="84">
        <v>1401</v>
      </c>
      <c r="G47" s="6" t="s">
        <v>55</v>
      </c>
      <c r="H47" s="83">
        <v>0</v>
      </c>
      <c r="I47" s="83">
        <f>SUMIF(T_BS!$D:$D,BS!D47,T_BS!AA:AA)</f>
        <v>556970</v>
      </c>
    </row>
    <row r="48" spans="4:9" ht="18" customHeight="1">
      <c r="D48" s="13"/>
      <c r="E48" s="77"/>
      <c r="F48" s="78"/>
      <c r="G48" s="77" t="s">
        <v>4</v>
      </c>
      <c r="H48" s="79">
        <f>SUM(H49:H61)</f>
        <v>4629295354</v>
      </c>
      <c r="I48" s="79">
        <f>SUM(I49:I61)</f>
        <v>2563392106</v>
      </c>
    </row>
    <row r="49" spans="4:9" ht="18" customHeight="1">
      <c r="D49" s="14">
        <v>112710</v>
      </c>
      <c r="E49" s="6" t="s">
        <v>4</v>
      </c>
      <c r="F49" s="84">
        <v>1605</v>
      </c>
      <c r="G49" s="6" t="s">
        <v>56</v>
      </c>
      <c r="H49" s="83">
        <v>407959957</v>
      </c>
      <c r="I49" s="83">
        <f>SUMIF(T_BS!$D:$D,BS!D49,T_BS!AA:AA)</f>
        <v>369724770</v>
      </c>
    </row>
    <row r="50" spans="4:9" ht="18" customHeight="1">
      <c r="D50" s="14">
        <v>112720</v>
      </c>
      <c r="E50" s="6" t="s">
        <v>4</v>
      </c>
      <c r="F50" s="84">
        <v>1605</v>
      </c>
      <c r="G50" s="6" t="s">
        <v>57</v>
      </c>
      <c r="H50" s="83">
        <v>-47123291</v>
      </c>
      <c r="I50" s="83">
        <f>SUMIF(T_BS!$D:$D,BS!D50,T_BS!AA:AA)</f>
        <v>605065795</v>
      </c>
    </row>
    <row r="51" spans="4:9" ht="18" customHeight="1">
      <c r="D51" s="14">
        <v>112730</v>
      </c>
      <c r="E51" s="6" t="s">
        <v>4</v>
      </c>
      <c r="F51" s="84">
        <v>1605</v>
      </c>
      <c r="G51" s="6" t="s">
        <v>58</v>
      </c>
      <c r="H51" s="83">
        <v>0</v>
      </c>
      <c r="I51" s="83">
        <f>SUMIF(T_BS!$D:$D,BS!D51,T_BS!AA:AA)</f>
        <v>48113134</v>
      </c>
    </row>
    <row r="52" spans="4:9" ht="18" customHeight="1">
      <c r="D52" s="14">
        <v>113340</v>
      </c>
      <c r="E52" s="6" t="s">
        <v>4</v>
      </c>
      <c r="F52" s="84">
        <v>1607</v>
      </c>
      <c r="G52" s="6" t="s">
        <v>59</v>
      </c>
      <c r="H52" s="83">
        <v>271892468</v>
      </c>
      <c r="I52" s="83">
        <f>SUMIF(T_BS!$D:$D,BS!D52,T_BS!AA:AA)</f>
        <v>212955264</v>
      </c>
    </row>
    <row r="53" spans="4:9" ht="18" customHeight="1">
      <c r="D53" s="14">
        <v>112511</v>
      </c>
      <c r="E53" s="6" t="s">
        <v>4</v>
      </c>
      <c r="F53" s="84">
        <v>1601</v>
      </c>
      <c r="G53" s="6" t="s">
        <v>60</v>
      </c>
      <c r="H53" s="83">
        <v>2416786650</v>
      </c>
      <c r="I53" s="83">
        <f>SUMIF(T_BS!$D:$D,BS!D53,T_BS!AA:AA)</f>
        <v>447717159</v>
      </c>
    </row>
    <row r="54" spans="4:9" ht="18" customHeight="1">
      <c r="D54" s="14">
        <v>112521</v>
      </c>
      <c r="E54" s="6" t="s">
        <v>4</v>
      </c>
      <c r="F54" s="84">
        <v>1601</v>
      </c>
      <c r="G54" s="6" t="s">
        <v>61</v>
      </c>
      <c r="H54" s="83">
        <v>0</v>
      </c>
      <c r="I54" s="83">
        <f>SUMIF(T_BS!$D:$D,BS!D54,T_BS!AA:AA)</f>
        <v>0</v>
      </c>
    </row>
    <row r="55" spans="4:9" ht="18" customHeight="1">
      <c r="D55" s="14">
        <v>112522</v>
      </c>
      <c r="E55" s="6" t="s">
        <v>4</v>
      </c>
      <c r="F55" s="84">
        <v>1601</v>
      </c>
      <c r="G55" s="6" t="s">
        <v>62</v>
      </c>
      <c r="H55" s="83">
        <v>0</v>
      </c>
      <c r="I55" s="83">
        <f>SUMIF(T_BS!$D:$D,BS!D55,T_BS!AA:AA)</f>
        <v>232652289</v>
      </c>
    </row>
    <row r="56" spans="4:9" ht="18" customHeight="1">
      <c r="D56" s="14">
        <v>112531</v>
      </c>
      <c r="E56" s="6" t="s">
        <v>4</v>
      </c>
      <c r="F56" s="84">
        <v>1601</v>
      </c>
      <c r="G56" s="6" t="s">
        <v>63</v>
      </c>
      <c r="H56" s="83">
        <v>1579779570</v>
      </c>
      <c r="I56" s="83">
        <f>SUMIF(T_BS!$D:$D,BS!D56,T_BS!AA:AA)</f>
        <v>618212844</v>
      </c>
    </row>
    <row r="57" spans="4:9" ht="18" customHeight="1">
      <c r="D57" s="14">
        <v>112533</v>
      </c>
      <c r="E57" s="6" t="s">
        <v>4</v>
      </c>
      <c r="F57" s="84">
        <v>1601</v>
      </c>
      <c r="G57" s="6" t="s">
        <v>64</v>
      </c>
      <c r="H57" s="83">
        <v>0</v>
      </c>
      <c r="I57" s="83">
        <f>SUMIF(T_BS!$D:$D,BS!D57,T_BS!AA:AA)</f>
        <v>0</v>
      </c>
    </row>
    <row r="58" spans="4:9" ht="18" customHeight="1">
      <c r="D58" s="14">
        <v>112534</v>
      </c>
      <c r="E58" s="6" t="s">
        <v>4</v>
      </c>
      <c r="F58" s="84">
        <v>1601</v>
      </c>
      <c r="G58" s="6" t="s">
        <v>65</v>
      </c>
      <c r="H58" s="83">
        <v>0</v>
      </c>
      <c r="I58" s="83">
        <f>SUMIF(T_BS!$D:$D,BS!D58,T_BS!AA:AA)</f>
        <v>0</v>
      </c>
    </row>
    <row r="59" spans="4:9" ht="18" customHeight="1">
      <c r="D59" s="14">
        <v>112535</v>
      </c>
      <c r="E59" s="6" t="s">
        <v>4</v>
      </c>
      <c r="F59" s="84">
        <v>1601</v>
      </c>
      <c r="G59" s="6" t="s">
        <v>66</v>
      </c>
      <c r="H59" s="83">
        <v>0</v>
      </c>
      <c r="I59" s="83">
        <f>SUMIF(T_BS!$D:$D,BS!D59,T_BS!AA:AA)</f>
        <v>244020</v>
      </c>
    </row>
    <row r="60" spans="4:9" ht="18" customHeight="1">
      <c r="D60" s="14">
        <v>112900</v>
      </c>
      <c r="E60" s="6" t="s">
        <v>4</v>
      </c>
      <c r="F60" s="84">
        <v>112900</v>
      </c>
      <c r="G60" s="6" t="s">
        <v>67</v>
      </c>
      <c r="H60" s="83">
        <v>0</v>
      </c>
      <c r="I60" s="83">
        <f>SUMIF(T_BS!$D:$D,BS!D60,T_BS!AA:AA)</f>
        <v>0</v>
      </c>
    </row>
    <row r="61" spans="4:9" ht="18" customHeight="1">
      <c r="D61" s="14" t="s">
        <v>68</v>
      </c>
      <c r="E61" s="6" t="s">
        <v>4</v>
      </c>
      <c r="F61" s="84">
        <v>112900</v>
      </c>
      <c r="G61" s="6" t="s">
        <v>69</v>
      </c>
      <c r="H61" s="83">
        <v>0</v>
      </c>
      <c r="I61" s="83">
        <f>SUMIF(T_BS!$D:$D,BS!D61,T_BS!AA:AA)</f>
        <v>28706831</v>
      </c>
    </row>
    <row r="62" spans="4:9" ht="18" customHeight="1">
      <c r="D62" s="12"/>
      <c r="E62" s="74"/>
      <c r="F62" s="75"/>
      <c r="G62" s="74" t="s">
        <v>70</v>
      </c>
      <c r="H62" s="76">
        <f>SUM(H63,H68,H73,H76,H99,H120)</f>
        <v>54465274753</v>
      </c>
      <c r="I62" s="76">
        <f>SUM(I63,I68,I73,I76,I99,I120)</f>
        <v>34784856338</v>
      </c>
    </row>
    <row r="63" spans="4:9" ht="18" customHeight="1">
      <c r="D63" s="13"/>
      <c r="E63" s="77"/>
      <c r="F63" s="78"/>
      <c r="G63" s="77" t="s">
        <v>71</v>
      </c>
      <c r="H63" s="79">
        <f t="shared" ref="H63:I63" si="7">SUM(H64:H67)</f>
        <v>1654246176</v>
      </c>
      <c r="I63" s="79">
        <f t="shared" si="7"/>
        <v>1843022019</v>
      </c>
    </row>
    <row r="64" spans="4:9" ht="18" customHeight="1">
      <c r="D64" s="14">
        <v>121551</v>
      </c>
      <c r="E64" s="6" t="s">
        <v>1750</v>
      </c>
      <c r="F64" s="84">
        <v>2101</v>
      </c>
      <c r="G64" s="6" t="s">
        <v>72</v>
      </c>
      <c r="H64" s="83">
        <v>20863620</v>
      </c>
      <c r="I64" s="83">
        <f>SUMIF(T_BS!$D:$D,BS!D64,T_BS!AA:AA)</f>
        <v>114571230</v>
      </c>
    </row>
    <row r="65" spans="4:9" ht="18" customHeight="1">
      <c r="D65" s="14">
        <v>121511</v>
      </c>
      <c r="E65" s="6" t="s">
        <v>1750</v>
      </c>
      <c r="F65" s="84">
        <v>2101</v>
      </c>
      <c r="G65" s="6" t="s">
        <v>73</v>
      </c>
      <c r="H65" s="83">
        <v>1983560</v>
      </c>
      <c r="I65" s="83">
        <f>SUMIF(T_BS!$D:$D,BS!D65,T_BS!AA:AA)</f>
        <v>1257560</v>
      </c>
    </row>
    <row r="66" spans="4:9" ht="18" customHeight="1">
      <c r="D66" s="14">
        <v>121532</v>
      </c>
      <c r="E66" s="6" t="s">
        <v>1750</v>
      </c>
      <c r="F66" s="84">
        <v>2101</v>
      </c>
      <c r="G66" s="6" t="s">
        <v>74</v>
      </c>
      <c r="H66" s="83">
        <v>-75069502</v>
      </c>
      <c r="I66" s="83">
        <f>SUMIF(T_BS!$D:$D,BS!D66,T_BS!AA:AA)</f>
        <v>-100194771</v>
      </c>
    </row>
    <row r="67" spans="4:9" ht="18" customHeight="1">
      <c r="D67" s="14">
        <v>121531</v>
      </c>
      <c r="E67" s="6" t="s">
        <v>1750</v>
      </c>
      <c r="F67" s="84">
        <v>2101</v>
      </c>
      <c r="G67" s="6" t="s">
        <v>75</v>
      </c>
      <c r="H67" s="83">
        <v>1706468498</v>
      </c>
      <c r="I67" s="83">
        <f>SUMIF(T_BS!$D:$D,BS!D67,T_BS!AA:AA)</f>
        <v>1827388000</v>
      </c>
    </row>
    <row r="68" spans="4:9" ht="18" customHeight="1">
      <c r="D68" s="13"/>
      <c r="E68" s="77"/>
      <c r="F68" s="78"/>
      <c r="G68" s="77" t="s">
        <v>76</v>
      </c>
      <c r="H68" s="79">
        <f t="shared" ref="H68:I68" si="8">SUM(H69:H72)</f>
        <v>978026298</v>
      </c>
      <c r="I68" s="79">
        <f t="shared" si="8"/>
        <v>996359683</v>
      </c>
    </row>
    <row r="69" spans="4:9" ht="18" customHeight="1">
      <c r="D69" s="14">
        <v>121410</v>
      </c>
      <c r="E69" s="6" t="s">
        <v>76</v>
      </c>
      <c r="F69" s="84">
        <v>2603</v>
      </c>
      <c r="G69" s="6" t="s">
        <v>77</v>
      </c>
      <c r="H69" s="83">
        <v>978026298</v>
      </c>
      <c r="I69" s="83">
        <f>SUMIF(T_BS!$D:$D,BS!D69,T_BS!AA:AA)</f>
        <v>996359683</v>
      </c>
    </row>
    <row r="70" spans="4:9" ht="18" customHeight="1">
      <c r="D70" s="87" t="s">
        <v>222</v>
      </c>
      <c r="E70" s="6" t="s">
        <v>76</v>
      </c>
      <c r="F70" s="84" t="s">
        <v>616</v>
      </c>
      <c r="G70" s="6" t="s">
        <v>78</v>
      </c>
      <c r="H70" s="83">
        <v>0</v>
      </c>
      <c r="I70" s="83">
        <f>SUMIF(T_BS!$D:$D,BS!D70,T_BS!AA:AA)</f>
        <v>0</v>
      </c>
    </row>
    <row r="71" spans="4:9" ht="18" customHeight="1">
      <c r="D71" s="87" t="s">
        <v>223</v>
      </c>
      <c r="E71" s="6" t="s">
        <v>76</v>
      </c>
      <c r="F71" s="84" t="s">
        <v>616</v>
      </c>
      <c r="G71" s="6" t="s">
        <v>79</v>
      </c>
      <c r="H71" s="83">
        <v>0</v>
      </c>
      <c r="I71" s="83">
        <f>SUMIF(T_BS!$D:$D,BS!D71,T_BS!AA:AA)</f>
        <v>0</v>
      </c>
    </row>
    <row r="72" spans="4:9" ht="18" customHeight="1">
      <c r="D72" s="87" t="s">
        <v>224</v>
      </c>
      <c r="E72" s="6" t="s">
        <v>76</v>
      </c>
      <c r="F72" s="84" t="s">
        <v>616</v>
      </c>
      <c r="G72" s="6" t="s">
        <v>42</v>
      </c>
      <c r="H72" s="83">
        <v>0</v>
      </c>
      <c r="I72" s="83">
        <f>SUMIF(T_BS!$D:$D,BS!D72,T_BS!AA:AA)</f>
        <v>0</v>
      </c>
    </row>
    <row r="73" spans="4:9" ht="18" customHeight="1">
      <c r="D73" s="13"/>
      <c r="E73" s="77"/>
      <c r="F73" s="78"/>
      <c r="G73" s="77" t="s">
        <v>80</v>
      </c>
      <c r="H73" s="79">
        <f t="shared" ref="H73:I73" si="9">SUM(H74:H75)</f>
        <v>0</v>
      </c>
      <c r="I73" s="79">
        <f t="shared" si="9"/>
        <v>0</v>
      </c>
    </row>
    <row r="74" spans="4:9" ht="18" customHeight="1">
      <c r="D74" s="14">
        <v>900019</v>
      </c>
      <c r="E74" s="6" t="s">
        <v>81</v>
      </c>
      <c r="F74" s="84" t="s">
        <v>616</v>
      </c>
      <c r="G74" s="6" t="s">
        <v>81</v>
      </c>
      <c r="H74" s="83">
        <v>0</v>
      </c>
      <c r="I74" s="83">
        <f>SUMIF(T_BS!$D:$D,BS!D74,T_BS!AA:AA)</f>
        <v>0</v>
      </c>
    </row>
    <row r="75" spans="4:9" ht="18" customHeight="1">
      <c r="D75" s="14" t="s">
        <v>82</v>
      </c>
      <c r="E75" s="6" t="s">
        <v>83</v>
      </c>
      <c r="F75" s="84" t="s">
        <v>616</v>
      </c>
      <c r="G75" s="6" t="s">
        <v>83</v>
      </c>
      <c r="H75" s="83">
        <v>0</v>
      </c>
      <c r="I75" s="83">
        <f>SUMIF(T_BS!$D:$D,BS!D75,T_BS!AA:AA)</f>
        <v>0</v>
      </c>
    </row>
    <row r="76" spans="4:9" ht="18" customHeight="1">
      <c r="D76" s="13"/>
      <c r="E76" s="77"/>
      <c r="F76" s="78"/>
      <c r="G76" s="77" t="s">
        <v>5</v>
      </c>
      <c r="H76" s="79">
        <f t="shared" ref="H76:I76" si="10">SUM(H77:H98)</f>
        <v>2286255773</v>
      </c>
      <c r="I76" s="79">
        <f t="shared" si="10"/>
        <v>5328505320</v>
      </c>
    </row>
    <row r="77" spans="4:9" ht="18" customHeight="1">
      <c r="D77" s="14">
        <v>123700</v>
      </c>
      <c r="E77" s="6" t="s">
        <v>5</v>
      </c>
      <c r="F77" s="84">
        <v>2401</v>
      </c>
      <c r="G77" s="6" t="s">
        <v>84</v>
      </c>
      <c r="H77" s="83">
        <v>22092612</v>
      </c>
      <c r="I77" s="83">
        <f>SUMIF(T_BS!$D:$D,BS!D77,T_BS!AA:AA)</f>
        <v>31456249</v>
      </c>
    </row>
    <row r="78" spans="4:9" ht="18" customHeight="1">
      <c r="D78" s="14">
        <v>123750</v>
      </c>
      <c r="E78" s="6" t="s">
        <v>5</v>
      </c>
      <c r="F78" s="84">
        <v>2402</v>
      </c>
      <c r="G78" s="6" t="s">
        <v>85</v>
      </c>
      <c r="H78" s="83">
        <v>-22089612</v>
      </c>
      <c r="I78" s="83">
        <f>SUMIF(T_BS!$D:$D,BS!D78,T_BS!AA:AA)</f>
        <v>-22424459</v>
      </c>
    </row>
    <row r="79" spans="4:9" ht="18" customHeight="1">
      <c r="D79" s="14">
        <v>123900</v>
      </c>
      <c r="E79" s="6" t="s">
        <v>5</v>
      </c>
      <c r="F79" s="84">
        <v>2404</v>
      </c>
      <c r="G79" s="6" t="s">
        <v>86</v>
      </c>
      <c r="H79" s="83">
        <v>112888390</v>
      </c>
      <c r="I79" s="83">
        <f>SUMIF(T_BS!$D:$D,BS!D79,T_BS!AA:AA)</f>
        <v>209637249</v>
      </c>
    </row>
    <row r="80" spans="4:9" ht="18" customHeight="1">
      <c r="D80" s="14">
        <v>123950</v>
      </c>
      <c r="E80" s="6" t="s">
        <v>5</v>
      </c>
      <c r="F80" s="84">
        <v>2405</v>
      </c>
      <c r="G80" s="6" t="s">
        <v>87</v>
      </c>
      <c r="H80" s="83">
        <v>-81181359</v>
      </c>
      <c r="I80" s="83">
        <f>SUMIF(T_BS!$D:$D,BS!D80,T_BS!AA:AA)</f>
        <v>-107783846</v>
      </c>
    </row>
    <row r="81" spans="4:9" ht="18" customHeight="1">
      <c r="D81" s="14">
        <v>123960</v>
      </c>
      <c r="E81" s="6" t="s">
        <v>5</v>
      </c>
      <c r="F81" s="84">
        <v>2406</v>
      </c>
      <c r="G81" s="6" t="s">
        <v>88</v>
      </c>
      <c r="H81" s="83">
        <v>-19482073</v>
      </c>
      <c r="I81" s="83">
        <f>SUMIF(T_BS!$D:$D,BS!D81,T_BS!AA:AA)</f>
        <v>-19482073</v>
      </c>
    </row>
    <row r="82" spans="4:9" ht="18" customHeight="1">
      <c r="D82" s="14">
        <v>124000</v>
      </c>
      <c r="E82" s="6" t="s">
        <v>5</v>
      </c>
      <c r="F82" s="84">
        <v>2407</v>
      </c>
      <c r="G82" s="6" t="s">
        <v>89</v>
      </c>
      <c r="H82" s="83">
        <v>480329381</v>
      </c>
      <c r="I82" s="83">
        <f>SUMIF(T_BS!$D:$D,BS!D82,T_BS!AA:AA)</f>
        <v>480329381</v>
      </c>
    </row>
    <row r="83" spans="4:9" ht="18" customHeight="1">
      <c r="D83" s="14">
        <v>124050</v>
      </c>
      <c r="E83" s="6" t="s">
        <v>5</v>
      </c>
      <c r="F83" s="84">
        <v>2408</v>
      </c>
      <c r="G83" s="6" t="s">
        <v>90</v>
      </c>
      <c r="H83" s="83">
        <v>-413077707</v>
      </c>
      <c r="I83" s="83">
        <f>SUMIF(T_BS!$D:$D,BS!D83,T_BS!AA:AA)</f>
        <v>-433497217</v>
      </c>
    </row>
    <row r="84" spans="4:9" ht="18" customHeight="1">
      <c r="D84" s="14">
        <v>124160</v>
      </c>
      <c r="E84" s="6" t="s">
        <v>5</v>
      </c>
      <c r="F84" s="84">
        <v>2409</v>
      </c>
      <c r="G84" s="6" t="s">
        <v>91</v>
      </c>
      <c r="H84" s="83">
        <v>-524300</v>
      </c>
      <c r="I84" s="83">
        <f>SUMIF(T_BS!$D:$D,BS!D84,T_BS!AA:AA)</f>
        <v>-524300</v>
      </c>
    </row>
    <row r="85" spans="4:9" ht="18" customHeight="1">
      <c r="D85" s="14">
        <v>124200</v>
      </c>
      <c r="E85" s="6" t="s">
        <v>5</v>
      </c>
      <c r="F85" s="84">
        <v>2407</v>
      </c>
      <c r="G85" s="6" t="s">
        <v>92</v>
      </c>
      <c r="H85" s="83">
        <v>3330617374</v>
      </c>
      <c r="I85" s="83">
        <f>SUMIF(T_BS!$D:$D,BS!D85,T_BS!AA:AA)</f>
        <v>3668979715</v>
      </c>
    </row>
    <row r="86" spans="4:9" ht="18" customHeight="1">
      <c r="D86" s="14">
        <v>124250</v>
      </c>
      <c r="E86" s="6" t="s">
        <v>5</v>
      </c>
      <c r="F86" s="84">
        <v>2408</v>
      </c>
      <c r="G86" s="6" t="s">
        <v>93</v>
      </c>
      <c r="H86" s="83">
        <v>-2419977873</v>
      </c>
      <c r="I86" s="83">
        <f>SUMIF(T_BS!$D:$D,BS!D86,T_BS!AA:AA)</f>
        <v>-3036885949</v>
      </c>
    </row>
    <row r="87" spans="4:9" ht="18" customHeight="1">
      <c r="D87" s="14">
        <v>124260</v>
      </c>
      <c r="E87" s="6" t="s">
        <v>5</v>
      </c>
      <c r="F87" s="84">
        <v>2409</v>
      </c>
      <c r="G87" s="6" t="s">
        <v>94</v>
      </c>
      <c r="H87" s="83">
        <v>-130095847</v>
      </c>
      <c r="I87" s="83">
        <f>SUMIF(T_BS!$D:$D,BS!D87,T_BS!AA:AA)</f>
        <v>-257563771</v>
      </c>
    </row>
    <row r="88" spans="4:9" ht="18" customHeight="1">
      <c r="D88" s="14">
        <v>124300</v>
      </c>
      <c r="E88" s="6" t="s">
        <v>5</v>
      </c>
      <c r="F88" s="84">
        <v>2413</v>
      </c>
      <c r="G88" s="6" t="s">
        <v>95</v>
      </c>
      <c r="H88" s="83">
        <v>3683170371</v>
      </c>
      <c r="I88" s="83">
        <f>SUMIF(T_BS!$D:$D,BS!D88,T_BS!AA:AA)</f>
        <v>4095621466</v>
      </c>
    </row>
    <row r="89" spans="4:9" ht="18" customHeight="1">
      <c r="D89" s="14">
        <v>124350</v>
      </c>
      <c r="E89" s="6" t="s">
        <v>5</v>
      </c>
      <c r="F89" s="84">
        <v>2414</v>
      </c>
      <c r="G89" s="6" t="s">
        <v>96</v>
      </c>
      <c r="H89" s="83">
        <v>-1825823921</v>
      </c>
      <c r="I89" s="83">
        <f>SUMIF(T_BS!$D:$D,BS!D89,T_BS!AA:AA)</f>
        <v>-1998291278</v>
      </c>
    </row>
    <row r="90" spans="4:9" ht="18" customHeight="1">
      <c r="D90" s="14">
        <v>124360</v>
      </c>
      <c r="E90" s="6" t="s">
        <v>5</v>
      </c>
      <c r="F90" s="84">
        <v>2415</v>
      </c>
      <c r="G90" s="6" t="s">
        <v>97</v>
      </c>
      <c r="H90" s="83">
        <v>-540095083</v>
      </c>
      <c r="I90" s="83">
        <f>SUMIF(T_BS!$D:$D,BS!D90,T_BS!AA:AA)</f>
        <v>-540095083</v>
      </c>
    </row>
    <row r="91" spans="4:9" ht="18" customHeight="1">
      <c r="D91" s="14">
        <v>124400</v>
      </c>
      <c r="E91" s="6" t="s">
        <v>5</v>
      </c>
      <c r="F91" s="84">
        <v>2413</v>
      </c>
      <c r="G91" s="6" t="s">
        <v>98</v>
      </c>
      <c r="H91" s="83">
        <v>3053372388</v>
      </c>
      <c r="I91" s="83">
        <f>SUMIF(T_BS!$D:$D,BS!D91,T_BS!AA:AA)</f>
        <v>3040094228</v>
      </c>
    </row>
    <row r="92" spans="4:9" ht="18" customHeight="1">
      <c r="D92" s="14">
        <v>124450</v>
      </c>
      <c r="E92" s="6" t="s">
        <v>5</v>
      </c>
      <c r="F92" s="84">
        <v>2414</v>
      </c>
      <c r="G92" s="6" t="s">
        <v>99</v>
      </c>
      <c r="H92" s="83">
        <v>-1241369882</v>
      </c>
      <c r="I92" s="83">
        <f>SUMIF(T_BS!$D:$D,BS!D92,T_BS!AA:AA)</f>
        <v>-1284391131</v>
      </c>
    </row>
    <row r="93" spans="4:9" ht="18" customHeight="1">
      <c r="D93" s="14">
        <v>124600</v>
      </c>
      <c r="E93" s="6" t="s">
        <v>5</v>
      </c>
      <c r="F93" s="84">
        <v>2415</v>
      </c>
      <c r="G93" s="6" t="s">
        <v>100</v>
      </c>
      <c r="H93" s="83">
        <v>-1702497086</v>
      </c>
      <c r="I93" s="83">
        <f>SUMIF(T_BS!$D:$D,BS!D93,T_BS!AA:AA)</f>
        <v>-1702497086</v>
      </c>
    </row>
    <row r="94" spans="4:9" ht="18" customHeight="1">
      <c r="D94" s="14">
        <v>126100</v>
      </c>
      <c r="E94" s="6" t="s">
        <v>5</v>
      </c>
      <c r="F94" s="84">
        <v>2701</v>
      </c>
      <c r="G94" s="6" t="s">
        <v>101</v>
      </c>
      <c r="H94" s="83">
        <v>0</v>
      </c>
      <c r="I94" s="83">
        <f>SUMIF(T_BS!$D:$D,BS!D94,T_BS!AA:AA)</f>
        <v>5569814458</v>
      </c>
    </row>
    <row r="95" spans="4:9" ht="18" customHeight="1">
      <c r="D95" s="14">
        <v>126110</v>
      </c>
      <c r="E95" s="6" t="s">
        <v>5</v>
      </c>
      <c r="F95" s="84">
        <v>2702</v>
      </c>
      <c r="G95" s="6" t="s">
        <v>102</v>
      </c>
      <c r="H95" s="83">
        <v>0</v>
      </c>
      <c r="I95" s="83">
        <f>SUMIF(T_BS!$D:$D,BS!D95,T_BS!AA:AA)</f>
        <v>-2428196247</v>
      </c>
    </row>
    <row r="96" spans="4:9" ht="18" customHeight="1">
      <c r="D96" s="14">
        <v>126200</v>
      </c>
      <c r="E96" s="6" t="s">
        <v>5</v>
      </c>
      <c r="F96" s="84">
        <v>2801</v>
      </c>
      <c r="G96" s="6" t="s">
        <v>103</v>
      </c>
      <c r="H96" s="83">
        <v>0</v>
      </c>
      <c r="I96" s="83">
        <f>SUMIF(T_BS!$D:$D,BS!D96,T_BS!AA:AA)</f>
        <v>102205663</v>
      </c>
    </row>
    <row r="97" spans="4:9" ht="18" customHeight="1">
      <c r="D97" s="14">
        <v>126210</v>
      </c>
      <c r="E97" s="6" t="s">
        <v>5</v>
      </c>
      <c r="F97" s="84">
        <v>2802</v>
      </c>
      <c r="G97" s="6" t="s">
        <v>104</v>
      </c>
      <c r="H97" s="83">
        <v>0</v>
      </c>
      <c r="I97" s="83">
        <f>SUMIF(T_BS!$D:$D,BS!D97,T_BS!AA:AA)</f>
        <v>-38000649</v>
      </c>
    </row>
    <row r="98" spans="4:9" ht="18" customHeight="1">
      <c r="D98" s="88" t="s">
        <v>1354</v>
      </c>
      <c r="E98" s="6" t="s">
        <v>5</v>
      </c>
      <c r="F98" s="84"/>
      <c r="G98" s="6" t="s">
        <v>538</v>
      </c>
      <c r="H98" s="83">
        <v>0</v>
      </c>
      <c r="I98" s="83">
        <f>SUMIF(T_BS!$D:$D,BS!D98,T_BS!AA:AA)</f>
        <v>0</v>
      </c>
    </row>
    <row r="99" spans="4:9" ht="18" customHeight="1">
      <c r="D99" s="13"/>
      <c r="E99" s="77"/>
      <c r="F99" s="78"/>
      <c r="G99" s="77" t="s">
        <v>6</v>
      </c>
      <c r="H99" s="79">
        <f t="shared" ref="H99:I99" si="11">SUM(H100:H119)</f>
        <v>49430124489</v>
      </c>
      <c r="I99" s="79">
        <f t="shared" si="11"/>
        <v>26598624855</v>
      </c>
    </row>
    <row r="100" spans="4:9" ht="18" customHeight="1">
      <c r="D100" s="14" t="s">
        <v>105</v>
      </c>
      <c r="E100" s="6" t="s">
        <v>6</v>
      </c>
      <c r="F100" s="84">
        <v>2501</v>
      </c>
      <c r="G100" s="6" t="s">
        <v>106</v>
      </c>
      <c r="H100" s="83">
        <v>127085370</v>
      </c>
      <c r="I100" s="83">
        <f>SUMIF(T_BS!$D:$D,BS!D100,T_BS!AA:AA)</f>
        <v>562650315</v>
      </c>
    </row>
    <row r="101" spans="4:9" ht="18" customHeight="1">
      <c r="D101" s="14" t="s">
        <v>107</v>
      </c>
      <c r="E101" s="6" t="s">
        <v>6</v>
      </c>
      <c r="F101" s="84">
        <v>2501</v>
      </c>
      <c r="G101" s="6" t="s">
        <v>108</v>
      </c>
      <c r="H101" s="83">
        <v>0</v>
      </c>
      <c r="I101" s="83">
        <f>SUMIF(T_BS!$D:$D,BS!D101,T_BS!AA:AA)</f>
        <v>-457233848</v>
      </c>
    </row>
    <row r="102" spans="4:9" ht="18" customHeight="1">
      <c r="D102" s="14" t="s">
        <v>109</v>
      </c>
      <c r="E102" s="6" t="s">
        <v>6</v>
      </c>
      <c r="F102" s="84">
        <v>2503</v>
      </c>
      <c r="G102" s="6" t="s">
        <v>110</v>
      </c>
      <c r="H102" s="83">
        <v>2283014333</v>
      </c>
      <c r="I102" s="83">
        <f>SUMIF(T_BS!$D:$D,BS!D102,T_BS!AA:AA)</f>
        <v>11684298570</v>
      </c>
    </row>
    <row r="103" spans="4:9" ht="18" customHeight="1">
      <c r="D103" s="14" t="s">
        <v>111</v>
      </c>
      <c r="E103" s="6" t="s">
        <v>6</v>
      </c>
      <c r="F103" s="84">
        <v>2503</v>
      </c>
      <c r="G103" s="6" t="s">
        <v>112</v>
      </c>
      <c r="H103" s="83">
        <v>0</v>
      </c>
      <c r="I103" s="83">
        <f>SUMIF(T_BS!$D:$D,BS!D103,T_BS!AA:AA)</f>
        <v>-8311666392</v>
      </c>
    </row>
    <row r="104" spans="4:9" ht="18" customHeight="1">
      <c r="D104" s="14" t="s">
        <v>113</v>
      </c>
      <c r="E104" s="6" t="s">
        <v>6</v>
      </c>
      <c r="F104" s="84">
        <v>2503</v>
      </c>
      <c r="G104" s="6" t="s">
        <v>114</v>
      </c>
      <c r="H104" s="83">
        <v>0</v>
      </c>
      <c r="I104" s="83">
        <f>SUMIF(T_BS!$D:$D,BS!D104,T_BS!AA:AA)</f>
        <v>-2107184643</v>
      </c>
    </row>
    <row r="105" spans="4:9" ht="18" customHeight="1">
      <c r="D105" s="14">
        <v>125300</v>
      </c>
      <c r="E105" s="6" t="s">
        <v>6</v>
      </c>
      <c r="F105" s="84">
        <v>2501</v>
      </c>
      <c r="G105" s="6" t="s">
        <v>115</v>
      </c>
      <c r="H105" s="83">
        <v>43303082</v>
      </c>
      <c r="I105" s="83">
        <f>SUMIF(T_BS!$D:$D,BS!D105,T_BS!AA:AA)</f>
        <v>329148240</v>
      </c>
    </row>
    <row r="106" spans="4:9" ht="18" customHeight="1">
      <c r="D106" s="14">
        <v>125400</v>
      </c>
      <c r="E106" s="6" t="s">
        <v>6</v>
      </c>
      <c r="F106" s="84">
        <v>2501</v>
      </c>
      <c r="G106" s="6" t="s">
        <v>116</v>
      </c>
      <c r="H106" s="83">
        <v>396924073</v>
      </c>
      <c r="I106" s="83">
        <f>SUMIF(T_BS!$D:$D,BS!D106,T_BS!AA:AA)</f>
        <v>434260729</v>
      </c>
    </row>
    <row r="107" spans="4:9" ht="18" customHeight="1">
      <c r="D107" s="14" t="s">
        <v>117</v>
      </c>
      <c r="E107" s="6" t="s">
        <v>6</v>
      </c>
      <c r="F107" s="84">
        <v>2501</v>
      </c>
      <c r="G107" s="6" t="s">
        <v>118</v>
      </c>
      <c r="H107" s="83">
        <v>3246114</v>
      </c>
      <c r="I107" s="83">
        <f>SUMIF(T_BS!$D:$D,BS!D107,T_BS!AA:AA)</f>
        <v>10801432</v>
      </c>
    </row>
    <row r="108" spans="4:9" ht="18" customHeight="1">
      <c r="D108" s="14" t="s">
        <v>119</v>
      </c>
      <c r="E108" s="6" t="s">
        <v>6</v>
      </c>
      <c r="F108" s="84">
        <v>2501</v>
      </c>
      <c r="G108" s="6" t="s">
        <v>120</v>
      </c>
      <c r="H108" s="83">
        <v>0</v>
      </c>
      <c r="I108" s="83">
        <f>SUMIF(T_BS!$D:$D,BS!D108,T_BS!AA:AA)</f>
        <v>-217817509</v>
      </c>
    </row>
    <row r="109" spans="4:9" ht="18" customHeight="1">
      <c r="D109" s="14" t="s">
        <v>121</v>
      </c>
      <c r="E109" s="6" t="s">
        <v>6</v>
      </c>
      <c r="F109" s="84">
        <v>2501</v>
      </c>
      <c r="G109" s="6" t="s">
        <v>122</v>
      </c>
      <c r="H109" s="83">
        <v>0</v>
      </c>
      <c r="I109" s="83">
        <f>SUMIF(T_BS!$D:$D,BS!D109,T_BS!AA:AA)</f>
        <v>-9548505</v>
      </c>
    </row>
    <row r="110" spans="4:9" ht="18" customHeight="1">
      <c r="D110" s="14">
        <v>125900</v>
      </c>
      <c r="E110" s="6" t="s">
        <v>6</v>
      </c>
      <c r="F110" s="84">
        <v>2505</v>
      </c>
      <c r="G110" s="6" t="s">
        <v>123</v>
      </c>
      <c r="H110" s="83">
        <v>3965593015</v>
      </c>
      <c r="I110" s="83">
        <f>SUMIF(T_BS!$D:$D,BS!D110,T_BS!AA:AA)</f>
        <v>18115512829</v>
      </c>
    </row>
    <row r="111" spans="4:9" ht="18" customHeight="1">
      <c r="D111" s="14" t="s">
        <v>126</v>
      </c>
      <c r="E111" s="6" t="s">
        <v>6</v>
      </c>
      <c r="F111" s="84">
        <v>2505</v>
      </c>
      <c r="G111" s="6" t="s">
        <v>127</v>
      </c>
      <c r="H111" s="83">
        <v>-40251600</v>
      </c>
      <c r="I111" s="83">
        <f>SUMIF(T_BS!$D:$D,BS!D111,T_BS!AA:AA)</f>
        <v>-8518056540</v>
      </c>
    </row>
    <row r="112" spans="4:9" ht="18" customHeight="1">
      <c r="D112" s="14" t="s">
        <v>124</v>
      </c>
      <c r="E112" s="6" t="s">
        <v>6</v>
      </c>
      <c r="F112" s="84">
        <v>2505</v>
      </c>
      <c r="G112" s="6" t="s">
        <v>125</v>
      </c>
      <c r="H112" s="83">
        <v>0</v>
      </c>
      <c r="I112" s="83">
        <f>SUMIF(T_BS!$D:$D,BS!D112,T_BS!AA:AA)</f>
        <v>-5553041486</v>
      </c>
    </row>
    <row r="113" spans="4:9" ht="18" customHeight="1">
      <c r="D113" s="14" t="s">
        <v>128</v>
      </c>
      <c r="E113" s="6" t="s">
        <v>6</v>
      </c>
      <c r="F113" s="84">
        <v>2508</v>
      </c>
      <c r="G113" s="6" t="s">
        <v>129</v>
      </c>
      <c r="H113" s="83">
        <v>25657490389</v>
      </c>
      <c r="I113" s="83">
        <f>SUMIF(T_BS!$D:$D,BS!D113,T_BS!AA:AA)</f>
        <v>19793736860</v>
      </c>
    </row>
    <row r="114" spans="4:9" ht="18" customHeight="1">
      <c r="D114" s="14" t="s">
        <v>130</v>
      </c>
      <c r="E114" s="6" t="s">
        <v>6</v>
      </c>
      <c r="F114" s="84">
        <v>2508</v>
      </c>
      <c r="G114" s="6" t="s">
        <v>131</v>
      </c>
      <c r="H114" s="83">
        <v>0</v>
      </c>
      <c r="I114" s="83">
        <f>SUMIF(T_BS!$D:$D,BS!D114,T_BS!AA:AA)</f>
        <v>-13175822804</v>
      </c>
    </row>
    <row r="115" spans="4:9" ht="18" customHeight="1">
      <c r="D115" s="14">
        <v>125950</v>
      </c>
      <c r="E115" s="6" t="s">
        <v>6</v>
      </c>
      <c r="F115" s="84">
        <v>2507</v>
      </c>
      <c r="G115" s="6" t="s">
        <v>132</v>
      </c>
      <c r="H115" s="83">
        <v>11262211112</v>
      </c>
      <c r="I115" s="83">
        <f>SUMIF(T_BS!$D:$D,BS!D115,T_BS!AA:AA)</f>
        <v>15600000000</v>
      </c>
    </row>
    <row r="116" spans="4:9" ht="18" customHeight="1">
      <c r="D116" s="14">
        <v>125960</v>
      </c>
      <c r="E116" s="6" t="s">
        <v>6</v>
      </c>
      <c r="F116" s="84">
        <v>2507</v>
      </c>
      <c r="G116" s="6" t="s">
        <v>133</v>
      </c>
      <c r="H116" s="83">
        <v>0</v>
      </c>
      <c r="I116" s="83">
        <f>SUMIF(T_BS!$D:$D,BS!D116,T_BS!AA:AA)</f>
        <v>-9069922221</v>
      </c>
    </row>
    <row r="117" spans="4:9" ht="18" customHeight="1">
      <c r="D117" s="14">
        <v>125970</v>
      </c>
      <c r="E117" s="6" t="s">
        <v>6</v>
      </c>
      <c r="F117" s="84">
        <v>2507</v>
      </c>
      <c r="G117" s="6" t="s">
        <v>134</v>
      </c>
      <c r="H117" s="83">
        <v>0</v>
      </c>
      <c r="I117" s="83">
        <f>SUMIF(T_BS!$D:$D,BS!D117,T_BS!AA:AA)</f>
        <v>2500000000</v>
      </c>
    </row>
    <row r="118" spans="4:9" ht="18" customHeight="1">
      <c r="D118" s="14">
        <v>125980</v>
      </c>
      <c r="E118" s="6" t="s">
        <v>6</v>
      </c>
      <c r="F118" s="84">
        <v>2507</v>
      </c>
      <c r="G118" s="6" t="s">
        <v>135</v>
      </c>
      <c r="H118" s="83">
        <v>0</v>
      </c>
      <c r="I118" s="83">
        <f>SUMIF(T_BS!$D:$D,BS!D118,T_BS!AA:AA)</f>
        <v>-333333333</v>
      </c>
    </row>
    <row r="119" spans="4:9" ht="18" customHeight="1">
      <c r="D119" s="87" t="s">
        <v>490</v>
      </c>
      <c r="E119" s="6" t="s">
        <v>6</v>
      </c>
      <c r="F119" s="84">
        <v>2507</v>
      </c>
      <c r="G119" s="6" t="s">
        <v>487</v>
      </c>
      <c r="H119" s="83">
        <v>5731508601</v>
      </c>
      <c r="I119" s="83">
        <f>SUMIF(T_BS!$D:$D,BS!D119,T_BS!AA:AA)</f>
        <v>5321843161</v>
      </c>
    </row>
    <row r="120" spans="4:9" ht="18" customHeight="1">
      <c r="D120" s="13"/>
      <c r="E120" s="77"/>
      <c r="F120" s="78"/>
      <c r="G120" s="77" t="s">
        <v>7</v>
      </c>
      <c r="H120" s="79">
        <f t="shared" ref="H120:I120" si="12">H121</f>
        <v>116622017</v>
      </c>
      <c r="I120" s="79">
        <f t="shared" si="12"/>
        <v>18344461</v>
      </c>
    </row>
    <row r="121" spans="4:9" ht="18" customHeight="1">
      <c r="D121" s="14">
        <v>121850</v>
      </c>
      <c r="E121" s="6" t="s">
        <v>7</v>
      </c>
      <c r="F121" s="84">
        <v>2302</v>
      </c>
      <c r="G121" s="6" t="s">
        <v>136</v>
      </c>
      <c r="H121" s="83">
        <v>116622017</v>
      </c>
      <c r="I121" s="83">
        <f>SUMIF(T_BS!$D:$D,BS!D121,T_BS!AA:AA)</f>
        <v>18344461</v>
      </c>
    </row>
    <row r="122" spans="4:9" ht="18" customHeight="1">
      <c r="D122" s="11"/>
      <c r="E122" s="71"/>
      <c r="F122" s="72"/>
      <c r="G122" s="71" t="s">
        <v>8</v>
      </c>
      <c r="H122" s="73">
        <f t="shared" ref="H122:I122" si="13">H123+H176</f>
        <v>44619710716</v>
      </c>
      <c r="I122" s="73">
        <f t="shared" si="13"/>
        <v>53354343030</v>
      </c>
    </row>
    <row r="123" spans="4:9" ht="18" customHeight="1">
      <c r="D123" s="12"/>
      <c r="E123" s="74"/>
      <c r="F123" s="75"/>
      <c r="G123" s="74" t="s">
        <v>9</v>
      </c>
      <c r="H123" s="76">
        <f t="shared" ref="H123:I123" si="14">SUM(H124,H144,H151,H172,H174)</f>
        <v>41956229192</v>
      </c>
      <c r="I123" s="76">
        <f t="shared" si="14"/>
        <v>49472647312</v>
      </c>
    </row>
    <row r="124" spans="4:9" ht="18" customHeight="1">
      <c r="D124" s="13">
        <v>211000</v>
      </c>
      <c r="E124" s="77"/>
      <c r="F124" s="78"/>
      <c r="G124" s="77" t="s">
        <v>137</v>
      </c>
      <c r="H124" s="79">
        <f t="shared" ref="H124:I124" si="15">SUM(H125:H143)</f>
        <v>22557298691</v>
      </c>
      <c r="I124" s="79">
        <f t="shared" si="15"/>
        <v>36253305936</v>
      </c>
    </row>
    <row r="125" spans="4:9" ht="18" customHeight="1">
      <c r="D125" s="14">
        <v>211111</v>
      </c>
      <c r="E125" s="6" t="s">
        <v>137</v>
      </c>
      <c r="F125" s="84">
        <v>3101</v>
      </c>
      <c r="G125" s="6" t="s">
        <v>138</v>
      </c>
      <c r="H125" s="83">
        <v>4861094785</v>
      </c>
      <c r="I125" s="83">
        <f>SUMIF(T_BS!$D:$D,BS!D125,T_BS!AA:AA)</f>
        <v>3757794939</v>
      </c>
    </row>
    <row r="126" spans="4:9" ht="18" customHeight="1">
      <c r="D126" s="14">
        <v>211121</v>
      </c>
      <c r="E126" s="6" t="s">
        <v>137</v>
      </c>
      <c r="F126" s="84">
        <v>3101</v>
      </c>
      <c r="G126" s="6" t="s">
        <v>139</v>
      </c>
      <c r="H126" s="83">
        <v>5464953181</v>
      </c>
      <c r="I126" s="83">
        <f>SUMIF(T_BS!$D:$D,BS!D126,T_BS!AA:AA)</f>
        <v>1537088412</v>
      </c>
    </row>
    <row r="127" spans="4:9" ht="18" customHeight="1">
      <c r="D127" s="14">
        <v>211131</v>
      </c>
      <c r="E127" s="6" t="s">
        <v>137</v>
      </c>
      <c r="F127" s="84">
        <v>3101</v>
      </c>
      <c r="G127" s="6" t="s">
        <v>140</v>
      </c>
      <c r="H127" s="83">
        <v>6698292931</v>
      </c>
      <c r="I127" s="83">
        <f>SUMIF(T_BS!$D:$D,BS!D127,T_BS!AA:AA)</f>
        <v>7718784165</v>
      </c>
    </row>
    <row r="128" spans="4:9" ht="18" customHeight="1">
      <c r="D128" s="14">
        <v>211141</v>
      </c>
      <c r="E128" s="6" t="s">
        <v>137</v>
      </c>
      <c r="F128" s="84">
        <v>3101</v>
      </c>
      <c r="G128" s="6" t="s">
        <v>141</v>
      </c>
      <c r="H128" s="83">
        <v>0</v>
      </c>
      <c r="I128" s="83">
        <f>SUMIF(T_BS!$D:$D,BS!D128,T_BS!AA:AA)</f>
        <v>14328033593</v>
      </c>
    </row>
    <row r="129" spans="4:9" ht="18" customHeight="1">
      <c r="D129" s="14">
        <v>211151</v>
      </c>
      <c r="E129" s="6" t="s">
        <v>137</v>
      </c>
      <c r="F129" s="84">
        <v>3101</v>
      </c>
      <c r="G129" s="6" t="s">
        <v>142</v>
      </c>
      <c r="H129" s="83">
        <v>0</v>
      </c>
      <c r="I129" s="83">
        <f>SUMIF(T_BS!$D:$D,BS!D129,T_BS!AA:AA)</f>
        <v>239492</v>
      </c>
    </row>
    <row r="130" spans="4:9" ht="18" customHeight="1">
      <c r="D130" s="14">
        <v>211161</v>
      </c>
      <c r="E130" s="6" t="s">
        <v>137</v>
      </c>
      <c r="F130" s="84">
        <v>3101</v>
      </c>
      <c r="G130" s="6" t="s">
        <v>143</v>
      </c>
      <c r="H130" s="83">
        <v>0</v>
      </c>
      <c r="I130" s="83">
        <f>SUMIF(T_BS!$D:$D,BS!D130,T_BS!AA:AA)</f>
        <v>0</v>
      </c>
    </row>
    <row r="131" spans="4:9" ht="18" customHeight="1">
      <c r="D131" s="14">
        <v>213100</v>
      </c>
      <c r="E131" s="6" t="s">
        <v>137</v>
      </c>
      <c r="F131" s="84">
        <v>3102</v>
      </c>
      <c r="G131" s="6" t="s">
        <v>144</v>
      </c>
      <c r="H131" s="83">
        <v>520546715</v>
      </c>
      <c r="I131" s="83">
        <f>SUMIF(T_BS!$D:$D,BS!D131,T_BS!AA:AA)</f>
        <v>4342008809</v>
      </c>
    </row>
    <row r="132" spans="4:9" ht="18" customHeight="1">
      <c r="D132" s="14">
        <v>213150</v>
      </c>
      <c r="E132" s="6" t="s">
        <v>137</v>
      </c>
      <c r="F132" s="84">
        <v>3102</v>
      </c>
      <c r="G132" s="6" t="s">
        <v>145</v>
      </c>
      <c r="H132" s="83">
        <v>3486238782</v>
      </c>
      <c r="I132" s="83">
        <f>SUMIF(T_BS!$D:$D,BS!D132,T_BS!AA:AA)</f>
        <v>987374286</v>
      </c>
    </row>
    <row r="133" spans="4:9" ht="18" customHeight="1">
      <c r="D133" s="14">
        <v>213900</v>
      </c>
      <c r="E133" s="6" t="s">
        <v>137</v>
      </c>
      <c r="F133" s="84">
        <v>3102</v>
      </c>
      <c r="G133" s="6" t="s">
        <v>146</v>
      </c>
      <c r="H133" s="83">
        <v>70516507</v>
      </c>
      <c r="I133" s="83">
        <f>SUMIF(T_BS!$D:$D,BS!D133,T_BS!AA:AA)</f>
        <v>82016742</v>
      </c>
    </row>
    <row r="134" spans="4:9" ht="18" customHeight="1">
      <c r="D134" s="14">
        <v>213800</v>
      </c>
      <c r="E134" s="6" t="s">
        <v>137</v>
      </c>
      <c r="F134" s="84">
        <v>3102</v>
      </c>
      <c r="G134" s="6" t="s">
        <v>147</v>
      </c>
      <c r="H134" s="83">
        <v>1455520</v>
      </c>
      <c r="I134" s="83">
        <f>SUMIF(T_BS!$D:$D,BS!D134,T_BS!AA:AA)</f>
        <v>85687471</v>
      </c>
    </row>
    <row r="135" spans="4:9" ht="18" customHeight="1">
      <c r="D135" s="14">
        <v>213101</v>
      </c>
      <c r="E135" s="6" t="s">
        <v>137</v>
      </c>
      <c r="F135" s="84">
        <v>3102</v>
      </c>
      <c r="G135" s="6" t="s">
        <v>148</v>
      </c>
      <c r="H135" s="83">
        <v>6251590</v>
      </c>
      <c r="I135" s="83">
        <f>SUMIF(T_BS!$D:$D,BS!D135,T_BS!AA:AA)</f>
        <v>6096340</v>
      </c>
    </row>
    <row r="136" spans="4:9" ht="18" customHeight="1">
      <c r="D136" s="14">
        <v>213200</v>
      </c>
      <c r="E136" s="6" t="s">
        <v>137</v>
      </c>
      <c r="F136" s="84">
        <v>3102</v>
      </c>
      <c r="G136" s="6" t="s">
        <v>149</v>
      </c>
      <c r="H136" s="83">
        <v>0</v>
      </c>
      <c r="I136" s="83">
        <f>SUMIF(T_BS!$D:$D,BS!D136,T_BS!AA:AA)</f>
        <v>227726322</v>
      </c>
    </row>
    <row r="137" spans="4:9" ht="18" customHeight="1">
      <c r="D137" s="14">
        <v>217900</v>
      </c>
      <c r="E137" s="6" t="s">
        <v>137</v>
      </c>
      <c r="F137" s="84">
        <v>3103</v>
      </c>
      <c r="G137" s="6" t="s">
        <v>150</v>
      </c>
      <c r="H137" s="83">
        <v>665014454</v>
      </c>
      <c r="I137" s="83">
        <f>SUMIF(T_BS!$D:$D,BS!D137,T_BS!AA:AA)</f>
        <v>2391239140</v>
      </c>
    </row>
    <row r="138" spans="4:9" ht="18" customHeight="1">
      <c r="D138" s="14">
        <v>217200</v>
      </c>
      <c r="E138" s="6" t="s">
        <v>137</v>
      </c>
      <c r="F138" s="84">
        <v>3103</v>
      </c>
      <c r="G138" s="6" t="s">
        <v>151</v>
      </c>
      <c r="H138" s="83">
        <v>151780603</v>
      </c>
      <c r="I138" s="83">
        <f>SUMIF(T_BS!$D:$D,BS!D138,T_BS!AA:AA)</f>
        <v>96990574</v>
      </c>
    </row>
    <row r="139" spans="4:9" ht="18" customHeight="1">
      <c r="D139" s="14">
        <v>217300</v>
      </c>
      <c r="E139" s="6" t="s">
        <v>137</v>
      </c>
      <c r="F139" s="84">
        <v>3103</v>
      </c>
      <c r="G139" s="6" t="s">
        <v>152</v>
      </c>
      <c r="H139" s="83">
        <v>54234932</v>
      </c>
      <c r="I139" s="83">
        <f>SUMIF(T_BS!$D:$D,BS!D139,T_BS!AA:AA)</f>
        <v>5595287</v>
      </c>
    </row>
    <row r="140" spans="4:9" ht="18" customHeight="1">
      <c r="D140" s="14">
        <v>217400</v>
      </c>
      <c r="E140" s="6" t="s">
        <v>137</v>
      </c>
      <c r="F140" s="84">
        <v>3103</v>
      </c>
      <c r="G140" s="6" t="s">
        <v>153</v>
      </c>
      <c r="H140" s="83">
        <v>156141731</v>
      </c>
      <c r="I140" s="83">
        <f>SUMIF(T_BS!$D:$D,BS!D140,T_BS!AA:AA)</f>
        <v>42799464</v>
      </c>
    </row>
    <row r="141" spans="4:9" ht="18" customHeight="1">
      <c r="D141" s="14">
        <v>217500</v>
      </c>
      <c r="E141" s="6" t="s">
        <v>137</v>
      </c>
      <c r="F141" s="84">
        <v>3103</v>
      </c>
      <c r="G141" s="6" t="s">
        <v>154</v>
      </c>
      <c r="H141" s="83">
        <v>417776960</v>
      </c>
      <c r="I141" s="83">
        <f>SUMIF(T_BS!$D:$D,BS!D141,T_BS!AA:AA)</f>
        <v>643830900</v>
      </c>
    </row>
    <row r="142" spans="4:9" ht="18" customHeight="1">
      <c r="D142" s="14" t="s">
        <v>1629</v>
      </c>
      <c r="E142" s="6" t="s">
        <v>137</v>
      </c>
      <c r="F142" s="84">
        <v>3103</v>
      </c>
      <c r="G142" s="6" t="s">
        <v>1630</v>
      </c>
      <c r="H142" s="83">
        <v>0</v>
      </c>
      <c r="I142" s="83">
        <f>SUMIF(T_BS!$D:$D,BS!D142,T_BS!AA:AA)</f>
        <v>0</v>
      </c>
    </row>
    <row r="143" spans="4:9" ht="18" customHeight="1">
      <c r="D143" s="14">
        <v>223150</v>
      </c>
      <c r="E143" s="6" t="s">
        <v>137</v>
      </c>
      <c r="F143" s="84">
        <v>3401</v>
      </c>
      <c r="G143" s="6" t="s">
        <v>155</v>
      </c>
      <c r="H143" s="83">
        <v>3000000</v>
      </c>
      <c r="I143" s="83">
        <f>SUMIF(T_BS!$D:$D,BS!D143,T_BS!AA:AA)</f>
        <v>0</v>
      </c>
    </row>
    <row r="144" spans="4:9" ht="18" customHeight="1">
      <c r="D144" s="13"/>
      <c r="E144" s="77"/>
      <c r="F144" s="78"/>
      <c r="G144" s="77" t="s">
        <v>156</v>
      </c>
      <c r="H144" s="79">
        <f t="shared" ref="H144:I144" si="16">SUM(H145:H150)</f>
        <v>5084665142</v>
      </c>
      <c r="I144" s="79">
        <f t="shared" si="16"/>
        <v>0</v>
      </c>
    </row>
    <row r="145" spans="4:9" ht="18" customHeight="1">
      <c r="D145" s="14">
        <v>212300</v>
      </c>
      <c r="E145" s="6" t="s">
        <v>156</v>
      </c>
      <c r="F145" s="84"/>
      <c r="G145" s="6" t="s">
        <v>157</v>
      </c>
      <c r="H145" s="83">
        <v>0</v>
      </c>
      <c r="I145" s="83">
        <f>SUMIF(T_BS!$D:$D,BS!D145,T_BS!AA:AA)</f>
        <v>0</v>
      </c>
    </row>
    <row r="146" spans="4:9" ht="18" customHeight="1">
      <c r="D146" s="14" t="s">
        <v>1644</v>
      </c>
      <c r="E146" s="6" t="s">
        <v>156</v>
      </c>
      <c r="F146" s="84"/>
      <c r="G146" s="6" t="s">
        <v>1643</v>
      </c>
      <c r="H146" s="83">
        <v>0</v>
      </c>
      <c r="I146" s="83">
        <f>SUMIF(T_BS!$D:$D,BS!D146,T_BS!AA:AA)</f>
        <v>0</v>
      </c>
    </row>
    <row r="147" spans="4:9" ht="18" customHeight="1">
      <c r="D147" s="14">
        <v>230320</v>
      </c>
      <c r="E147" s="6" t="s">
        <v>156</v>
      </c>
      <c r="F147" s="84">
        <v>3501</v>
      </c>
      <c r="G147" s="6" t="s">
        <v>158</v>
      </c>
      <c r="H147" s="83">
        <v>5479168968</v>
      </c>
      <c r="I147" s="83">
        <f>SUMIF(T_BS!$D:$D,BS!D147,T_BS!AA:AA)</f>
        <v>0</v>
      </c>
    </row>
    <row r="148" spans="4:9" ht="18" customHeight="1">
      <c r="D148" s="14">
        <v>230321</v>
      </c>
      <c r="E148" s="6" t="s">
        <v>156</v>
      </c>
      <c r="F148" s="84">
        <v>3502</v>
      </c>
      <c r="G148" s="6" t="s">
        <v>159</v>
      </c>
      <c r="H148" s="83">
        <v>0</v>
      </c>
      <c r="I148" s="83">
        <f>SUMIF(T_BS!$D:$D,BS!D148,T_BS!AA:AA)</f>
        <v>0</v>
      </c>
    </row>
    <row r="149" spans="4:9" ht="18" customHeight="1">
      <c r="D149" s="14">
        <v>230322</v>
      </c>
      <c r="E149" s="6" t="s">
        <v>156</v>
      </c>
      <c r="F149" s="84">
        <v>3503</v>
      </c>
      <c r="G149" s="6" t="s">
        <v>160</v>
      </c>
      <c r="H149" s="83">
        <v>-1416834</v>
      </c>
      <c r="I149" s="83">
        <f>SUMIF(T_BS!$D:$D,BS!D149,T_BS!AA:AA)</f>
        <v>0</v>
      </c>
    </row>
    <row r="150" spans="4:9" ht="18" customHeight="1">
      <c r="D150" s="14">
        <v>230325</v>
      </c>
      <c r="E150" s="6" t="s">
        <v>156</v>
      </c>
      <c r="F150" s="84">
        <v>3502</v>
      </c>
      <c r="G150" s="6" t="s">
        <v>161</v>
      </c>
      <c r="H150" s="83">
        <v>-393086992</v>
      </c>
      <c r="I150" s="83">
        <f>SUMIF(T_BS!$D:$D,BS!D150,T_BS!AA:AA)</f>
        <v>0</v>
      </c>
    </row>
    <row r="151" spans="4:9" ht="18" customHeight="1">
      <c r="D151" s="13"/>
      <c r="E151" s="77"/>
      <c r="F151" s="78"/>
      <c r="G151" s="77" t="s">
        <v>162</v>
      </c>
      <c r="H151" s="79">
        <f t="shared" ref="H151:I151" si="17">SUM(H152:H171)</f>
        <v>13914830289</v>
      </c>
      <c r="I151" s="79">
        <f t="shared" si="17"/>
        <v>10606889553</v>
      </c>
    </row>
    <row r="152" spans="4:9" ht="18" customHeight="1">
      <c r="D152" s="14">
        <v>214100</v>
      </c>
      <c r="E152" s="6" t="s">
        <v>162</v>
      </c>
      <c r="F152" s="84">
        <v>3406</v>
      </c>
      <c r="G152" s="6" t="s">
        <v>163</v>
      </c>
      <c r="H152" s="83">
        <v>220804069</v>
      </c>
      <c r="I152" s="83">
        <f>SUMIF(T_BS!$D:$D,BS!D152,T_BS!AA:AA)</f>
        <v>11845062</v>
      </c>
    </row>
    <row r="153" spans="4:9" ht="18" customHeight="1">
      <c r="D153" s="14">
        <v>214200</v>
      </c>
      <c r="E153" s="6" t="s">
        <v>162</v>
      </c>
      <c r="F153" s="84">
        <v>3406</v>
      </c>
      <c r="G153" s="6" t="s">
        <v>164</v>
      </c>
      <c r="H153" s="83">
        <v>144683485</v>
      </c>
      <c r="I153" s="83">
        <f>SUMIF(T_BS!$D:$D,BS!D153,T_BS!AA:AA)</f>
        <v>30264326</v>
      </c>
    </row>
    <row r="154" spans="4:9" ht="18" customHeight="1">
      <c r="D154" s="14">
        <v>214350</v>
      </c>
      <c r="E154" s="6" t="s">
        <v>162</v>
      </c>
      <c r="F154" s="84">
        <v>3406</v>
      </c>
      <c r="G154" s="6" t="s">
        <v>165</v>
      </c>
      <c r="H154" s="83">
        <v>0</v>
      </c>
      <c r="I154" s="83">
        <f>SUMIF(T_BS!$D:$D,BS!D154,T_BS!AA:AA)</f>
        <v>0</v>
      </c>
    </row>
    <row r="155" spans="4:9" ht="18" customHeight="1">
      <c r="D155" s="14">
        <v>214360</v>
      </c>
      <c r="E155" s="6" t="s">
        <v>162</v>
      </c>
      <c r="F155" s="84">
        <v>3406</v>
      </c>
      <c r="G155" s="6" t="s">
        <v>166</v>
      </c>
      <c r="H155" s="83">
        <v>0</v>
      </c>
      <c r="I155" s="83">
        <f>SUMIF(T_BS!$D:$D,BS!D155,T_BS!AA:AA)</f>
        <v>0</v>
      </c>
    </row>
    <row r="156" spans="4:9" ht="18" customHeight="1">
      <c r="D156" s="14">
        <v>214150</v>
      </c>
      <c r="E156" s="6" t="s">
        <v>162</v>
      </c>
      <c r="F156" s="84">
        <v>3406</v>
      </c>
      <c r="G156" s="6" t="s">
        <v>167</v>
      </c>
      <c r="H156" s="83">
        <v>0</v>
      </c>
      <c r="I156" s="83">
        <f>SUMIF(T_BS!$D:$D,BS!D156,T_BS!AA:AA)</f>
        <v>0</v>
      </c>
    </row>
    <row r="157" spans="4:9" ht="18" customHeight="1">
      <c r="D157" s="14">
        <v>214250</v>
      </c>
      <c r="E157" s="6" t="s">
        <v>162</v>
      </c>
      <c r="F157" s="84">
        <v>3406</v>
      </c>
      <c r="G157" s="6" t="s">
        <v>168</v>
      </c>
      <c r="H157" s="83">
        <v>0</v>
      </c>
      <c r="I157" s="83">
        <f>SUMIF(T_BS!$D:$D,BS!D157,T_BS!AA:AA)</f>
        <v>0</v>
      </c>
    </row>
    <row r="158" spans="4:9" ht="18" customHeight="1">
      <c r="D158" s="14">
        <v>214400</v>
      </c>
      <c r="E158" s="6" t="s">
        <v>162</v>
      </c>
      <c r="F158" s="84">
        <v>3406</v>
      </c>
      <c r="G158" s="6" t="s">
        <v>169</v>
      </c>
      <c r="H158" s="83">
        <v>331214451</v>
      </c>
      <c r="I158" s="83">
        <f>SUMIF(T_BS!$D:$D,BS!D158,T_BS!AA:AA)</f>
        <v>540991800</v>
      </c>
    </row>
    <row r="159" spans="4:9" ht="18" customHeight="1">
      <c r="D159" s="14">
        <v>214600</v>
      </c>
      <c r="E159" s="6" t="s">
        <v>162</v>
      </c>
      <c r="F159" s="84">
        <v>3406</v>
      </c>
      <c r="G159" s="6" t="s">
        <v>170</v>
      </c>
      <c r="H159" s="83">
        <v>20731098</v>
      </c>
      <c r="I159" s="83">
        <f>SUMIF(T_BS!$D:$D,BS!D159,T_BS!AA:AA)</f>
        <v>34748333</v>
      </c>
    </row>
    <row r="160" spans="4:9" ht="18" customHeight="1">
      <c r="D160" s="14">
        <v>214700</v>
      </c>
      <c r="E160" s="6" t="s">
        <v>162</v>
      </c>
      <c r="F160" s="84">
        <v>3406</v>
      </c>
      <c r="G160" s="6" t="s">
        <v>171</v>
      </c>
      <c r="H160" s="83">
        <v>0</v>
      </c>
      <c r="I160" s="83">
        <f>SUMIF(T_BS!$D:$D,BS!D160,T_BS!AA:AA)</f>
        <v>3330894565</v>
      </c>
    </row>
    <row r="161" spans="4:9" ht="18" customHeight="1">
      <c r="D161" s="14">
        <v>215100</v>
      </c>
      <c r="E161" s="6" t="s">
        <v>162</v>
      </c>
      <c r="F161" s="84">
        <v>3402</v>
      </c>
      <c r="G161" s="6" t="s">
        <v>172</v>
      </c>
      <c r="H161" s="83">
        <v>33404768</v>
      </c>
      <c r="I161" s="83">
        <f>SUMIF(T_BS!$D:$D,BS!D161,T_BS!AA:AA)</f>
        <v>120750553</v>
      </c>
    </row>
    <row r="162" spans="4:9" ht="18" customHeight="1">
      <c r="D162" s="14">
        <v>215200</v>
      </c>
      <c r="E162" s="6" t="s">
        <v>162</v>
      </c>
      <c r="F162" s="84">
        <v>3402</v>
      </c>
      <c r="G162" s="6" t="s">
        <v>173</v>
      </c>
      <c r="H162" s="83">
        <v>1801765</v>
      </c>
      <c r="I162" s="83">
        <f>SUMIF(T_BS!$D:$D,BS!D162,T_BS!AA:AA)</f>
        <v>10533174</v>
      </c>
    </row>
    <row r="163" spans="4:9" ht="18" customHeight="1">
      <c r="D163" s="14">
        <v>215300</v>
      </c>
      <c r="E163" s="6" t="s">
        <v>162</v>
      </c>
      <c r="F163" s="84">
        <v>3402</v>
      </c>
      <c r="G163" s="6" t="s">
        <v>174</v>
      </c>
      <c r="H163" s="83">
        <v>-17077580</v>
      </c>
      <c r="I163" s="83">
        <f>SUMIF(T_BS!$D:$D,BS!D163,T_BS!AA:AA)</f>
        <v>-1451850</v>
      </c>
    </row>
    <row r="164" spans="4:9" ht="18" customHeight="1">
      <c r="D164" s="14">
        <v>215400</v>
      </c>
      <c r="E164" s="6" t="s">
        <v>162</v>
      </c>
      <c r="F164" s="84">
        <v>3402</v>
      </c>
      <c r="G164" s="6" t="s">
        <v>175</v>
      </c>
      <c r="H164" s="83">
        <v>1923495</v>
      </c>
      <c r="I164" s="83">
        <f>SUMIF(T_BS!$D:$D,BS!D164,T_BS!AA:AA)</f>
        <v>1710365</v>
      </c>
    </row>
    <row r="165" spans="4:9" ht="18" customHeight="1">
      <c r="D165" s="14">
        <v>215500</v>
      </c>
      <c r="E165" s="6" t="s">
        <v>162</v>
      </c>
      <c r="F165" s="84">
        <v>3402</v>
      </c>
      <c r="G165" s="6" t="s">
        <v>176</v>
      </c>
      <c r="H165" s="83">
        <v>39640</v>
      </c>
      <c r="I165" s="83">
        <f>SUMIF(T_BS!$D:$D,BS!D165,T_BS!AA:AA)</f>
        <v>8949340</v>
      </c>
    </row>
    <row r="166" spans="4:9" ht="18" customHeight="1">
      <c r="D166" s="14">
        <v>215900</v>
      </c>
      <c r="E166" s="6" t="s">
        <v>162</v>
      </c>
      <c r="F166" s="84">
        <v>3402</v>
      </c>
      <c r="G166" s="6" t="s">
        <v>177</v>
      </c>
      <c r="H166" s="83">
        <v>74291178</v>
      </c>
      <c r="I166" s="83">
        <f>SUMIF(T_BS!$D:$D,BS!D166,T_BS!AA:AA)</f>
        <v>38698894</v>
      </c>
    </row>
    <row r="167" spans="4:9" ht="18" customHeight="1">
      <c r="D167" s="14">
        <v>215700</v>
      </c>
      <c r="E167" s="6" t="s">
        <v>162</v>
      </c>
      <c r="F167" s="84">
        <v>3402</v>
      </c>
      <c r="G167" s="6" t="s">
        <v>178</v>
      </c>
      <c r="H167" s="83">
        <v>12156611650</v>
      </c>
      <c r="I167" s="83">
        <f>SUMIF(T_BS!$D:$D,BS!D167,T_BS!AA:AA)</f>
        <v>0</v>
      </c>
    </row>
    <row r="168" spans="4:9" ht="18" customHeight="1">
      <c r="D168" s="14">
        <v>215800</v>
      </c>
      <c r="E168" s="6" t="s">
        <v>162</v>
      </c>
      <c r="F168" s="84">
        <v>3402</v>
      </c>
      <c r="G168" s="6" t="s">
        <v>179</v>
      </c>
      <c r="H168" s="83">
        <v>0</v>
      </c>
      <c r="I168" s="83">
        <f>SUMIF(T_BS!$D:$D,BS!D168,T_BS!AA:AA)</f>
        <v>4954273310</v>
      </c>
    </row>
    <row r="169" spans="4:9" ht="18" customHeight="1">
      <c r="D169" s="14">
        <v>219000</v>
      </c>
      <c r="E169" s="6" t="s">
        <v>162</v>
      </c>
      <c r="F169" s="84">
        <v>219000</v>
      </c>
      <c r="G169" s="6" t="s">
        <v>180</v>
      </c>
      <c r="H169" s="83">
        <v>0</v>
      </c>
      <c r="I169" s="83">
        <f>SUMIF(T_BS!$D:$D,BS!D169,T_BS!AA:AA)</f>
        <v>775578928</v>
      </c>
    </row>
    <row r="170" spans="4:9" ht="18" customHeight="1">
      <c r="D170" s="14">
        <v>223100</v>
      </c>
      <c r="E170" s="6" t="s">
        <v>162</v>
      </c>
      <c r="F170" s="84">
        <v>3404</v>
      </c>
      <c r="G170" s="6" t="s">
        <v>181</v>
      </c>
      <c r="H170" s="83">
        <v>495981669</v>
      </c>
      <c r="I170" s="83">
        <f>SUMIF(T_BS!$D:$D,BS!D170,T_BS!AA:AA)</f>
        <v>369496026</v>
      </c>
    </row>
    <row r="171" spans="4:9" ht="18" customHeight="1">
      <c r="D171" s="14">
        <v>223130</v>
      </c>
      <c r="E171" s="6" t="s">
        <v>162</v>
      </c>
      <c r="F171" s="84">
        <v>3406</v>
      </c>
      <c r="G171" s="6" t="s">
        <v>182</v>
      </c>
      <c r="H171" s="83">
        <v>450420601</v>
      </c>
      <c r="I171" s="83">
        <f>SUMIF(T_BS!$D:$D,BS!D171,T_BS!AA:AA)</f>
        <v>379606727</v>
      </c>
    </row>
    <row r="172" spans="4:9" ht="18" customHeight="1">
      <c r="D172" s="13"/>
      <c r="E172" s="77"/>
      <c r="F172" s="78"/>
      <c r="G172" s="77" t="s">
        <v>183</v>
      </c>
      <c r="H172" s="79">
        <f t="shared" ref="H172:I172" si="18">H173</f>
        <v>0</v>
      </c>
      <c r="I172" s="79">
        <f t="shared" si="18"/>
        <v>2550691866</v>
      </c>
    </row>
    <row r="173" spans="4:9" ht="18" customHeight="1">
      <c r="D173" s="14">
        <v>223110</v>
      </c>
      <c r="E173" s="6" t="s">
        <v>1751</v>
      </c>
      <c r="F173" s="84">
        <v>3504</v>
      </c>
      <c r="G173" s="6" t="s">
        <v>183</v>
      </c>
      <c r="H173" s="83">
        <v>0</v>
      </c>
      <c r="I173" s="83">
        <f>SUMIF(T_BS!$D:$D,BS!D173,T_BS!AA:AA)</f>
        <v>2550691866</v>
      </c>
    </row>
    <row r="174" spans="4:9" ht="18" customHeight="1">
      <c r="D174" s="13"/>
      <c r="E174" s="77"/>
      <c r="F174" s="78"/>
      <c r="G174" s="77" t="s">
        <v>219</v>
      </c>
      <c r="H174" s="79">
        <f t="shared" ref="H174:I174" si="19">H175</f>
        <v>399435070</v>
      </c>
      <c r="I174" s="79">
        <f t="shared" si="19"/>
        <v>61759957</v>
      </c>
    </row>
    <row r="175" spans="4:9" ht="18" customHeight="1">
      <c r="D175" s="89" t="s">
        <v>1355</v>
      </c>
      <c r="E175" s="6" t="s">
        <v>1752</v>
      </c>
      <c r="F175" s="84">
        <v>3201</v>
      </c>
      <c r="G175" s="6" t="s">
        <v>219</v>
      </c>
      <c r="H175" s="83">
        <v>399435070</v>
      </c>
      <c r="I175" s="83">
        <f>SUMIF(T_BS!$D:$D,BS!D175,T_BS!AA:AA)</f>
        <v>61759957</v>
      </c>
    </row>
    <row r="176" spans="4:9" ht="18" customHeight="1">
      <c r="D176" s="12"/>
      <c r="E176" s="74"/>
      <c r="F176" s="75"/>
      <c r="G176" s="74" t="s">
        <v>184</v>
      </c>
      <c r="H176" s="76">
        <f>SUM(H177,H180,H182)+H184+H186</f>
        <v>2663481524</v>
      </c>
      <c r="I176" s="76">
        <f>SUM(I177,I180,I182)+I184+I186</f>
        <v>3881695718</v>
      </c>
    </row>
    <row r="177" spans="4:9" ht="18" customHeight="1">
      <c r="D177" s="13"/>
      <c r="E177" s="77"/>
      <c r="F177" s="78"/>
      <c r="G177" s="77" t="s">
        <v>185</v>
      </c>
      <c r="H177" s="79">
        <f t="shared" ref="H177:I177" si="20">SUM(H178:H179)</f>
        <v>553536216</v>
      </c>
      <c r="I177" s="79">
        <f t="shared" si="20"/>
        <v>1215669271</v>
      </c>
    </row>
    <row r="178" spans="4:9" ht="18" customHeight="1">
      <c r="D178" s="14">
        <v>230700</v>
      </c>
      <c r="E178" s="6" t="s">
        <v>185</v>
      </c>
      <c r="F178" s="84">
        <v>4201</v>
      </c>
      <c r="G178" s="6" t="s">
        <v>186</v>
      </c>
      <c r="H178" s="83">
        <v>5081999863</v>
      </c>
      <c r="I178" s="83">
        <f>SUMIF(T_BS!$D:$D,BS!D178,T_BS!AA:AA)</f>
        <v>5531260072</v>
      </c>
    </row>
    <row r="179" spans="4:9" ht="18" customHeight="1">
      <c r="D179" s="14">
        <v>122110</v>
      </c>
      <c r="E179" s="6" t="s">
        <v>185</v>
      </c>
      <c r="F179" s="84">
        <v>4202</v>
      </c>
      <c r="G179" s="6" t="s">
        <v>187</v>
      </c>
      <c r="H179" s="83">
        <v>-4528463647</v>
      </c>
      <c r="I179" s="83">
        <f>SUMIF(T_BS!$D:$D,BS!D179,T_BS!AA:AA)</f>
        <v>-4315590801</v>
      </c>
    </row>
    <row r="180" spans="4:9" ht="18" customHeight="1">
      <c r="D180" s="13"/>
      <c r="E180" s="77"/>
      <c r="F180" s="78"/>
      <c r="G180" s="77" t="s">
        <v>188</v>
      </c>
      <c r="H180" s="79">
        <f t="shared" ref="H180:I180" si="21">H181</f>
        <v>114807149</v>
      </c>
      <c r="I180" s="79">
        <f t="shared" si="21"/>
        <v>118066714</v>
      </c>
    </row>
    <row r="181" spans="4:9" ht="18" customHeight="1">
      <c r="D181" s="14">
        <v>230900</v>
      </c>
      <c r="E181" s="6" t="s">
        <v>1753</v>
      </c>
      <c r="F181" s="84">
        <v>4402</v>
      </c>
      <c r="G181" s="6" t="s">
        <v>189</v>
      </c>
      <c r="H181" s="83">
        <v>114807149</v>
      </c>
      <c r="I181" s="83">
        <f>SUMIF(T_BS!$D:$D,BS!D181,T_BS!AA:AA)</f>
        <v>118066714</v>
      </c>
    </row>
    <row r="182" spans="4:9" ht="18" customHeight="1">
      <c r="D182" s="13"/>
      <c r="E182" s="77"/>
      <c r="F182" s="78"/>
      <c r="G182" s="77" t="s">
        <v>190</v>
      </c>
      <c r="H182" s="79">
        <f t="shared" ref="H182:I184" si="22">H183</f>
        <v>0</v>
      </c>
      <c r="I182" s="79">
        <f t="shared" si="22"/>
        <v>695426099</v>
      </c>
    </row>
    <row r="183" spans="4:9" ht="18" customHeight="1">
      <c r="D183" s="14">
        <v>231600</v>
      </c>
      <c r="E183" s="6" t="s">
        <v>1754</v>
      </c>
      <c r="F183" s="84">
        <v>4601</v>
      </c>
      <c r="G183" s="6" t="s">
        <v>190</v>
      </c>
      <c r="H183" s="83">
        <v>0</v>
      </c>
      <c r="I183" s="83">
        <f>SUMIF(T_BS!$D:$D,BS!D183,T_BS!AA:AA)</f>
        <v>695426099</v>
      </c>
    </row>
    <row r="184" spans="4:9" ht="18" customHeight="1">
      <c r="D184" s="13"/>
      <c r="E184" s="77"/>
      <c r="F184" s="78"/>
      <c r="G184" s="77" t="s">
        <v>488</v>
      </c>
      <c r="H184" s="79">
        <f t="shared" si="22"/>
        <v>1995138159</v>
      </c>
      <c r="I184" s="79">
        <f t="shared" si="22"/>
        <v>1852533634</v>
      </c>
    </row>
    <row r="185" spans="4:9" ht="18" customHeight="1">
      <c r="D185" s="89" t="s">
        <v>1356</v>
      </c>
      <c r="E185" s="6" t="s">
        <v>1755</v>
      </c>
      <c r="F185" s="84">
        <v>4301</v>
      </c>
      <c r="G185" s="6" t="s">
        <v>488</v>
      </c>
      <c r="H185" s="83">
        <v>1995138159</v>
      </c>
      <c r="I185" s="83">
        <f>SUMIF(T_BS!$D:$D,BS!D185,T_BS!AA:AA)</f>
        <v>1852533634</v>
      </c>
    </row>
    <row r="186" spans="4:9" ht="18" customHeight="1">
      <c r="D186" s="13"/>
      <c r="E186" s="77"/>
      <c r="F186" s="78"/>
      <c r="G186" s="77" t="s">
        <v>1631</v>
      </c>
      <c r="H186" s="79">
        <f t="shared" ref="H186:I186" si="23">SUM(H187:H188)</f>
        <v>0</v>
      </c>
      <c r="I186" s="79">
        <f t="shared" si="23"/>
        <v>0</v>
      </c>
    </row>
    <row r="187" spans="4:9" ht="18" customHeight="1">
      <c r="D187" s="89" t="s">
        <v>1634</v>
      </c>
      <c r="E187" s="6" t="s">
        <v>1631</v>
      </c>
      <c r="F187" s="90">
        <v>4103</v>
      </c>
      <c r="G187" s="6" t="s">
        <v>1632</v>
      </c>
      <c r="H187" s="83">
        <v>0</v>
      </c>
      <c r="I187" s="83">
        <f>SUMIF(T_BS!$D:$D,BS!D187,T_BS!AA:AA)</f>
        <v>0</v>
      </c>
    </row>
    <row r="188" spans="4:9" ht="18" customHeight="1">
      <c r="D188" s="89" t="s">
        <v>1635</v>
      </c>
      <c r="E188" s="6" t="s">
        <v>1631</v>
      </c>
      <c r="F188" s="90">
        <v>4103</v>
      </c>
      <c r="G188" s="6" t="s">
        <v>1633</v>
      </c>
      <c r="H188" s="83">
        <v>0</v>
      </c>
      <c r="I188" s="83">
        <f>SUMIF(T_BS!$D:$D,BS!D188,T_BS!AA:AA)</f>
        <v>0</v>
      </c>
    </row>
    <row r="189" spans="4:9" ht="18" customHeight="1">
      <c r="D189" s="11"/>
      <c r="E189" s="71"/>
      <c r="F189" s="72"/>
      <c r="G189" s="71" t="s">
        <v>14</v>
      </c>
      <c r="H189" s="73">
        <f t="shared" ref="H189:I189" si="24">SUM(H190,H211)</f>
        <v>159858811329</v>
      </c>
      <c r="I189" s="73">
        <f t="shared" si="24"/>
        <v>117917039839</v>
      </c>
    </row>
    <row r="190" spans="4:9" ht="18" customHeight="1">
      <c r="D190" s="12"/>
      <c r="E190" s="74"/>
      <c r="F190" s="75"/>
      <c r="G190" s="74" t="s">
        <v>11</v>
      </c>
      <c r="H190" s="76">
        <f t="shared" ref="H190:I190" si="25">SUM(H191,H193,H197,H207)</f>
        <v>159858811329</v>
      </c>
      <c r="I190" s="76">
        <f t="shared" si="25"/>
        <v>117917039839</v>
      </c>
    </row>
    <row r="191" spans="4:9" ht="18" customHeight="1">
      <c r="D191" s="13"/>
      <c r="E191" s="77"/>
      <c r="F191" s="78"/>
      <c r="G191" s="77" t="s">
        <v>10</v>
      </c>
      <c r="H191" s="79">
        <f t="shared" ref="H191:I191" si="26">H192</f>
        <v>27779139500</v>
      </c>
      <c r="I191" s="79">
        <f t="shared" si="26"/>
        <v>28429923500</v>
      </c>
    </row>
    <row r="192" spans="4:9" ht="18" customHeight="1">
      <c r="D192" s="14">
        <v>310100</v>
      </c>
      <c r="E192" s="6" t="s">
        <v>10</v>
      </c>
      <c r="F192" s="84">
        <v>5101</v>
      </c>
      <c r="G192" s="6" t="s">
        <v>191</v>
      </c>
      <c r="H192" s="83">
        <v>27779139500</v>
      </c>
      <c r="I192" s="83">
        <f>SUMIF(T_BS!$D:$D,BS!D192,T_BS!AA:AA)</f>
        <v>28429923500</v>
      </c>
    </row>
    <row r="193" spans="4:9" ht="18" customHeight="1">
      <c r="D193" s="13"/>
      <c r="E193" s="77"/>
      <c r="F193" s="78"/>
      <c r="G193" s="77" t="s">
        <v>12</v>
      </c>
      <c r="H193" s="79">
        <f t="shared" ref="H193:I193" si="27">SUM(H194:H196)</f>
        <v>173855395328</v>
      </c>
      <c r="I193" s="79">
        <f t="shared" si="27"/>
        <v>178559577856</v>
      </c>
    </row>
    <row r="194" spans="4:9" ht="18" customHeight="1">
      <c r="D194" s="14">
        <v>320100</v>
      </c>
      <c r="E194" s="6" t="s">
        <v>12</v>
      </c>
      <c r="F194" s="84">
        <v>5201</v>
      </c>
      <c r="G194" s="6" t="s">
        <v>192</v>
      </c>
      <c r="H194" s="83">
        <v>172351901382</v>
      </c>
      <c r="I194" s="83">
        <f>SUMIF(T_BS!$D:$D,BS!D194,T_BS!AA:AA)</f>
        <v>177997002186</v>
      </c>
    </row>
    <row r="195" spans="4:9" ht="18" customHeight="1">
      <c r="D195" s="14">
        <v>320500</v>
      </c>
      <c r="E195" s="6" t="s">
        <v>12</v>
      </c>
      <c r="F195" s="84">
        <v>5203</v>
      </c>
      <c r="G195" s="6" t="s">
        <v>193</v>
      </c>
      <c r="H195" s="83">
        <v>940918276</v>
      </c>
      <c r="I195" s="83">
        <f>SUMIF(T_BS!$D:$D,BS!D195,T_BS!AA:AA)</f>
        <v>0</v>
      </c>
    </row>
    <row r="196" spans="4:9" ht="18" customHeight="1">
      <c r="D196" s="14">
        <v>320300</v>
      </c>
      <c r="E196" s="6" t="s">
        <v>12</v>
      </c>
      <c r="F196" s="84">
        <v>5202</v>
      </c>
      <c r="G196" s="6" t="s">
        <v>194</v>
      </c>
      <c r="H196" s="83">
        <v>562575670</v>
      </c>
      <c r="I196" s="83">
        <f>SUMIF(T_BS!$D:$D,BS!D196,T_BS!AA:AA)</f>
        <v>562575670</v>
      </c>
    </row>
    <row r="197" spans="4:9" ht="18" customHeight="1">
      <c r="D197" s="13"/>
      <c r="E197" s="77"/>
      <c r="F197" s="78"/>
      <c r="G197" s="77" t="s">
        <v>195</v>
      </c>
      <c r="H197" s="79">
        <f>SUM(H198:H206)</f>
        <v>-2776797396</v>
      </c>
      <c r="I197" s="79">
        <f>SUM(I198:I206)</f>
        <v>-1301501750</v>
      </c>
    </row>
    <row r="198" spans="4:9" ht="18" customHeight="1">
      <c r="D198" s="14">
        <v>350300</v>
      </c>
      <c r="E198" s="6" t="s">
        <v>195</v>
      </c>
      <c r="F198" s="84">
        <v>5304</v>
      </c>
      <c r="G198" s="6" t="s">
        <v>196</v>
      </c>
      <c r="H198" s="83">
        <v>-4240000</v>
      </c>
      <c r="I198" s="83">
        <f>SUMIF(T_BS!$D:$D,BS!D198,T_BS!AA:AA)</f>
        <v>-4240000</v>
      </c>
    </row>
    <row r="199" spans="4:9" ht="18" customHeight="1">
      <c r="D199" s="14">
        <v>350350</v>
      </c>
      <c r="E199" s="6" t="s">
        <v>195</v>
      </c>
      <c r="F199" s="84">
        <v>5301</v>
      </c>
      <c r="G199" s="6" t="s">
        <v>197</v>
      </c>
      <c r="H199" s="83">
        <v>-1292039719</v>
      </c>
      <c r="I199" s="83">
        <f>SUMIF(T_BS!$D:$D,BS!D199,T_BS!AA:AA)</f>
        <v>-1292039719</v>
      </c>
    </row>
    <row r="200" spans="4:9" ht="18" customHeight="1">
      <c r="D200" s="14" t="s">
        <v>1357</v>
      </c>
      <c r="E200" s="6" t="s">
        <v>195</v>
      </c>
      <c r="F200" s="84" t="s">
        <v>616</v>
      </c>
      <c r="G200" s="6" t="s">
        <v>226</v>
      </c>
      <c r="H200" s="83">
        <v>0</v>
      </c>
      <c r="I200" s="83">
        <f>SUMIF(T_BS!$D:$D,BS!D200,T_BS!AA:AA)</f>
        <v>0</v>
      </c>
    </row>
    <row r="201" spans="4:9" ht="18" customHeight="1">
      <c r="D201" s="14">
        <v>350400</v>
      </c>
      <c r="E201" s="6" t="s">
        <v>195</v>
      </c>
      <c r="F201" s="84">
        <v>5302</v>
      </c>
      <c r="G201" s="6" t="s">
        <v>198</v>
      </c>
      <c r="H201" s="83">
        <v>0</v>
      </c>
      <c r="I201" s="83">
        <f>SUMIF(T_BS!$D:$D,BS!D201,T_BS!AA:AA)</f>
        <v>674683389</v>
      </c>
    </row>
    <row r="202" spans="4:9" ht="18" customHeight="1">
      <c r="D202" s="14">
        <v>350210</v>
      </c>
      <c r="E202" s="6" t="s">
        <v>195</v>
      </c>
      <c r="F202" s="84">
        <v>5304</v>
      </c>
      <c r="G202" s="6" t="s">
        <v>199</v>
      </c>
      <c r="H202" s="83">
        <v>-2731869088</v>
      </c>
      <c r="I202" s="83">
        <f>SUMIF(T_BS!$D:$D,BS!D202,T_BS!AA:AA)</f>
        <v>-2731869088</v>
      </c>
    </row>
    <row r="203" spans="4:9" ht="18" customHeight="1">
      <c r="D203" s="14" t="s">
        <v>1360</v>
      </c>
      <c r="E203" s="6" t="s">
        <v>195</v>
      </c>
      <c r="F203" s="84" t="s">
        <v>616</v>
      </c>
      <c r="G203" s="6" t="s">
        <v>201</v>
      </c>
      <c r="H203" s="83">
        <v>0</v>
      </c>
      <c r="I203" s="83">
        <f>SUMIF(T_BS!$D:$D,BS!D203,T_BS!AA:AA)</f>
        <v>0</v>
      </c>
    </row>
    <row r="204" spans="4:9" ht="18" customHeight="1">
      <c r="D204" s="14" t="s">
        <v>1361</v>
      </c>
      <c r="E204" s="6" t="s">
        <v>195</v>
      </c>
      <c r="F204" s="84" t="s">
        <v>616</v>
      </c>
      <c r="G204" s="6" t="s">
        <v>203</v>
      </c>
      <c r="H204" s="83">
        <v>0</v>
      </c>
      <c r="I204" s="83">
        <f>SUMIF(T_BS!$D:$D,BS!D204,T_BS!AA:AA)</f>
        <v>0</v>
      </c>
    </row>
    <row r="205" spans="4:9" ht="18" customHeight="1">
      <c r="D205" s="14" t="s">
        <v>1362</v>
      </c>
      <c r="E205" s="6" t="s">
        <v>195</v>
      </c>
      <c r="F205" s="84">
        <v>5307</v>
      </c>
      <c r="G205" s="6" t="s">
        <v>1358</v>
      </c>
      <c r="H205" s="83">
        <v>1251351411</v>
      </c>
      <c r="I205" s="83">
        <f>SUMIF(T_BS!$D:$D,BS!D205,T_BS!AA:AA)</f>
        <v>2051963668</v>
      </c>
    </row>
    <row r="206" spans="4:9" ht="18" customHeight="1">
      <c r="D206" s="14" t="s">
        <v>1363</v>
      </c>
      <c r="E206" s="6" t="s">
        <v>195</v>
      </c>
      <c r="F206" s="84"/>
      <c r="G206" s="6" t="s">
        <v>1359</v>
      </c>
      <c r="H206" s="83">
        <v>0</v>
      </c>
      <c r="I206" s="83">
        <f>SUMIF(T_BS!$D:$D,BS!D206,T_BS!AA:AA)</f>
        <v>0</v>
      </c>
    </row>
    <row r="207" spans="4:9" ht="18" customHeight="1">
      <c r="D207" s="13"/>
      <c r="E207" s="77"/>
      <c r="F207" s="78"/>
      <c r="G207" s="77" t="s">
        <v>13</v>
      </c>
      <c r="H207" s="79">
        <f t="shared" ref="H207:I207" si="28">SUM(H208:H210)</f>
        <v>-38998926103</v>
      </c>
      <c r="I207" s="79">
        <f t="shared" si="28"/>
        <v>-87770959767</v>
      </c>
    </row>
    <row r="208" spans="4:9" ht="18" customHeight="1">
      <c r="D208" s="14">
        <v>350951</v>
      </c>
      <c r="E208" s="6" t="s">
        <v>13</v>
      </c>
      <c r="F208" s="84">
        <v>5401</v>
      </c>
      <c r="G208" s="6" t="s">
        <v>206</v>
      </c>
      <c r="H208" s="83">
        <v>525952518</v>
      </c>
      <c r="I208" s="83">
        <f>SUMIF(T_BS!$D:$D,BS!D208,T_BS!AA:AA)</f>
        <v>-240559000</v>
      </c>
    </row>
    <row r="209" spans="4:9" ht="18" customHeight="1">
      <c r="D209" s="87" t="s">
        <v>1364</v>
      </c>
      <c r="E209" s="6" t="s">
        <v>13</v>
      </c>
      <c r="F209" s="84">
        <v>5402</v>
      </c>
      <c r="G209" s="6" t="s">
        <v>208</v>
      </c>
      <c r="H209" s="83">
        <v>-19392025050</v>
      </c>
      <c r="I209" s="83">
        <f>SUMIF(T_BS!$D:$D,BS!D209,T_BS!AA:AA)</f>
        <v>-39524878621</v>
      </c>
    </row>
    <row r="210" spans="4:9" ht="18" customHeight="1">
      <c r="D210" s="87" t="s">
        <v>1365</v>
      </c>
      <c r="E210" s="6" t="s">
        <v>13</v>
      </c>
      <c r="F210" s="84" t="s">
        <v>616</v>
      </c>
      <c r="G210" s="6" t="s">
        <v>210</v>
      </c>
      <c r="H210" s="83">
        <v>-20132853571</v>
      </c>
      <c r="I210" s="83">
        <f>SUMIF(T_BS!$D:$D,BS!D210,T_BS!AA:AA)</f>
        <v>-48005522146</v>
      </c>
    </row>
    <row r="211" spans="4:9" ht="18" customHeight="1">
      <c r="D211" s="12"/>
      <c r="E211" s="74"/>
      <c r="F211" s="75"/>
      <c r="G211" s="74" t="s">
        <v>211</v>
      </c>
      <c r="H211" s="76">
        <f t="shared" ref="H211:I211" si="29">H212</f>
        <v>0</v>
      </c>
      <c r="I211" s="76">
        <f t="shared" si="29"/>
        <v>0</v>
      </c>
    </row>
    <row r="212" spans="4:9" ht="18" customHeight="1">
      <c r="D212" s="87" t="s">
        <v>496</v>
      </c>
      <c r="E212" s="91"/>
      <c r="F212" s="84"/>
      <c r="G212" s="91" t="s">
        <v>211</v>
      </c>
      <c r="H212" s="83">
        <v>0</v>
      </c>
      <c r="I212" s="83">
        <f>SUMIF(T_BS!$D:$D,BS!D212,T_BS!AA:AA)</f>
        <v>0</v>
      </c>
    </row>
    <row r="213" spans="4:9" ht="18" customHeight="1" thickBot="1">
      <c r="D213" s="92"/>
      <c r="E213" s="93"/>
      <c r="F213" s="94"/>
      <c r="G213" s="93" t="s">
        <v>213</v>
      </c>
      <c r="H213" s="95">
        <f>SUM(H190,H122)</f>
        <v>204478522045</v>
      </c>
      <c r="I213" s="95">
        <f>SUM(I190,I122)</f>
        <v>171271382869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32" sqref="H32"/>
    </sheetView>
  </sheetViews>
  <sheetFormatPr defaultRowHeight="16.5"/>
  <cols>
    <col min="1" max="3" width="2.375" customWidth="1"/>
  </cols>
  <sheetData/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3:U296"/>
  <sheetViews>
    <sheetView showGridLines="0" zoomScale="90" zoomScaleNormal="90" workbookViewId="0">
      <pane xSplit="6" ySplit="4" topLeftCell="G128" activePane="bottomRight" state="frozen"/>
      <selection activeCell="F167" sqref="F162:F167"/>
      <selection pane="topRight" activeCell="F167" sqref="F162:F167"/>
      <selection pane="bottomLeft" activeCell="F167" sqref="F162:F167"/>
      <selection pane="bottomRight" activeCell="M5" sqref="M5"/>
    </sheetView>
  </sheetViews>
  <sheetFormatPr defaultColWidth="8.75" defaultRowHeight="18" customHeight="1"/>
  <cols>
    <col min="1" max="3" width="2.375" style="259" customWidth="1"/>
    <col min="4" max="4" width="20.75" style="575" customWidth="1"/>
    <col min="5" max="5" width="20.75" style="576" customWidth="1"/>
    <col min="6" max="6" width="20.75" style="576" hidden="1" customWidth="1"/>
    <col min="7" max="7" width="20.75" style="709" customWidth="1"/>
    <col min="8" max="10" width="20.75" style="576" customWidth="1"/>
    <col min="11" max="11" width="20.75" style="575" customWidth="1"/>
    <col min="12" max="12" width="20.75" style="576" customWidth="1"/>
    <col min="13" max="13" width="20.75" style="577" customWidth="1"/>
    <col min="14" max="16" width="2.375" style="36" customWidth="1"/>
    <col min="17" max="17" width="8.125" style="597" bestFit="1" customWidth="1"/>
    <col min="18" max="18" width="15.875" style="737" bestFit="1" customWidth="1"/>
    <col min="19" max="19" width="20.375" style="737" customWidth="1"/>
    <col min="20" max="20" width="20.375" style="695" customWidth="1"/>
    <col min="21" max="21" width="19.25" style="695" customWidth="1"/>
    <col min="22" max="16384" width="8.75" style="36"/>
  </cols>
  <sheetData>
    <row r="3" spans="1:21" s="266" customFormat="1" ht="18" customHeight="1" thickBot="1">
      <c r="A3" s="689"/>
      <c r="B3" s="689"/>
      <c r="C3" s="689"/>
      <c r="D3" s="566"/>
      <c r="E3" s="566"/>
      <c r="F3" s="566"/>
      <c r="G3" s="690"/>
      <c r="H3" s="566"/>
      <c r="I3" s="566"/>
      <c r="J3" s="566"/>
      <c r="K3" s="566">
        <f>SUM(K5:K155)</f>
        <v>-1030712987</v>
      </c>
      <c r="L3" s="566"/>
      <c r="M3" s="566">
        <f>SUM(M5:M155)</f>
        <v>-1030712987</v>
      </c>
      <c r="Q3" s="597"/>
      <c r="R3" s="736"/>
      <c r="S3" s="736"/>
      <c r="T3" s="691"/>
      <c r="U3" s="691"/>
    </row>
    <row r="4" spans="1:21" s="266" customFormat="1" ht="18" customHeight="1">
      <c r="A4" s="689"/>
      <c r="B4" s="689"/>
      <c r="C4" s="689"/>
      <c r="D4" s="683" t="s">
        <v>631</v>
      </c>
      <c r="E4" s="684" t="s">
        <v>632</v>
      </c>
      <c r="F4" s="684"/>
      <c r="G4" s="684" t="s">
        <v>633</v>
      </c>
      <c r="H4" s="684" t="s">
        <v>634</v>
      </c>
      <c r="I4" s="684" t="s">
        <v>635</v>
      </c>
      <c r="J4" s="684" t="s">
        <v>636</v>
      </c>
      <c r="K4" s="684"/>
      <c r="L4" s="684" t="s">
        <v>636</v>
      </c>
      <c r="M4" s="685" t="s">
        <v>1924</v>
      </c>
      <c r="Q4" s="597"/>
      <c r="R4" s="738" t="s">
        <v>1971</v>
      </c>
      <c r="S4" s="739" t="s">
        <v>1919</v>
      </c>
      <c r="T4" s="691"/>
      <c r="U4" s="691"/>
    </row>
    <row r="5" spans="1:21" ht="18" customHeight="1">
      <c r="D5" s="692" t="s">
        <v>637</v>
      </c>
      <c r="E5" s="693">
        <v>1101</v>
      </c>
      <c r="F5" s="693" t="s">
        <v>0</v>
      </c>
      <c r="G5" s="694" t="s">
        <v>638</v>
      </c>
      <c r="H5" s="267">
        <v>1000</v>
      </c>
      <c r="I5" s="267"/>
      <c r="J5" s="267" t="s">
        <v>475</v>
      </c>
      <c r="K5" s="36">
        <f>+M5</f>
        <v>145839</v>
      </c>
      <c r="L5" s="267" t="s">
        <v>475</v>
      </c>
      <c r="M5" s="567">
        <f>ROUND(SUMIF(T_BS!$F:$F,T198_TB!E5,T_BS!$AA:$AA),0)</f>
        <v>145839</v>
      </c>
      <c r="R5" s="740">
        <v>145839</v>
      </c>
      <c r="S5" s="741">
        <f>R5-M5</f>
        <v>0</v>
      </c>
    </row>
    <row r="6" spans="1:21" ht="18" customHeight="1">
      <c r="D6" s="692" t="s">
        <v>637</v>
      </c>
      <c r="E6" s="693">
        <v>1102</v>
      </c>
      <c r="F6" s="693" t="s">
        <v>0</v>
      </c>
      <c r="G6" s="694" t="s">
        <v>639</v>
      </c>
      <c r="H6" s="267">
        <v>1000</v>
      </c>
      <c r="I6" s="267"/>
      <c r="J6" s="267" t="s">
        <v>475</v>
      </c>
      <c r="K6" s="36">
        <f t="shared" ref="K6:K77" si="0">+M6</f>
        <v>88901246837</v>
      </c>
      <c r="L6" s="267" t="s">
        <v>475</v>
      </c>
      <c r="M6" s="567">
        <f>ROUND(SUMIF(T_BS!$F:$F,T198_TB!E6,T_BS!$AA:$AA),0)</f>
        <v>88901246837</v>
      </c>
      <c r="Q6" s="712"/>
      <c r="R6" s="740">
        <v>88901246837</v>
      </c>
      <c r="S6" s="741">
        <f t="shared" ref="S6:S72" si="1">R6-M6</f>
        <v>0</v>
      </c>
    </row>
    <row r="7" spans="1:21" ht="18" customHeight="1">
      <c r="D7" s="692" t="s">
        <v>637</v>
      </c>
      <c r="E7" s="693">
        <v>1501</v>
      </c>
      <c r="F7" s="693" t="s">
        <v>0</v>
      </c>
      <c r="G7" s="694" t="s">
        <v>640</v>
      </c>
      <c r="H7" s="267">
        <v>1000</v>
      </c>
      <c r="I7" s="267"/>
      <c r="J7" s="267" t="s">
        <v>475</v>
      </c>
      <c r="K7" s="36">
        <f t="shared" si="0"/>
        <v>0</v>
      </c>
      <c r="L7" s="267" t="s">
        <v>475</v>
      </c>
      <c r="M7" s="567">
        <f>ROUND(SUMIF(T_BS!$F:$F,T198_TB!E7,T_BS!$AA:$AA),0)</f>
        <v>0</v>
      </c>
      <c r="Q7" s="713"/>
      <c r="R7" s="740">
        <v>0</v>
      </c>
      <c r="S7" s="741">
        <f t="shared" si="1"/>
        <v>0</v>
      </c>
    </row>
    <row r="8" spans="1:21" s="259" customFormat="1" ht="18" customHeight="1">
      <c r="D8" s="697" t="s">
        <v>637</v>
      </c>
      <c r="E8" s="698">
        <v>1201</v>
      </c>
      <c r="F8" s="698" t="s">
        <v>0</v>
      </c>
      <c r="G8" s="699" t="s">
        <v>641</v>
      </c>
      <c r="H8" s="268">
        <v>1000</v>
      </c>
      <c r="I8" s="268"/>
      <c r="J8" s="268" t="s">
        <v>475</v>
      </c>
      <c r="K8" s="259">
        <f t="shared" si="0"/>
        <v>20307895109</v>
      </c>
      <c r="L8" s="268" t="s">
        <v>475</v>
      </c>
      <c r="M8" s="568">
        <f>ROUND(SUMIF(T_BS!$F:$F,T198_TB!E8,T_BS!$AA:$AA),0)</f>
        <v>20307895109</v>
      </c>
      <c r="Q8" s="713"/>
      <c r="R8" s="740">
        <v>20359690941</v>
      </c>
      <c r="S8" s="741">
        <f t="shared" si="1"/>
        <v>51795832</v>
      </c>
      <c r="T8" s="700"/>
      <c r="U8" s="695"/>
    </row>
    <row r="9" spans="1:21" s="259" customFormat="1" ht="18" customHeight="1">
      <c r="D9" s="697" t="s">
        <v>637</v>
      </c>
      <c r="E9" s="698">
        <v>1202</v>
      </c>
      <c r="F9" s="698" t="s">
        <v>0</v>
      </c>
      <c r="G9" s="699" t="s">
        <v>642</v>
      </c>
      <c r="H9" s="268">
        <v>1000</v>
      </c>
      <c r="I9" s="268"/>
      <c r="J9" s="268" t="s">
        <v>475</v>
      </c>
      <c r="K9" s="259">
        <f t="shared" si="0"/>
        <v>-1846788828</v>
      </c>
      <c r="L9" s="268" t="s">
        <v>475</v>
      </c>
      <c r="M9" s="568">
        <f>ROUND(SUMIF(T_BS!$F:$F,T198_TB!E9,T_BS!$AA:$AA),0)</f>
        <v>-1846788828</v>
      </c>
      <c r="Q9" s="713"/>
      <c r="R9" s="740">
        <v>-1846788828</v>
      </c>
      <c r="S9" s="741">
        <f t="shared" si="1"/>
        <v>0</v>
      </c>
      <c r="T9" s="700"/>
      <c r="U9" s="695"/>
    </row>
    <row r="10" spans="1:21" s="259" customFormat="1" ht="18" customHeight="1">
      <c r="D10" s="697" t="s">
        <v>637</v>
      </c>
      <c r="E10" s="698">
        <v>1203</v>
      </c>
      <c r="F10" s="698" t="s">
        <v>0</v>
      </c>
      <c r="G10" s="699" t="s">
        <v>643</v>
      </c>
      <c r="H10" s="268">
        <v>1000</v>
      </c>
      <c r="I10" s="268"/>
      <c r="J10" s="268" t="s">
        <v>475</v>
      </c>
      <c r="K10" s="259">
        <f t="shared" si="0"/>
        <v>7402099394</v>
      </c>
      <c r="L10" s="268" t="s">
        <v>475</v>
      </c>
      <c r="M10" s="568">
        <f>ROUND(SUMIF(T_BS!$F:$F,T198_TB!E10,T_BS!$AA:$AA),0)</f>
        <v>7402099394</v>
      </c>
      <c r="Q10" s="714"/>
      <c r="R10" s="740">
        <v>7402099394</v>
      </c>
      <c r="S10" s="741">
        <f t="shared" si="1"/>
        <v>0</v>
      </c>
      <c r="T10" s="700"/>
      <c r="U10" s="700"/>
    </row>
    <row r="11" spans="1:21" s="259" customFormat="1" ht="18" customHeight="1">
      <c r="D11" s="697" t="s">
        <v>637</v>
      </c>
      <c r="E11" s="698">
        <v>2322</v>
      </c>
      <c r="F11" s="698" t="s">
        <v>0</v>
      </c>
      <c r="G11" s="699" t="s">
        <v>1851</v>
      </c>
      <c r="H11" s="268">
        <v>1000</v>
      </c>
      <c r="I11" s="268"/>
      <c r="J11" s="268" t="s">
        <v>475</v>
      </c>
      <c r="K11" s="259">
        <f t="shared" si="0"/>
        <v>0</v>
      </c>
      <c r="L11" s="268" t="s">
        <v>475</v>
      </c>
      <c r="M11" s="568">
        <f>ROUND(SUMIF(T_BS!$F:$F,T198_TB!E11,T_BS!$AA:$AA),0)</f>
        <v>0</v>
      </c>
      <c r="Q11" s="714"/>
      <c r="R11" s="740">
        <v>0</v>
      </c>
      <c r="S11" s="741">
        <f t="shared" si="1"/>
        <v>0</v>
      </c>
      <c r="T11" s="700"/>
      <c r="U11" s="700"/>
    </row>
    <row r="12" spans="1:21" s="259" customFormat="1" ht="18" customHeight="1">
      <c r="D12" s="697" t="s">
        <v>637</v>
      </c>
      <c r="E12" s="698">
        <v>2321</v>
      </c>
      <c r="F12" s="698" t="s">
        <v>0</v>
      </c>
      <c r="G12" s="699" t="s">
        <v>1850</v>
      </c>
      <c r="H12" s="268">
        <v>1000</v>
      </c>
      <c r="I12" s="268"/>
      <c r="J12" s="268" t="s">
        <v>475</v>
      </c>
      <c r="K12" s="259">
        <f t="shared" si="0"/>
        <v>0</v>
      </c>
      <c r="L12" s="268" t="s">
        <v>475</v>
      </c>
      <c r="M12" s="568">
        <f>ROUND(SUMIF(T_BS!$F:$F,T198_TB!E12,T_BS!$AA:$AA),0)</f>
        <v>0</v>
      </c>
      <c r="Q12" s="714"/>
      <c r="R12" s="740">
        <v>0</v>
      </c>
      <c r="S12" s="741">
        <f t="shared" si="1"/>
        <v>0</v>
      </c>
      <c r="T12" s="700"/>
      <c r="U12" s="700"/>
    </row>
    <row r="13" spans="1:21" s="259" customFormat="1" ht="18" customHeight="1">
      <c r="D13" s="697" t="s">
        <v>637</v>
      </c>
      <c r="E13" s="698">
        <v>1221</v>
      </c>
      <c r="F13" s="698" t="s">
        <v>0</v>
      </c>
      <c r="G13" s="699" t="s">
        <v>1973</v>
      </c>
      <c r="H13" s="268">
        <v>1000</v>
      </c>
      <c r="I13" s="268"/>
      <c r="J13" s="268" t="s">
        <v>475</v>
      </c>
      <c r="K13" s="259">
        <f t="shared" ref="K13" si="2">+M13</f>
        <v>347340000</v>
      </c>
      <c r="L13" s="268" t="s">
        <v>475</v>
      </c>
      <c r="M13" s="568">
        <f>ROUND(SUMIF(T_BS!$F:$F,T198_TB!E13,T_BS!$AA:$AA),0)</f>
        <v>347340000</v>
      </c>
      <c r="Q13" s="714"/>
      <c r="R13" s="740">
        <v>347340000</v>
      </c>
      <c r="S13" s="741">
        <f t="shared" ref="S13" si="3">R13-M13</f>
        <v>0</v>
      </c>
      <c r="T13" s="700"/>
      <c r="U13" s="700"/>
    </row>
    <row r="14" spans="1:21" s="259" customFormat="1" ht="18" customHeight="1">
      <c r="D14" s="697" t="s">
        <v>637</v>
      </c>
      <c r="E14" s="698">
        <v>2311</v>
      </c>
      <c r="F14" s="698" t="s">
        <v>0</v>
      </c>
      <c r="G14" s="699" t="s">
        <v>1839</v>
      </c>
      <c r="H14" s="268">
        <v>1000</v>
      </c>
      <c r="I14" s="268"/>
      <c r="J14" s="268" t="s">
        <v>475</v>
      </c>
      <c r="K14" s="259">
        <f t="shared" si="0"/>
        <v>0</v>
      </c>
      <c r="L14" s="268" t="s">
        <v>475</v>
      </c>
      <c r="M14" s="568">
        <f>ROUND(SUMIF(T_BS!$F:$F,T198_TB!E14,T_BS!$AA:$AA),0)</f>
        <v>0</v>
      </c>
      <c r="Q14" s="714"/>
      <c r="R14" s="740">
        <v>347340000</v>
      </c>
      <c r="S14" s="741">
        <f t="shared" si="1"/>
        <v>347340000</v>
      </c>
      <c r="T14" s="700"/>
      <c r="U14" s="700"/>
    </row>
    <row r="15" spans="1:21" s="259" customFormat="1" ht="18" customHeight="1">
      <c r="D15" s="697" t="s">
        <v>637</v>
      </c>
      <c r="E15" s="698">
        <v>4104</v>
      </c>
      <c r="F15" s="698" t="s">
        <v>8</v>
      </c>
      <c r="G15" s="701" t="s">
        <v>1840</v>
      </c>
      <c r="H15" s="268">
        <v>1000</v>
      </c>
      <c r="I15" s="268"/>
      <c r="J15" s="268" t="s">
        <v>475</v>
      </c>
      <c r="K15" s="259">
        <f t="shared" si="0"/>
        <v>-11500000</v>
      </c>
      <c r="L15" s="268" t="s">
        <v>475</v>
      </c>
      <c r="M15" s="568">
        <f>-ROUND(SUMIF(T_BS!$F:$F,T198_TB!E15,T_BS!$AA:$AA),0)</f>
        <v>-11500000</v>
      </c>
      <c r="Q15" s="714"/>
      <c r="R15" s="740">
        <v>-11500000</v>
      </c>
      <c r="S15" s="741">
        <f t="shared" si="1"/>
        <v>0</v>
      </c>
      <c r="T15" s="700"/>
      <c r="U15" s="700"/>
    </row>
    <row r="16" spans="1:21" s="259" customFormat="1" ht="18" customHeight="1">
      <c r="D16" s="697" t="s">
        <v>637</v>
      </c>
      <c r="E16" s="698">
        <v>1208</v>
      </c>
      <c r="F16" s="698" t="s">
        <v>0</v>
      </c>
      <c r="G16" s="699" t="s">
        <v>644</v>
      </c>
      <c r="H16" s="268">
        <v>1000</v>
      </c>
      <c r="I16" s="268"/>
      <c r="J16" s="268" t="s">
        <v>475</v>
      </c>
      <c r="K16" s="259">
        <f t="shared" si="0"/>
        <v>10996584243</v>
      </c>
      <c r="L16" s="268" t="s">
        <v>475</v>
      </c>
      <c r="M16" s="568">
        <f>ROUND(SUMIF(T_BS!$F:$F,T198_TB!E16,T_BS!$AA:$AA),0)</f>
        <v>10996584243</v>
      </c>
      <c r="Q16" s="713"/>
      <c r="R16" s="740">
        <v>10374581052</v>
      </c>
      <c r="S16" s="741">
        <f t="shared" si="1"/>
        <v>-622003191</v>
      </c>
      <c r="T16" s="700"/>
      <c r="U16" s="700"/>
    </row>
    <row r="17" spans="4:21" s="259" customFormat="1" ht="18" customHeight="1">
      <c r="D17" s="697" t="s">
        <v>637</v>
      </c>
      <c r="E17" s="698">
        <v>1209</v>
      </c>
      <c r="F17" s="698" t="s">
        <v>0</v>
      </c>
      <c r="G17" s="699" t="s">
        <v>1974</v>
      </c>
      <c r="H17" s="268">
        <v>1000</v>
      </c>
      <c r="I17" s="268"/>
      <c r="J17" s="268" t="s">
        <v>475</v>
      </c>
      <c r="K17" s="259">
        <f t="shared" ref="K17" si="4">+M17</f>
        <v>0</v>
      </c>
      <c r="L17" s="268" t="s">
        <v>475</v>
      </c>
      <c r="M17" s="568">
        <f>ROUND(SUMIF(T_BS!$F:$F,T198_TB!E17,T_BS!$AA:$AA),0)</f>
        <v>0</v>
      </c>
      <c r="Q17" s="713"/>
      <c r="R17" s="740"/>
      <c r="S17" s="741"/>
      <c r="T17" s="700"/>
      <c r="U17" s="700"/>
    </row>
    <row r="18" spans="4:21" s="259" customFormat="1" ht="18" customHeight="1">
      <c r="D18" s="697" t="s">
        <v>637</v>
      </c>
      <c r="E18" s="698">
        <v>2650</v>
      </c>
      <c r="F18" s="698" t="s">
        <v>0</v>
      </c>
      <c r="G18" s="699" t="s">
        <v>1965</v>
      </c>
      <c r="H18" s="268">
        <v>1000</v>
      </c>
      <c r="I18" s="268"/>
      <c r="J18" s="268" t="s">
        <v>475</v>
      </c>
      <c r="K18" s="259">
        <f t="shared" si="0"/>
        <v>300136621</v>
      </c>
      <c r="L18" s="268" t="s">
        <v>475</v>
      </c>
      <c r="M18" s="568">
        <f>ROUND(SUMIF(T_BS!$F:$F,T198_TB!E18,T_BS!$AA:$AA),0)</f>
        <v>300136621</v>
      </c>
      <c r="Q18" s="713"/>
      <c r="R18" s="740">
        <v>300136621</v>
      </c>
      <c r="S18" s="741">
        <f t="shared" si="1"/>
        <v>0</v>
      </c>
      <c r="T18" s="700"/>
      <c r="U18" s="700"/>
    </row>
    <row r="19" spans="4:21" s="259" customFormat="1" ht="18" customHeight="1">
      <c r="D19" s="697" t="s">
        <v>637</v>
      </c>
      <c r="E19" s="698">
        <v>1212</v>
      </c>
      <c r="F19" s="698" t="s">
        <v>0</v>
      </c>
      <c r="G19" s="699" t="s">
        <v>36</v>
      </c>
      <c r="H19" s="268">
        <v>1000</v>
      </c>
      <c r="I19" s="268"/>
      <c r="J19" s="268" t="s">
        <v>475</v>
      </c>
      <c r="K19" s="259">
        <f t="shared" si="0"/>
        <v>57719358</v>
      </c>
      <c r="L19" s="268" t="s">
        <v>475</v>
      </c>
      <c r="M19" s="568">
        <f>ROUND(SUMIF(T_BS!$F:$F,T198_TB!E19,T_BS!$AA:$AA),0)</f>
        <v>57719358</v>
      </c>
      <c r="Q19" s="713"/>
      <c r="R19" s="740">
        <v>57750206</v>
      </c>
      <c r="S19" s="741">
        <f t="shared" si="1"/>
        <v>30848</v>
      </c>
      <c r="T19" s="700"/>
      <c r="U19" s="700"/>
    </row>
    <row r="20" spans="4:21" s="259" customFormat="1" ht="18" customHeight="1">
      <c r="D20" s="697" t="s">
        <v>637</v>
      </c>
      <c r="E20" s="698">
        <v>1601</v>
      </c>
      <c r="F20" s="698" t="s">
        <v>0</v>
      </c>
      <c r="G20" s="699" t="s">
        <v>645</v>
      </c>
      <c r="H20" s="268">
        <v>1000</v>
      </c>
      <c r="I20" s="268"/>
      <c r="J20" s="268" t="s">
        <v>475</v>
      </c>
      <c r="K20" s="259">
        <f t="shared" si="0"/>
        <v>1332526802</v>
      </c>
      <c r="L20" s="268" t="s">
        <v>475</v>
      </c>
      <c r="M20" s="568">
        <f>ROUND(SUMIF(T_BS!$F:$F,T198_TB!E20,T_BS!$AA:$AA),0)</f>
        <v>1332526802</v>
      </c>
      <c r="Q20" s="713"/>
      <c r="R20" s="740">
        <v>1564597870</v>
      </c>
      <c r="S20" s="741">
        <f t="shared" si="1"/>
        <v>232071068</v>
      </c>
      <c r="T20" s="700"/>
      <c r="U20" s="700"/>
    </row>
    <row r="21" spans="4:21" s="259" customFormat="1" ht="18" customHeight="1">
      <c r="D21" s="697" t="s">
        <v>637</v>
      </c>
      <c r="E21" s="698">
        <v>1605</v>
      </c>
      <c r="F21" s="698" t="s">
        <v>0</v>
      </c>
      <c r="G21" s="699" t="s">
        <v>646</v>
      </c>
      <c r="H21" s="268">
        <v>1000</v>
      </c>
      <c r="I21" s="268"/>
      <c r="J21" s="268" t="s">
        <v>475</v>
      </c>
      <c r="K21" s="259">
        <f t="shared" si="0"/>
        <v>1022903699</v>
      </c>
      <c r="L21" s="268" t="s">
        <v>475</v>
      </c>
      <c r="M21" s="568">
        <f>ROUND(SUMIF(T_BS!$F:$F,T198_TB!E21,T_BS!$AA:$AA),0)</f>
        <v>1022903699</v>
      </c>
      <c r="Q21" s="713"/>
      <c r="R21" s="740">
        <v>1022903699</v>
      </c>
      <c r="S21" s="741">
        <f t="shared" si="1"/>
        <v>0</v>
      </c>
      <c r="T21" s="700"/>
      <c r="U21" s="700"/>
    </row>
    <row r="22" spans="4:21" s="259" customFormat="1" ht="18" customHeight="1">
      <c r="D22" s="697" t="s">
        <v>637</v>
      </c>
      <c r="E22" s="698">
        <v>1401</v>
      </c>
      <c r="F22" s="698" t="s">
        <v>0</v>
      </c>
      <c r="G22" s="699" t="s">
        <v>54</v>
      </c>
      <c r="H22" s="268">
        <v>1000</v>
      </c>
      <c r="I22" s="268"/>
      <c r="J22" s="268" t="s">
        <v>475</v>
      </c>
      <c r="K22" s="259">
        <f t="shared" si="0"/>
        <v>324941593</v>
      </c>
      <c r="L22" s="268" t="s">
        <v>475</v>
      </c>
      <c r="M22" s="568">
        <f>ROUND(SUMIF(T_BS!$F:$F,T198_TB!E22,T_BS!$AA:$AA),0)</f>
        <v>324941593</v>
      </c>
      <c r="Q22" s="713"/>
      <c r="R22" s="740">
        <v>324941593</v>
      </c>
      <c r="S22" s="741">
        <f t="shared" si="1"/>
        <v>0</v>
      </c>
      <c r="T22" s="700"/>
      <c r="U22" s="700"/>
    </row>
    <row r="23" spans="4:21" s="569" customFormat="1" ht="18" customHeight="1">
      <c r="D23" s="705" t="s">
        <v>637</v>
      </c>
      <c r="E23" s="710">
        <v>1301</v>
      </c>
      <c r="F23" s="710" t="s">
        <v>0</v>
      </c>
      <c r="G23" s="711" t="s">
        <v>43</v>
      </c>
      <c r="H23" s="570">
        <v>1000</v>
      </c>
      <c r="I23" s="570"/>
      <c r="J23" s="570" t="s">
        <v>475</v>
      </c>
      <c r="K23" s="569">
        <f t="shared" si="0"/>
        <v>10731516615</v>
      </c>
      <c r="L23" s="570" t="s">
        <v>475</v>
      </c>
      <c r="M23" s="571">
        <f>ROUND(SUMIF(T_BS!$F:$F,T198_TB!E23,T_BS!$AA:$AA),0)</f>
        <v>10731516615</v>
      </c>
      <c r="Q23" s="744"/>
      <c r="R23" s="745">
        <v>10731516615</v>
      </c>
      <c r="S23" s="746">
        <f t="shared" si="1"/>
        <v>0</v>
      </c>
      <c r="T23" s="747"/>
      <c r="U23" s="747"/>
    </row>
    <row r="24" spans="4:21" s="569" customFormat="1" ht="18" customHeight="1">
      <c r="D24" s="705" t="s">
        <v>637</v>
      </c>
      <c r="E24" s="710">
        <v>1302</v>
      </c>
      <c r="F24" s="710" t="s">
        <v>0</v>
      </c>
      <c r="G24" s="711" t="s">
        <v>44</v>
      </c>
      <c r="H24" s="570">
        <v>1000</v>
      </c>
      <c r="I24" s="570"/>
      <c r="J24" s="570" t="s">
        <v>475</v>
      </c>
      <c r="K24" s="569">
        <f t="shared" si="0"/>
        <v>-8960597141</v>
      </c>
      <c r="L24" s="570" t="s">
        <v>475</v>
      </c>
      <c r="M24" s="571">
        <f>ROUND(SUMIF(T_BS!$F:$F,T198_TB!E24,T_BS!$AA:$AA),0)</f>
        <v>-8960597141</v>
      </c>
      <c r="Q24" s="744"/>
      <c r="R24" s="745">
        <v>-8960597141</v>
      </c>
      <c r="S24" s="746">
        <f t="shared" si="1"/>
        <v>0</v>
      </c>
      <c r="T24" s="747"/>
      <c r="U24" s="747"/>
    </row>
    <row r="25" spans="4:21" s="569" customFormat="1" ht="18" customHeight="1">
      <c r="D25" s="705" t="s">
        <v>637</v>
      </c>
      <c r="E25" s="710">
        <v>1303</v>
      </c>
      <c r="F25" s="710" t="s">
        <v>0</v>
      </c>
      <c r="G25" s="711" t="s">
        <v>45</v>
      </c>
      <c r="H25" s="570">
        <v>1000</v>
      </c>
      <c r="I25" s="570"/>
      <c r="J25" s="570" t="s">
        <v>475</v>
      </c>
      <c r="K25" s="569">
        <f t="shared" si="0"/>
        <v>3376618889</v>
      </c>
      <c r="L25" s="570" t="s">
        <v>475</v>
      </c>
      <c r="M25" s="571">
        <f>ROUND(SUMIF(T_BS!$F:$F,T198_TB!E25,T_BS!$AA:$AA),0)</f>
        <v>3376618889</v>
      </c>
      <c r="Q25" s="744"/>
      <c r="R25" s="745">
        <v>3376618889</v>
      </c>
      <c r="S25" s="746">
        <f t="shared" si="1"/>
        <v>0</v>
      </c>
      <c r="T25" s="747"/>
      <c r="U25" s="747"/>
    </row>
    <row r="26" spans="4:21" s="569" customFormat="1" ht="18" customHeight="1">
      <c r="D26" s="705" t="s">
        <v>637</v>
      </c>
      <c r="E26" s="710">
        <v>1304</v>
      </c>
      <c r="F26" s="710" t="s">
        <v>0</v>
      </c>
      <c r="G26" s="711" t="s">
        <v>46</v>
      </c>
      <c r="H26" s="570">
        <v>1000</v>
      </c>
      <c r="I26" s="570"/>
      <c r="J26" s="570" t="s">
        <v>475</v>
      </c>
      <c r="K26" s="569">
        <f t="shared" si="0"/>
        <v>-2264959753</v>
      </c>
      <c r="L26" s="570" t="s">
        <v>475</v>
      </c>
      <c r="M26" s="571">
        <f>ROUND(SUMIF(T_BS!$F:$F,T198_TB!E26,T_BS!$AA:$AA),0)</f>
        <v>-2264959753</v>
      </c>
      <c r="Q26" s="744"/>
      <c r="R26" s="745">
        <v>-1200439457</v>
      </c>
      <c r="S26" s="746">
        <f t="shared" si="1"/>
        <v>1064520296</v>
      </c>
      <c r="T26" s="747"/>
      <c r="U26" s="747"/>
    </row>
    <row r="27" spans="4:21" s="569" customFormat="1" ht="18" customHeight="1">
      <c r="D27" s="705" t="s">
        <v>637</v>
      </c>
      <c r="E27" s="710">
        <v>1305</v>
      </c>
      <c r="F27" s="710" t="s">
        <v>0</v>
      </c>
      <c r="G27" s="711" t="s">
        <v>47</v>
      </c>
      <c r="H27" s="570">
        <v>1000</v>
      </c>
      <c r="I27" s="570"/>
      <c r="J27" s="570" t="s">
        <v>475</v>
      </c>
      <c r="K27" s="569">
        <f t="shared" si="0"/>
        <v>1545570816</v>
      </c>
      <c r="L27" s="570" t="s">
        <v>475</v>
      </c>
      <c r="M27" s="571">
        <f>ROUND(SUMIF(T_BS!$F:$F,T198_TB!E27,T_BS!$AA:$AA),0)</f>
        <v>1545570816</v>
      </c>
      <c r="Q27" s="744"/>
      <c r="R27" s="745">
        <v>1545570816</v>
      </c>
      <c r="S27" s="746">
        <f t="shared" si="1"/>
        <v>0</v>
      </c>
      <c r="T27" s="747"/>
      <c r="U27" s="747"/>
    </row>
    <row r="28" spans="4:21" s="569" customFormat="1" ht="18" customHeight="1">
      <c r="D28" s="705" t="s">
        <v>637</v>
      </c>
      <c r="E28" s="710">
        <v>1306</v>
      </c>
      <c r="F28" s="710" t="s">
        <v>0</v>
      </c>
      <c r="G28" s="711" t="s">
        <v>48</v>
      </c>
      <c r="H28" s="570">
        <v>1000</v>
      </c>
      <c r="I28" s="570"/>
      <c r="J28" s="570" t="s">
        <v>475</v>
      </c>
      <c r="K28" s="569">
        <f t="shared" si="0"/>
        <v>-539343650</v>
      </c>
      <c r="L28" s="570" t="s">
        <v>475</v>
      </c>
      <c r="M28" s="571">
        <f>ROUND(SUMIF(T_BS!$F:$F,T198_TB!E28,T_BS!$AA:$AA),0)</f>
        <v>-539343650</v>
      </c>
      <c r="Q28" s="744"/>
      <c r="R28" s="745">
        <v>-1603863946</v>
      </c>
      <c r="S28" s="746">
        <f t="shared" si="1"/>
        <v>-1064520296</v>
      </c>
      <c r="T28" s="747"/>
      <c r="U28" s="747"/>
    </row>
    <row r="29" spans="4:21" s="569" customFormat="1" ht="18" customHeight="1">
      <c r="D29" s="705" t="s">
        <v>637</v>
      </c>
      <c r="E29" s="710">
        <v>1307</v>
      </c>
      <c r="F29" s="710" t="s">
        <v>0</v>
      </c>
      <c r="G29" s="711" t="s">
        <v>49</v>
      </c>
      <c r="H29" s="570">
        <v>1000</v>
      </c>
      <c r="I29" s="570"/>
      <c r="J29" s="570" t="s">
        <v>475</v>
      </c>
      <c r="K29" s="569">
        <f t="shared" si="0"/>
        <v>11208584813</v>
      </c>
      <c r="L29" s="570" t="s">
        <v>475</v>
      </c>
      <c r="M29" s="571">
        <f>ROUND(SUMIF(T_BS!$F:$F,T198_TB!E29,T_BS!$AA:$AA),0)</f>
        <v>11208584813</v>
      </c>
      <c r="Q29" s="744"/>
      <c r="R29" s="745">
        <v>11208584813</v>
      </c>
      <c r="S29" s="746">
        <f t="shared" si="1"/>
        <v>0</v>
      </c>
      <c r="T29" s="747"/>
      <c r="U29" s="747"/>
    </row>
    <row r="30" spans="4:21" s="569" customFormat="1" ht="18" customHeight="1">
      <c r="D30" s="705" t="s">
        <v>637</v>
      </c>
      <c r="E30" s="710">
        <v>1308</v>
      </c>
      <c r="F30" s="710" t="s">
        <v>0</v>
      </c>
      <c r="G30" s="711" t="s">
        <v>50</v>
      </c>
      <c r="H30" s="570">
        <v>1000</v>
      </c>
      <c r="I30" s="570"/>
      <c r="J30" s="570" t="s">
        <v>475</v>
      </c>
      <c r="K30" s="569">
        <f t="shared" si="0"/>
        <v>-7967175903</v>
      </c>
      <c r="L30" s="570" t="s">
        <v>475</v>
      </c>
      <c r="M30" s="571">
        <f>ROUND(SUMIF(T_BS!$F:$F,T198_TB!E30,T_BS!$AA:$AA),0)</f>
        <v>-7967175903</v>
      </c>
      <c r="Q30" s="744"/>
      <c r="R30" s="745">
        <v>-7967175903</v>
      </c>
      <c r="S30" s="746">
        <f t="shared" si="1"/>
        <v>0</v>
      </c>
      <c r="T30" s="747"/>
      <c r="U30" s="747"/>
    </row>
    <row r="31" spans="4:21" s="259" customFormat="1" ht="18" customHeight="1">
      <c r="D31" s="697" t="s">
        <v>637</v>
      </c>
      <c r="E31" s="698">
        <v>2701</v>
      </c>
      <c r="F31" s="698" t="s">
        <v>0</v>
      </c>
      <c r="G31" s="701" t="s">
        <v>101</v>
      </c>
      <c r="H31" s="268">
        <v>1000</v>
      </c>
      <c r="I31" s="268"/>
      <c r="J31" s="268" t="s">
        <v>475</v>
      </c>
      <c r="K31" s="259">
        <f t="shared" si="0"/>
        <v>5569814458</v>
      </c>
      <c r="L31" s="268" t="s">
        <v>475</v>
      </c>
      <c r="M31" s="568">
        <f>ROUND(SUMIF(T_BS!$F:$F,T198_TB!E31,T_BS!$AA:$AA),0)</f>
        <v>5569814458</v>
      </c>
      <c r="Q31" s="713"/>
      <c r="R31" s="740">
        <v>5102545191</v>
      </c>
      <c r="S31" s="741">
        <f t="shared" si="1"/>
        <v>-467269267</v>
      </c>
      <c r="T31" s="700"/>
      <c r="U31" s="700"/>
    </row>
    <row r="32" spans="4:21" s="259" customFormat="1" ht="18" customHeight="1">
      <c r="D32" s="697" t="s">
        <v>637</v>
      </c>
      <c r="E32" s="698">
        <v>2702</v>
      </c>
      <c r="F32" s="698" t="s">
        <v>0</v>
      </c>
      <c r="G32" s="701" t="s">
        <v>1686</v>
      </c>
      <c r="H32" s="268">
        <v>1000</v>
      </c>
      <c r="I32" s="268"/>
      <c r="J32" s="268" t="s">
        <v>475</v>
      </c>
      <c r="K32" s="259">
        <f t="shared" si="0"/>
        <v>-2428196247</v>
      </c>
      <c r="L32" s="268" t="s">
        <v>475</v>
      </c>
      <c r="M32" s="568">
        <f>ROUND(SUMIF(T_BS!$F:$F,T198_TB!E32,T_BS!$AA:$AA),0)</f>
        <v>-2428196247</v>
      </c>
      <c r="Q32" s="713"/>
      <c r="R32" s="740">
        <v>-2428196247</v>
      </c>
      <c r="S32" s="741">
        <f t="shared" si="1"/>
        <v>0</v>
      </c>
      <c r="T32" s="700"/>
      <c r="U32" s="700"/>
    </row>
    <row r="33" spans="4:21" s="259" customFormat="1" ht="18" customHeight="1">
      <c r="D33" s="697" t="s">
        <v>637</v>
      </c>
      <c r="E33" s="698">
        <v>2801</v>
      </c>
      <c r="F33" s="698" t="s">
        <v>0</v>
      </c>
      <c r="G33" s="701" t="s">
        <v>103</v>
      </c>
      <c r="H33" s="268">
        <v>1000</v>
      </c>
      <c r="I33" s="268"/>
      <c r="J33" s="268" t="s">
        <v>475</v>
      </c>
      <c r="K33" s="259">
        <f t="shared" si="0"/>
        <v>102205663</v>
      </c>
      <c r="L33" s="268" t="s">
        <v>475</v>
      </c>
      <c r="M33" s="568">
        <f>ROUND(SUMIF(T_BS!$F:$F,T198_TB!E33,T_BS!$AA:$AA),0)</f>
        <v>102205663</v>
      </c>
      <c r="Q33" s="713"/>
      <c r="R33" s="740">
        <v>102205663</v>
      </c>
      <c r="S33" s="741">
        <f t="shared" si="1"/>
        <v>0</v>
      </c>
      <c r="T33" s="700"/>
      <c r="U33" s="700"/>
    </row>
    <row r="34" spans="4:21" s="259" customFormat="1" ht="18" customHeight="1">
      <c r="D34" s="697" t="s">
        <v>637</v>
      </c>
      <c r="E34" s="698">
        <v>2802</v>
      </c>
      <c r="F34" s="698" t="s">
        <v>0</v>
      </c>
      <c r="G34" s="701" t="s">
        <v>1687</v>
      </c>
      <c r="H34" s="268">
        <v>1000</v>
      </c>
      <c r="I34" s="268"/>
      <c r="J34" s="268" t="s">
        <v>475</v>
      </c>
      <c r="K34" s="259">
        <f t="shared" si="0"/>
        <v>-38000649</v>
      </c>
      <c r="L34" s="268" t="s">
        <v>475</v>
      </c>
      <c r="M34" s="568">
        <f>ROUND(SUMIF(T_BS!$F:$F,T198_TB!E34,T_BS!$AA:$AA),0)</f>
        <v>-38000649</v>
      </c>
      <c r="Q34" s="713"/>
      <c r="R34" s="740">
        <v>-38000649</v>
      </c>
      <c r="S34" s="741">
        <f t="shared" si="1"/>
        <v>0</v>
      </c>
      <c r="T34" s="700"/>
      <c r="U34" s="700"/>
    </row>
    <row r="35" spans="4:21" s="259" customFormat="1" ht="18" customHeight="1">
      <c r="D35" s="697" t="s">
        <v>637</v>
      </c>
      <c r="E35" s="698">
        <v>2401</v>
      </c>
      <c r="F35" s="698" t="s">
        <v>0</v>
      </c>
      <c r="G35" s="701" t="s">
        <v>84</v>
      </c>
      <c r="H35" s="268">
        <v>1000</v>
      </c>
      <c r="I35" s="268"/>
      <c r="J35" s="268" t="s">
        <v>475</v>
      </c>
      <c r="K35" s="259">
        <f t="shared" si="0"/>
        <v>31456249</v>
      </c>
      <c r="L35" s="268" t="s">
        <v>475</v>
      </c>
      <c r="M35" s="568">
        <f>ROUND(SUMIF(T_BS!$F:$F,T198_TB!E35,T_BS!$AA:$AA),0)</f>
        <v>31456249</v>
      </c>
      <c r="Q35" s="713"/>
      <c r="R35" s="740">
        <v>31456249</v>
      </c>
      <c r="S35" s="741">
        <f t="shared" si="1"/>
        <v>0</v>
      </c>
      <c r="T35" s="700"/>
      <c r="U35" s="700"/>
    </row>
    <row r="36" spans="4:21" s="259" customFormat="1" ht="18" customHeight="1">
      <c r="D36" s="697" t="s">
        <v>637</v>
      </c>
      <c r="E36" s="698">
        <v>2402</v>
      </c>
      <c r="F36" s="698" t="s">
        <v>0</v>
      </c>
      <c r="G36" s="699" t="s">
        <v>647</v>
      </c>
      <c r="H36" s="268">
        <v>1000</v>
      </c>
      <c r="I36" s="268"/>
      <c r="J36" s="268" t="s">
        <v>475</v>
      </c>
      <c r="K36" s="259">
        <f t="shared" si="0"/>
        <v>-22424459</v>
      </c>
      <c r="L36" s="268" t="s">
        <v>475</v>
      </c>
      <c r="M36" s="568">
        <f>ROUND(SUMIF(T_BS!$F:$F,T198_TB!E36,T_BS!$AA:$AA),0)</f>
        <v>-22424459</v>
      </c>
      <c r="Q36" s="713"/>
      <c r="R36" s="740">
        <v>-22424459</v>
      </c>
      <c r="S36" s="741">
        <f t="shared" si="1"/>
        <v>0</v>
      </c>
      <c r="T36" s="700"/>
      <c r="U36" s="700"/>
    </row>
    <row r="37" spans="4:21" s="259" customFormat="1" ht="18" customHeight="1">
      <c r="D37" s="697" t="s">
        <v>637</v>
      </c>
      <c r="E37" s="698">
        <v>2404</v>
      </c>
      <c r="F37" s="698" t="s">
        <v>0</v>
      </c>
      <c r="G37" s="699" t="s">
        <v>86</v>
      </c>
      <c r="H37" s="268">
        <v>1000</v>
      </c>
      <c r="I37" s="268"/>
      <c r="J37" s="268" t="s">
        <v>475</v>
      </c>
      <c r="K37" s="259">
        <f t="shared" si="0"/>
        <v>209637249</v>
      </c>
      <c r="L37" s="268" t="s">
        <v>475</v>
      </c>
      <c r="M37" s="568">
        <f>ROUND(SUMIF(T_BS!$F:$F,T198_TB!E37,T_BS!$AA:$AA),0)</f>
        <v>209637249</v>
      </c>
      <c r="Q37" s="713"/>
      <c r="R37" s="740">
        <v>209637249</v>
      </c>
      <c r="S37" s="741">
        <f t="shared" si="1"/>
        <v>0</v>
      </c>
      <c r="T37" s="700"/>
      <c r="U37" s="700"/>
    </row>
    <row r="38" spans="4:21" s="259" customFormat="1" ht="18" customHeight="1">
      <c r="D38" s="697" t="s">
        <v>637</v>
      </c>
      <c r="E38" s="698">
        <v>2405</v>
      </c>
      <c r="F38" s="698" t="s">
        <v>0</v>
      </c>
      <c r="G38" s="699" t="s">
        <v>648</v>
      </c>
      <c r="H38" s="268">
        <v>1000</v>
      </c>
      <c r="I38" s="268"/>
      <c r="J38" s="268" t="s">
        <v>475</v>
      </c>
      <c r="K38" s="259">
        <f t="shared" si="0"/>
        <v>-107783846</v>
      </c>
      <c r="L38" s="268" t="s">
        <v>475</v>
      </c>
      <c r="M38" s="568">
        <f>ROUND(SUMIF(T_BS!$F:$F,T198_TB!E38,T_BS!$AA:$AA),0)</f>
        <v>-107783846</v>
      </c>
      <c r="Q38" s="713"/>
      <c r="R38" s="740">
        <v>-107783846</v>
      </c>
      <c r="S38" s="741">
        <f t="shared" si="1"/>
        <v>0</v>
      </c>
      <c r="T38" s="700"/>
      <c r="U38" s="700"/>
    </row>
    <row r="39" spans="4:21" s="259" customFormat="1" ht="18" customHeight="1">
      <c r="D39" s="697" t="s">
        <v>637</v>
      </c>
      <c r="E39" s="698">
        <v>2406</v>
      </c>
      <c r="F39" s="698" t="s">
        <v>0</v>
      </c>
      <c r="G39" s="699" t="s">
        <v>649</v>
      </c>
      <c r="H39" s="268">
        <v>1000</v>
      </c>
      <c r="I39" s="268"/>
      <c r="J39" s="268" t="s">
        <v>475</v>
      </c>
      <c r="K39" s="259">
        <f t="shared" si="0"/>
        <v>-19482073</v>
      </c>
      <c r="L39" s="268" t="s">
        <v>475</v>
      </c>
      <c r="M39" s="568">
        <f>ROUND(SUMIF(T_BS!$F:$F,T198_TB!E39,T_BS!$AA:$AA),0)</f>
        <v>-19482073</v>
      </c>
      <c r="Q39" s="713"/>
      <c r="R39" s="740">
        <v>-19482073</v>
      </c>
      <c r="S39" s="741">
        <f t="shared" si="1"/>
        <v>0</v>
      </c>
      <c r="T39" s="700"/>
      <c r="U39" s="700"/>
    </row>
    <row r="40" spans="4:21" s="259" customFormat="1" ht="18" customHeight="1">
      <c r="D40" s="697" t="s">
        <v>637</v>
      </c>
      <c r="E40" s="698">
        <v>2407</v>
      </c>
      <c r="F40" s="698" t="s">
        <v>0</v>
      </c>
      <c r="G40" s="699" t="s">
        <v>89</v>
      </c>
      <c r="H40" s="268">
        <v>1000</v>
      </c>
      <c r="I40" s="268"/>
      <c r="J40" s="268" t="s">
        <v>475</v>
      </c>
      <c r="K40" s="259">
        <f t="shared" si="0"/>
        <v>4149309096</v>
      </c>
      <c r="L40" s="268" t="s">
        <v>475</v>
      </c>
      <c r="M40" s="568">
        <f>ROUND(SUMIF(T_BS!$F:$F,T198_TB!E40,T_BS!$AA:$AA),0)</f>
        <v>4149309096</v>
      </c>
      <c r="Q40" s="714"/>
      <c r="R40" s="740">
        <v>4149309096</v>
      </c>
      <c r="S40" s="741">
        <f t="shared" si="1"/>
        <v>0</v>
      </c>
      <c r="T40" s="700"/>
      <c r="U40" s="700"/>
    </row>
    <row r="41" spans="4:21" s="259" customFormat="1" ht="18" customHeight="1">
      <c r="D41" s="697" t="s">
        <v>637</v>
      </c>
      <c r="E41" s="698">
        <v>2408</v>
      </c>
      <c r="F41" s="698" t="s">
        <v>0</v>
      </c>
      <c r="G41" s="699" t="s">
        <v>650</v>
      </c>
      <c r="H41" s="268">
        <v>1000</v>
      </c>
      <c r="I41" s="268"/>
      <c r="J41" s="268" t="s">
        <v>475</v>
      </c>
      <c r="K41" s="259">
        <f t="shared" si="0"/>
        <v>-3470383166</v>
      </c>
      <c r="L41" s="268" t="s">
        <v>475</v>
      </c>
      <c r="M41" s="568">
        <f>ROUND(SUMIF(T_BS!$F:$F,T198_TB!E41,T_BS!$AA:$AA),0)</f>
        <v>-3470383166</v>
      </c>
      <c r="Q41" s="714"/>
      <c r="R41" s="740">
        <v>-3470383166</v>
      </c>
      <c r="S41" s="741">
        <f t="shared" si="1"/>
        <v>0</v>
      </c>
      <c r="T41" s="700"/>
      <c r="U41" s="700"/>
    </row>
    <row r="42" spans="4:21" s="259" customFormat="1" ht="18" customHeight="1">
      <c r="D42" s="697" t="s">
        <v>637</v>
      </c>
      <c r="E42" s="698">
        <v>2409</v>
      </c>
      <c r="F42" s="698" t="s">
        <v>0</v>
      </c>
      <c r="G42" s="699" t="s">
        <v>651</v>
      </c>
      <c r="H42" s="268">
        <v>1000</v>
      </c>
      <c r="I42" s="268"/>
      <c r="J42" s="268" t="s">
        <v>475</v>
      </c>
      <c r="K42" s="259">
        <f t="shared" si="0"/>
        <v>-258088071</v>
      </c>
      <c r="L42" s="268" t="s">
        <v>475</v>
      </c>
      <c r="M42" s="568">
        <f>ROUND(SUMIF(T_BS!$F:$F,T198_TB!E42,T_BS!$AA:$AA),0)</f>
        <v>-258088071</v>
      </c>
      <c r="Q42" s="714"/>
      <c r="R42" s="740">
        <v>-258088071</v>
      </c>
      <c r="S42" s="741">
        <f t="shared" si="1"/>
        <v>0</v>
      </c>
      <c r="T42" s="700"/>
      <c r="U42" s="700"/>
    </row>
    <row r="43" spans="4:21" s="259" customFormat="1" ht="18" customHeight="1">
      <c r="D43" s="697" t="s">
        <v>637</v>
      </c>
      <c r="E43" s="698">
        <v>2413</v>
      </c>
      <c r="F43" s="698" t="s">
        <v>0</v>
      </c>
      <c r="G43" s="699" t="s">
        <v>95</v>
      </c>
      <c r="H43" s="268">
        <v>1000</v>
      </c>
      <c r="I43" s="268"/>
      <c r="J43" s="268" t="s">
        <v>475</v>
      </c>
      <c r="K43" s="259">
        <f t="shared" si="0"/>
        <v>7135715694</v>
      </c>
      <c r="L43" s="268" t="s">
        <v>475</v>
      </c>
      <c r="M43" s="568">
        <f>ROUND(SUMIF(T_BS!$F:$F,T198_TB!E43,T_BS!$AA:$AA),0)</f>
        <v>7135715694</v>
      </c>
      <c r="Q43" s="714"/>
      <c r="R43" s="740">
        <v>7135715694</v>
      </c>
      <c r="S43" s="741">
        <f t="shared" si="1"/>
        <v>0</v>
      </c>
      <c r="T43" s="700"/>
      <c r="U43" s="700"/>
    </row>
    <row r="44" spans="4:21" s="259" customFormat="1" ht="18" customHeight="1">
      <c r="D44" s="697" t="s">
        <v>637</v>
      </c>
      <c r="E44" s="698">
        <v>2414</v>
      </c>
      <c r="F44" s="698" t="s">
        <v>0</v>
      </c>
      <c r="G44" s="699" t="s">
        <v>652</v>
      </c>
      <c r="H44" s="268">
        <v>1000</v>
      </c>
      <c r="I44" s="268"/>
      <c r="J44" s="268" t="s">
        <v>475</v>
      </c>
      <c r="K44" s="259">
        <f t="shared" si="0"/>
        <v>-3282682409</v>
      </c>
      <c r="L44" s="268" t="s">
        <v>475</v>
      </c>
      <c r="M44" s="568">
        <f>ROUND(SUMIF(T_BS!$F:$F,T198_TB!E44,T_BS!$AA:$AA),0)</f>
        <v>-3282682409</v>
      </c>
      <c r="Q44" s="714"/>
      <c r="R44" s="740">
        <v>-3282682409</v>
      </c>
      <c r="S44" s="741">
        <f t="shared" si="1"/>
        <v>0</v>
      </c>
      <c r="T44" s="700"/>
      <c r="U44" s="700"/>
    </row>
    <row r="45" spans="4:21" s="259" customFormat="1" ht="18" customHeight="1">
      <c r="D45" s="697" t="s">
        <v>637</v>
      </c>
      <c r="E45" s="698">
        <v>2415</v>
      </c>
      <c r="F45" s="698" t="s">
        <v>0</v>
      </c>
      <c r="G45" s="699" t="s">
        <v>653</v>
      </c>
      <c r="H45" s="268">
        <v>1000</v>
      </c>
      <c r="I45" s="268"/>
      <c r="J45" s="268" t="s">
        <v>475</v>
      </c>
      <c r="K45" s="259">
        <f t="shared" si="0"/>
        <v>-2242592169</v>
      </c>
      <c r="L45" s="268" t="s">
        <v>475</v>
      </c>
      <c r="M45" s="568">
        <f>ROUND(SUMIF(T_BS!$F:$F,T198_TB!E45,T_BS!$AA:$AA),0)</f>
        <v>-2242592169</v>
      </c>
      <c r="Q45" s="714"/>
      <c r="R45" s="740">
        <v>-2242592169</v>
      </c>
      <c r="S45" s="741">
        <f t="shared" si="1"/>
        <v>0</v>
      </c>
      <c r="T45" s="700"/>
      <c r="U45" s="700"/>
    </row>
    <row r="46" spans="4:21" s="259" customFormat="1" ht="18" customHeight="1">
      <c r="D46" s="697" t="s">
        <v>637</v>
      </c>
      <c r="E46" s="698">
        <v>2501</v>
      </c>
      <c r="F46" s="698" t="s">
        <v>0</v>
      </c>
      <c r="G46" s="699" t="s">
        <v>654</v>
      </c>
      <c r="H46" s="268">
        <v>1000</v>
      </c>
      <c r="I46" s="268"/>
      <c r="J46" s="268" t="s">
        <v>475</v>
      </c>
      <c r="K46" s="259">
        <f t="shared" si="0"/>
        <v>652260854</v>
      </c>
      <c r="L46" s="268" t="s">
        <v>475</v>
      </c>
      <c r="M46" s="568">
        <f>ROUND(SUMIF(T_BS!$F:$F,T198_TB!E46,T_BS!$AA:$AA),0)</f>
        <v>652260854</v>
      </c>
      <c r="Q46" s="714"/>
      <c r="R46" s="740">
        <v>652260854</v>
      </c>
      <c r="S46" s="741">
        <f t="shared" si="1"/>
        <v>0</v>
      </c>
      <c r="T46" s="700"/>
      <c r="U46" s="700"/>
    </row>
    <row r="47" spans="4:21" s="259" customFormat="1" ht="18" customHeight="1">
      <c r="D47" s="697" t="s">
        <v>637</v>
      </c>
      <c r="E47" s="698">
        <v>2503</v>
      </c>
      <c r="F47" s="698" t="s">
        <v>0</v>
      </c>
      <c r="G47" s="699" t="s">
        <v>110</v>
      </c>
      <c r="H47" s="268">
        <v>1000</v>
      </c>
      <c r="I47" s="268"/>
      <c r="J47" s="268" t="s">
        <v>475</v>
      </c>
      <c r="K47" s="259">
        <f t="shared" si="0"/>
        <v>1265447535</v>
      </c>
      <c r="L47" s="268" t="s">
        <v>475</v>
      </c>
      <c r="M47" s="568">
        <f>ROUND(SUMIF(T_BS!$F:$F,T198_TB!E47,T_BS!$AA:$AA),0)</f>
        <v>1265447535</v>
      </c>
      <c r="Q47" s="714"/>
      <c r="R47" s="740">
        <v>1265447535</v>
      </c>
      <c r="S47" s="741">
        <f t="shared" si="1"/>
        <v>0</v>
      </c>
      <c r="T47" s="700"/>
      <c r="U47" s="700"/>
    </row>
    <row r="48" spans="4:21" s="259" customFormat="1" ht="18" customHeight="1">
      <c r="D48" s="697" t="s">
        <v>637</v>
      </c>
      <c r="E48" s="698">
        <v>2505</v>
      </c>
      <c r="F48" s="698" t="s">
        <v>0</v>
      </c>
      <c r="G48" s="699" t="s">
        <v>123</v>
      </c>
      <c r="H48" s="268">
        <v>1000</v>
      </c>
      <c r="I48" s="268"/>
      <c r="J48" s="268" t="s">
        <v>475</v>
      </c>
      <c r="K48" s="259">
        <f t="shared" si="0"/>
        <v>4044414803</v>
      </c>
      <c r="L48" s="268" t="s">
        <v>475</v>
      </c>
      <c r="M48" s="568">
        <f>ROUND(SUMIF(T_BS!$F:$F,T198_TB!E48,T_BS!$AA:$AA),0)</f>
        <v>4044414803</v>
      </c>
      <c r="Q48" s="713"/>
      <c r="R48" s="740">
        <v>4044414803</v>
      </c>
      <c r="S48" s="741">
        <f t="shared" si="1"/>
        <v>0</v>
      </c>
      <c r="T48" s="700"/>
      <c r="U48" s="700"/>
    </row>
    <row r="49" spans="4:21" s="259" customFormat="1" ht="18" customHeight="1">
      <c r="D49" s="697" t="s">
        <v>637</v>
      </c>
      <c r="E49" s="698">
        <v>2507</v>
      </c>
      <c r="F49" s="698" t="s">
        <v>0</v>
      </c>
      <c r="G49" s="699" t="s">
        <v>655</v>
      </c>
      <c r="H49" s="268">
        <v>1000</v>
      </c>
      <c r="I49" s="268"/>
      <c r="J49" s="268" t="s">
        <v>475</v>
      </c>
      <c r="K49" s="259">
        <f t="shared" si="0"/>
        <v>14018587607</v>
      </c>
      <c r="L49" s="268" t="s">
        <v>475</v>
      </c>
      <c r="M49" s="568">
        <f>ROUND(SUMIF(T_BS!$F:$F,T198_TB!E49,T_BS!$AA:$AA),0)</f>
        <v>14018587607</v>
      </c>
      <c r="Q49" s="713"/>
      <c r="R49" s="740">
        <v>14018587607</v>
      </c>
      <c r="S49" s="741">
        <f t="shared" si="1"/>
        <v>0</v>
      </c>
      <c r="T49" s="700"/>
      <c r="U49" s="700"/>
    </row>
    <row r="50" spans="4:21" s="259" customFormat="1" ht="18" customHeight="1">
      <c r="D50" s="697" t="s">
        <v>637</v>
      </c>
      <c r="E50" s="698">
        <v>2508</v>
      </c>
      <c r="F50" s="698" t="s">
        <v>0</v>
      </c>
      <c r="G50" s="699" t="s">
        <v>129</v>
      </c>
      <c r="H50" s="268">
        <v>1000</v>
      </c>
      <c r="I50" s="268"/>
      <c r="J50" s="268" t="s">
        <v>475</v>
      </c>
      <c r="K50" s="259">
        <f t="shared" si="0"/>
        <v>6617914056</v>
      </c>
      <c r="L50" s="268" t="s">
        <v>475</v>
      </c>
      <c r="M50" s="568">
        <f>ROUND(SUMIF(T_BS!$F:$F,T198_TB!E50,T_BS!$AA:$AA),0)</f>
        <v>6617914056</v>
      </c>
      <c r="Q50" s="713"/>
      <c r="R50" s="740">
        <v>6617914056</v>
      </c>
      <c r="S50" s="741">
        <f t="shared" si="1"/>
        <v>0</v>
      </c>
      <c r="T50" s="700"/>
      <c r="U50" s="700"/>
    </row>
    <row r="51" spans="4:21" s="259" customFormat="1" ht="18" customHeight="1">
      <c r="D51" s="697" t="s">
        <v>637</v>
      </c>
      <c r="E51" s="698">
        <v>1213</v>
      </c>
      <c r="F51" s="698" t="s">
        <v>0</v>
      </c>
      <c r="G51" s="699" t="s">
        <v>1972</v>
      </c>
      <c r="H51" s="268">
        <v>1000</v>
      </c>
      <c r="I51" s="268"/>
      <c r="J51" s="268" t="s">
        <v>475</v>
      </c>
      <c r="K51" s="259">
        <f t="shared" ref="K51" si="5">+M51</f>
        <v>50000000</v>
      </c>
      <c r="L51" s="268" t="s">
        <v>475</v>
      </c>
      <c r="M51" s="568">
        <f>ROUND(SUMIF(T_BS!$F:$F,T198_TB!E51,T_BS!$AA:$AA),0)</f>
        <v>50000000</v>
      </c>
      <c r="Q51" s="714"/>
      <c r="R51" s="740">
        <v>1907268967</v>
      </c>
      <c r="S51" s="741">
        <f t="shared" ref="S51" si="6">R51-M51</f>
        <v>1857268967</v>
      </c>
      <c r="T51" s="700"/>
      <c r="U51" s="700"/>
    </row>
    <row r="52" spans="4:21" s="259" customFormat="1" ht="18" customHeight="1">
      <c r="D52" s="697" t="s">
        <v>637</v>
      </c>
      <c r="E52" s="698">
        <v>2101</v>
      </c>
      <c r="F52" s="698" t="s">
        <v>0</v>
      </c>
      <c r="G52" s="699" t="s">
        <v>75</v>
      </c>
      <c r="H52" s="268">
        <v>1000</v>
      </c>
      <c r="I52" s="268"/>
      <c r="J52" s="268" t="s">
        <v>475</v>
      </c>
      <c r="K52" s="259">
        <f t="shared" si="0"/>
        <v>1843022019</v>
      </c>
      <c r="L52" s="268" t="s">
        <v>475</v>
      </c>
      <c r="M52" s="568">
        <f>ROUND(SUMIF(T_BS!$F:$F,T198_TB!E52,T_BS!$AA:$AA),0)</f>
        <v>1843022019</v>
      </c>
      <c r="Q52" s="714"/>
      <c r="R52" s="740">
        <v>1907268967</v>
      </c>
      <c r="S52" s="741">
        <f t="shared" si="1"/>
        <v>64246948</v>
      </c>
      <c r="T52" s="700"/>
      <c r="U52" s="700"/>
    </row>
    <row r="53" spans="4:21" s="259" customFormat="1" ht="18" customHeight="1">
      <c r="D53" s="697" t="s">
        <v>637</v>
      </c>
      <c r="E53" s="698">
        <v>2603</v>
      </c>
      <c r="F53" s="698" t="s">
        <v>0</v>
      </c>
      <c r="G53" s="699" t="s">
        <v>1889</v>
      </c>
      <c r="H53" s="268">
        <v>1000</v>
      </c>
      <c r="I53" s="268"/>
      <c r="J53" s="268" t="s">
        <v>475</v>
      </c>
      <c r="K53" s="259">
        <f t="shared" si="0"/>
        <v>996359683</v>
      </c>
      <c r="L53" s="268" t="s">
        <v>475</v>
      </c>
      <c r="M53" s="568">
        <f>ROUND(SUMIF(T_BS!$F:$F,T198_TB!E53,T_BS!$AA:$AA),0)</f>
        <v>996359683</v>
      </c>
      <c r="Q53" s="714"/>
      <c r="R53" s="740">
        <v>996359683</v>
      </c>
      <c r="S53" s="741">
        <f t="shared" si="1"/>
        <v>0</v>
      </c>
      <c r="T53" s="700"/>
      <c r="U53" s="700"/>
    </row>
    <row r="54" spans="4:21" s="259" customFormat="1" ht="18" customHeight="1">
      <c r="D54" s="697" t="s">
        <v>637</v>
      </c>
      <c r="E54" s="698">
        <v>2302</v>
      </c>
      <c r="F54" s="698" t="s">
        <v>0</v>
      </c>
      <c r="G54" s="699" t="s">
        <v>136</v>
      </c>
      <c r="H54" s="268">
        <v>1000</v>
      </c>
      <c r="I54" s="268"/>
      <c r="J54" s="268" t="s">
        <v>475</v>
      </c>
      <c r="K54" s="259">
        <f t="shared" si="0"/>
        <v>18344461</v>
      </c>
      <c r="L54" s="268" t="s">
        <v>475</v>
      </c>
      <c r="M54" s="568">
        <f>ROUND(SUMIF(T_BS!$F:$F,T198_TB!E54,T_BS!$AA:$AA),0)</f>
        <v>18344461</v>
      </c>
      <c r="Q54" s="714"/>
      <c r="R54" s="740">
        <v>18344461</v>
      </c>
      <c r="S54" s="741">
        <f t="shared" si="1"/>
        <v>0</v>
      </c>
      <c r="T54" s="700"/>
      <c r="U54" s="700"/>
    </row>
    <row r="55" spans="4:21" s="259" customFormat="1" ht="18" customHeight="1">
      <c r="D55" s="697" t="s">
        <v>637</v>
      </c>
      <c r="E55" s="698">
        <v>3101</v>
      </c>
      <c r="F55" s="698" t="s">
        <v>8</v>
      </c>
      <c r="G55" s="699" t="s">
        <v>656</v>
      </c>
      <c r="H55" s="268">
        <v>1000</v>
      </c>
      <c r="I55" s="268"/>
      <c r="J55" s="268" t="s">
        <v>475</v>
      </c>
      <c r="K55" s="259">
        <f t="shared" si="0"/>
        <v>-27341940601</v>
      </c>
      <c r="L55" s="268" t="s">
        <v>475</v>
      </c>
      <c r="M55" s="568">
        <f>-ROUND(SUMIF(T_BS!$F:$F,T198_TB!E55,T_BS!$AA:$AA),0)</f>
        <v>-27341940601</v>
      </c>
      <c r="Q55" s="713"/>
      <c r="R55" s="740">
        <v>-27342092791</v>
      </c>
      <c r="S55" s="741">
        <f t="shared" si="1"/>
        <v>-152190</v>
      </c>
      <c r="T55" s="700"/>
      <c r="U55" s="700"/>
    </row>
    <row r="56" spans="4:21" s="259" customFormat="1" ht="18" customHeight="1">
      <c r="D56" s="697" t="s">
        <v>637</v>
      </c>
      <c r="E56" s="698">
        <v>3405</v>
      </c>
      <c r="F56" s="698" t="s">
        <v>8</v>
      </c>
      <c r="G56" s="699" t="s">
        <v>657</v>
      </c>
      <c r="H56" s="268">
        <v>1000</v>
      </c>
      <c r="I56" s="268"/>
      <c r="J56" s="268" t="s">
        <v>475</v>
      </c>
      <c r="K56" s="259">
        <f t="shared" si="0"/>
        <v>0</v>
      </c>
      <c r="L56" s="268" t="s">
        <v>475</v>
      </c>
      <c r="M56" s="568">
        <f>-ROUND(SUMIF(T_BS!$F:$F,T198_TB!E56,T_BS!$AA:$AA),0)</f>
        <v>0</v>
      </c>
      <c r="Q56" s="713"/>
      <c r="R56" s="740">
        <v>0</v>
      </c>
      <c r="S56" s="741">
        <f t="shared" si="1"/>
        <v>0</v>
      </c>
      <c r="T56" s="700"/>
      <c r="U56" s="700"/>
    </row>
    <row r="57" spans="4:21" s="259" customFormat="1" ht="18" customHeight="1">
      <c r="D57" s="697" t="s">
        <v>637</v>
      </c>
      <c r="E57" s="698">
        <v>3102</v>
      </c>
      <c r="F57" s="698" t="s">
        <v>8</v>
      </c>
      <c r="G57" s="699" t="s">
        <v>658</v>
      </c>
      <c r="H57" s="268">
        <v>1000</v>
      </c>
      <c r="I57" s="268"/>
      <c r="J57" s="268" t="s">
        <v>475</v>
      </c>
      <c r="K57" s="259">
        <f t="shared" si="0"/>
        <v>-5730909970</v>
      </c>
      <c r="L57" s="268" t="s">
        <v>475</v>
      </c>
      <c r="M57" s="568">
        <f>-ROUND(SUMIF(T_BS!$F:$F,T198_TB!E57,T_BS!$AA:$AA),0)</f>
        <v>-5730909970</v>
      </c>
      <c r="Q57" s="714"/>
      <c r="R57" s="740">
        <v>-5730909970</v>
      </c>
      <c r="S57" s="741">
        <f t="shared" si="1"/>
        <v>0</v>
      </c>
      <c r="T57" s="700"/>
      <c r="U57" s="700"/>
    </row>
    <row r="58" spans="4:21" s="259" customFormat="1" ht="18" customHeight="1">
      <c r="D58" s="697" t="s">
        <v>637</v>
      </c>
      <c r="E58" s="698">
        <v>3401</v>
      </c>
      <c r="F58" s="698" t="s">
        <v>8</v>
      </c>
      <c r="G58" s="699" t="s">
        <v>659</v>
      </c>
      <c r="H58" s="268">
        <v>1000</v>
      </c>
      <c r="I58" s="268"/>
      <c r="J58" s="268" t="s">
        <v>475</v>
      </c>
      <c r="K58" s="259">
        <f t="shared" si="0"/>
        <v>0</v>
      </c>
      <c r="L58" s="268" t="s">
        <v>475</v>
      </c>
      <c r="M58" s="568">
        <f>-ROUND(SUMIF(T_BS!$F:$F,T198_TB!E58,T_BS!$AA:$AA),0)</f>
        <v>0</v>
      </c>
      <c r="Q58" s="714"/>
      <c r="R58" s="740">
        <v>0</v>
      </c>
      <c r="S58" s="741">
        <f t="shared" si="1"/>
        <v>0</v>
      </c>
      <c r="T58" s="700"/>
      <c r="U58" s="700"/>
    </row>
    <row r="59" spans="4:21" s="259" customFormat="1" ht="18" customHeight="1">
      <c r="D59" s="697" t="s">
        <v>637</v>
      </c>
      <c r="E59" s="698">
        <v>3402</v>
      </c>
      <c r="F59" s="698" t="s">
        <v>8</v>
      </c>
      <c r="G59" s="699" t="s">
        <v>660</v>
      </c>
      <c r="H59" s="268">
        <v>1000</v>
      </c>
      <c r="I59" s="268"/>
      <c r="J59" s="268" t="s">
        <v>475</v>
      </c>
      <c r="K59" s="259">
        <f t="shared" si="0"/>
        <v>-5133463786</v>
      </c>
      <c r="L59" s="268" t="s">
        <v>475</v>
      </c>
      <c r="M59" s="568">
        <f>-ROUND(SUMIF(T_BS!$F:$F,T198_TB!E59,T_BS!$AA:$AA),0)</f>
        <v>-5133463786</v>
      </c>
      <c r="Q59" s="714"/>
      <c r="R59" s="740">
        <v>-5133463786</v>
      </c>
      <c r="S59" s="741">
        <f t="shared" si="1"/>
        <v>0</v>
      </c>
      <c r="T59" s="700"/>
      <c r="U59" s="700"/>
    </row>
    <row r="60" spans="4:21" s="259" customFormat="1" ht="18" customHeight="1">
      <c r="D60" s="697" t="s">
        <v>637</v>
      </c>
      <c r="E60" s="698">
        <v>3201</v>
      </c>
      <c r="F60" s="698" t="s">
        <v>8</v>
      </c>
      <c r="G60" s="699" t="s">
        <v>661</v>
      </c>
      <c r="H60" s="268">
        <v>1000</v>
      </c>
      <c r="I60" s="268"/>
      <c r="J60" s="268" t="s">
        <v>475</v>
      </c>
      <c r="K60" s="259">
        <f t="shared" si="0"/>
        <v>-61759957</v>
      </c>
      <c r="L60" s="268" t="s">
        <v>475</v>
      </c>
      <c r="M60" s="568">
        <f>-ROUND(SUMIF(T_BS!$F:$F,T198_TB!E60,T_BS!$AA:$AA),0)</f>
        <v>-61759957</v>
      </c>
      <c r="Q60" s="714"/>
      <c r="R60" s="740">
        <v>-61759957</v>
      </c>
      <c r="S60" s="741">
        <f t="shared" si="1"/>
        <v>0</v>
      </c>
      <c r="T60" s="700"/>
      <c r="U60" s="700"/>
    </row>
    <row r="61" spans="4:21" s="259" customFormat="1" ht="18" customHeight="1">
      <c r="D61" s="697" t="s">
        <v>637</v>
      </c>
      <c r="E61" s="698">
        <v>3103</v>
      </c>
      <c r="F61" s="698" t="s">
        <v>8</v>
      </c>
      <c r="G61" s="699" t="s">
        <v>662</v>
      </c>
      <c r="H61" s="268">
        <v>1000</v>
      </c>
      <c r="I61" s="268"/>
      <c r="J61" s="268" t="s">
        <v>475</v>
      </c>
      <c r="K61" s="259">
        <f t="shared" si="0"/>
        <v>-3180455365</v>
      </c>
      <c r="L61" s="268" t="s">
        <v>475</v>
      </c>
      <c r="M61" s="568">
        <f>-ROUND(SUMIF(T_BS!$F:$F,T198_TB!E61,T_BS!$AA:$AA),0)</f>
        <v>-3180455365</v>
      </c>
      <c r="Q61" s="714"/>
      <c r="R61" s="740">
        <v>-3102308085</v>
      </c>
      <c r="S61" s="741">
        <f t="shared" si="1"/>
        <v>78147280</v>
      </c>
      <c r="T61" s="700"/>
      <c r="U61" s="700"/>
    </row>
    <row r="62" spans="4:21" s="259" customFormat="1" ht="18" customHeight="1">
      <c r="D62" s="697" t="s">
        <v>637</v>
      </c>
      <c r="E62" s="698">
        <v>3501</v>
      </c>
      <c r="F62" s="698" t="s">
        <v>8</v>
      </c>
      <c r="G62" s="699" t="s">
        <v>663</v>
      </c>
      <c r="H62" s="268">
        <v>1000</v>
      </c>
      <c r="I62" s="268"/>
      <c r="J62" s="268" t="s">
        <v>475</v>
      </c>
      <c r="K62" s="259">
        <f t="shared" si="0"/>
        <v>0</v>
      </c>
      <c r="L62" s="268" t="s">
        <v>475</v>
      </c>
      <c r="M62" s="568">
        <f>-ROUND(SUMIF(T_BS!$F:$F,T198_TB!E62,T_BS!$AA:$AA),0)</f>
        <v>0</v>
      </c>
      <c r="Q62" s="714"/>
      <c r="R62" s="740">
        <v>0</v>
      </c>
      <c r="S62" s="741">
        <f t="shared" si="1"/>
        <v>0</v>
      </c>
      <c r="T62" s="700"/>
      <c r="U62" s="700"/>
    </row>
    <row r="63" spans="4:21" s="259" customFormat="1" ht="18" customHeight="1">
      <c r="D63" s="697" t="s">
        <v>637</v>
      </c>
      <c r="E63" s="698">
        <v>3503</v>
      </c>
      <c r="F63" s="698" t="s">
        <v>8</v>
      </c>
      <c r="G63" s="699" t="s">
        <v>664</v>
      </c>
      <c r="H63" s="268">
        <v>1000</v>
      </c>
      <c r="I63" s="268"/>
      <c r="J63" s="268" t="s">
        <v>475</v>
      </c>
      <c r="K63" s="259">
        <f t="shared" si="0"/>
        <v>0</v>
      </c>
      <c r="L63" s="268" t="s">
        <v>475</v>
      </c>
      <c r="M63" s="568">
        <f>-ROUND(SUMIF(T_BS!$F:$F,T198_TB!E63,T_BS!$AA:$AA),0)</f>
        <v>0</v>
      </c>
      <c r="Q63" s="713"/>
      <c r="R63" s="740">
        <v>0</v>
      </c>
      <c r="S63" s="741">
        <f t="shared" si="1"/>
        <v>0</v>
      </c>
      <c r="T63" s="700"/>
      <c r="U63" s="700"/>
    </row>
    <row r="64" spans="4:21" s="259" customFormat="1" ht="18" customHeight="1">
      <c r="D64" s="697" t="s">
        <v>637</v>
      </c>
      <c r="E64" s="698">
        <v>3502</v>
      </c>
      <c r="F64" s="698" t="s">
        <v>8</v>
      </c>
      <c r="G64" s="699" t="s">
        <v>665</v>
      </c>
      <c r="H64" s="268">
        <v>1000</v>
      </c>
      <c r="I64" s="268"/>
      <c r="J64" s="268" t="s">
        <v>475</v>
      </c>
      <c r="K64" s="259">
        <f t="shared" si="0"/>
        <v>0</v>
      </c>
      <c r="L64" s="268" t="s">
        <v>475</v>
      </c>
      <c r="M64" s="568">
        <f>-ROUND(SUMIF(T_BS!$F:$F,T198_TB!E64,T_BS!$AA:$AA),0)</f>
        <v>0</v>
      </c>
      <c r="Q64" s="713"/>
      <c r="R64" s="740">
        <v>0</v>
      </c>
      <c r="S64" s="741">
        <f t="shared" si="1"/>
        <v>0</v>
      </c>
      <c r="T64" s="700"/>
      <c r="U64" s="700"/>
    </row>
    <row r="65" spans="4:21" s="259" customFormat="1" ht="18" customHeight="1">
      <c r="D65" s="697" t="s">
        <v>637</v>
      </c>
      <c r="E65" s="698">
        <v>3504</v>
      </c>
      <c r="F65" s="698" t="s">
        <v>8</v>
      </c>
      <c r="G65" s="701" t="s">
        <v>1688</v>
      </c>
      <c r="H65" s="268">
        <v>1000</v>
      </c>
      <c r="I65" s="268"/>
      <c r="J65" s="268" t="s">
        <v>475</v>
      </c>
      <c r="K65" s="259">
        <f t="shared" si="0"/>
        <v>-2550691866</v>
      </c>
      <c r="L65" s="268" t="s">
        <v>475</v>
      </c>
      <c r="M65" s="568">
        <f>-ROUND(SUMIF(T_BS!$F:$F,T198_TB!E65,T_BS!$AA:$AA),0)</f>
        <v>-2550691866</v>
      </c>
      <c r="Q65" s="713"/>
      <c r="R65" s="740">
        <v>-2332412990</v>
      </c>
      <c r="S65" s="741">
        <f t="shared" si="1"/>
        <v>218278876</v>
      </c>
      <c r="T65" s="700"/>
      <c r="U65" s="700"/>
    </row>
    <row r="66" spans="4:21" s="259" customFormat="1" ht="18" customHeight="1">
      <c r="D66" s="697" t="s">
        <v>637</v>
      </c>
      <c r="E66" s="698">
        <v>3404</v>
      </c>
      <c r="F66" s="698" t="s">
        <v>8</v>
      </c>
      <c r="G66" s="699" t="s">
        <v>181</v>
      </c>
      <c r="H66" s="268">
        <v>1000</v>
      </c>
      <c r="I66" s="268"/>
      <c r="J66" s="268" t="s">
        <v>475</v>
      </c>
      <c r="K66" s="259">
        <f t="shared" si="0"/>
        <v>-369496026</v>
      </c>
      <c r="L66" s="268" t="s">
        <v>475</v>
      </c>
      <c r="M66" s="568">
        <f>-ROUND(SUMIF(T_BS!$F:$F,T198_TB!E66,T_BS!$AA:$AA),0)</f>
        <v>-369496026</v>
      </c>
      <c r="Q66" s="713"/>
      <c r="R66" s="740">
        <v>-369496026</v>
      </c>
      <c r="S66" s="741">
        <f t="shared" si="1"/>
        <v>0</v>
      </c>
      <c r="T66" s="700"/>
      <c r="U66" s="700"/>
    </row>
    <row r="67" spans="4:21" s="259" customFormat="1" ht="18" customHeight="1">
      <c r="D67" s="697" t="s">
        <v>637</v>
      </c>
      <c r="E67" s="698">
        <v>3403</v>
      </c>
      <c r="F67" s="698" t="s">
        <v>8</v>
      </c>
      <c r="G67" s="699" t="s">
        <v>666</v>
      </c>
      <c r="H67" s="268">
        <v>1000</v>
      </c>
      <c r="I67" s="268"/>
      <c r="J67" s="268" t="s">
        <v>475</v>
      </c>
      <c r="K67" s="259">
        <f t="shared" si="0"/>
        <v>0</v>
      </c>
      <c r="L67" s="268" t="s">
        <v>475</v>
      </c>
      <c r="M67" s="568">
        <f>-ROUND(SUMIF(T_BS!$F:$F,T198_TB!E67,T_BS!$AA:$AA),0)</f>
        <v>0</v>
      </c>
      <c r="Q67" s="713"/>
      <c r="R67" s="740">
        <v>0</v>
      </c>
      <c r="S67" s="741">
        <f t="shared" si="1"/>
        <v>0</v>
      </c>
      <c r="T67" s="700"/>
      <c r="U67" s="700"/>
    </row>
    <row r="68" spans="4:21" s="259" customFormat="1" ht="18" customHeight="1">
      <c r="D68" s="697" t="s">
        <v>637</v>
      </c>
      <c r="E68" s="698">
        <v>4601</v>
      </c>
      <c r="F68" s="698" t="s">
        <v>8</v>
      </c>
      <c r="G68" s="699" t="s">
        <v>1689</v>
      </c>
      <c r="H68" s="268">
        <v>1000</v>
      </c>
      <c r="I68" s="268"/>
      <c r="J68" s="268" t="s">
        <v>475</v>
      </c>
      <c r="K68" s="259">
        <f t="shared" si="0"/>
        <v>-695426099</v>
      </c>
      <c r="L68" s="268" t="s">
        <v>475</v>
      </c>
      <c r="M68" s="568">
        <f>-ROUND(SUMIF(T_BS!$F:$F,T198_TB!E68,T_BS!$AA:$AA),0)</f>
        <v>-695426099</v>
      </c>
      <c r="Q68" s="713"/>
      <c r="R68" s="740">
        <v>-460682656</v>
      </c>
      <c r="S68" s="741">
        <f t="shared" si="1"/>
        <v>234743443</v>
      </c>
      <c r="T68" s="700"/>
      <c r="U68" s="700"/>
    </row>
    <row r="69" spans="4:21" s="259" customFormat="1" ht="18" customHeight="1">
      <c r="D69" s="697" t="s">
        <v>637</v>
      </c>
      <c r="E69" s="698">
        <v>4201</v>
      </c>
      <c r="F69" s="698" t="s">
        <v>8</v>
      </c>
      <c r="G69" s="699" t="s">
        <v>667</v>
      </c>
      <c r="H69" s="268">
        <v>1000</v>
      </c>
      <c r="I69" s="268"/>
      <c r="J69" s="268" t="s">
        <v>475</v>
      </c>
      <c r="K69" s="259">
        <f t="shared" si="0"/>
        <v>-5531260072</v>
      </c>
      <c r="L69" s="268" t="s">
        <v>475</v>
      </c>
      <c r="M69" s="568">
        <f>-ROUND(SUMIF(T_BS!$F:$F,T198_TB!E69,T_BS!$AA:$AA),0)</f>
        <v>-5531260072</v>
      </c>
      <c r="Q69" s="713"/>
      <c r="R69" s="740">
        <v>-5531260072</v>
      </c>
      <c r="S69" s="741">
        <f t="shared" si="1"/>
        <v>0</v>
      </c>
      <c r="T69" s="700"/>
      <c r="U69" s="700"/>
    </row>
    <row r="70" spans="4:21" s="259" customFormat="1" ht="18" customHeight="1">
      <c r="D70" s="697" t="s">
        <v>637</v>
      </c>
      <c r="E70" s="698">
        <v>4202</v>
      </c>
      <c r="F70" s="698" t="s">
        <v>8</v>
      </c>
      <c r="G70" s="699" t="s">
        <v>668</v>
      </c>
      <c r="H70" s="268">
        <v>1000</v>
      </c>
      <c r="I70" s="268"/>
      <c r="J70" s="268" t="s">
        <v>475</v>
      </c>
      <c r="K70" s="259">
        <f t="shared" si="0"/>
        <v>4315590801</v>
      </c>
      <c r="L70" s="268" t="s">
        <v>475</v>
      </c>
      <c r="M70" s="568">
        <f>-ROUND(SUMIF(T_BS!$F:$F,T198_TB!E70,T_BS!$AA:$AA),0)</f>
        <v>4315590801</v>
      </c>
      <c r="Q70" s="713"/>
      <c r="R70" s="740">
        <v>4315590801</v>
      </c>
      <c r="S70" s="741">
        <f t="shared" si="1"/>
        <v>0</v>
      </c>
      <c r="T70" s="700"/>
      <c r="U70" s="700"/>
    </row>
    <row r="71" spans="4:21" s="259" customFormat="1" ht="18" customHeight="1">
      <c r="D71" s="697" t="s">
        <v>637</v>
      </c>
      <c r="E71" s="698">
        <v>4402</v>
      </c>
      <c r="F71" s="698" t="s">
        <v>8</v>
      </c>
      <c r="G71" s="699" t="s">
        <v>189</v>
      </c>
      <c r="H71" s="268">
        <v>1000</v>
      </c>
      <c r="I71" s="268"/>
      <c r="J71" s="268" t="s">
        <v>475</v>
      </c>
      <c r="K71" s="259">
        <f t="shared" si="0"/>
        <v>-118066714</v>
      </c>
      <c r="L71" s="268" t="s">
        <v>475</v>
      </c>
      <c r="M71" s="568">
        <f>-ROUND(SUMIF(T_BS!$F:$F,T198_TB!E71,T_BS!$AA:$AA),0)</f>
        <v>-118066714</v>
      </c>
      <c r="Q71" s="714"/>
      <c r="R71" s="740">
        <v>-118066714</v>
      </c>
      <c r="S71" s="741">
        <f t="shared" si="1"/>
        <v>0</v>
      </c>
      <c r="T71" s="700"/>
      <c r="U71" s="700"/>
    </row>
    <row r="72" spans="4:21" s="259" customFormat="1" ht="18" customHeight="1">
      <c r="D72" s="697" t="s">
        <v>637</v>
      </c>
      <c r="E72" s="698">
        <v>4301</v>
      </c>
      <c r="F72" s="698" t="s">
        <v>8</v>
      </c>
      <c r="G72" s="699" t="s">
        <v>669</v>
      </c>
      <c r="H72" s="268">
        <v>1000</v>
      </c>
      <c r="I72" s="268"/>
      <c r="J72" s="268" t="s">
        <v>475</v>
      </c>
      <c r="K72" s="259">
        <f t="shared" si="0"/>
        <v>-1852533634</v>
      </c>
      <c r="L72" s="268" t="s">
        <v>475</v>
      </c>
      <c r="M72" s="568">
        <f>-ROUND(SUMIF(T_BS!$F:$F,T198_TB!E72,T_BS!$AA:$AA),0)</f>
        <v>-1852533634</v>
      </c>
      <c r="Q72" s="714"/>
      <c r="R72" s="740">
        <v>-1852533634</v>
      </c>
      <c r="S72" s="741">
        <f t="shared" si="1"/>
        <v>0</v>
      </c>
      <c r="T72" s="700"/>
      <c r="U72" s="700"/>
    </row>
    <row r="73" spans="4:21" s="259" customFormat="1" ht="18" customHeight="1">
      <c r="D73" s="697" t="s">
        <v>637</v>
      </c>
      <c r="E73" s="698">
        <v>4103</v>
      </c>
      <c r="F73" s="698" t="s">
        <v>8</v>
      </c>
      <c r="G73" s="699" t="s">
        <v>1685</v>
      </c>
      <c r="H73" s="268">
        <v>1000</v>
      </c>
      <c r="I73" s="268"/>
      <c r="J73" s="268" t="s">
        <v>475</v>
      </c>
      <c r="K73" s="259">
        <f t="shared" si="0"/>
        <v>0</v>
      </c>
      <c r="L73" s="268" t="s">
        <v>475</v>
      </c>
      <c r="M73" s="568">
        <f>-ROUND(SUMIF(T_BS!$F:$F,T198_TB!E73,T_BS!$AA:$AA),0)</f>
        <v>0</v>
      </c>
      <c r="Q73" s="714"/>
      <c r="R73" s="740">
        <v>0</v>
      </c>
      <c r="S73" s="741">
        <f t="shared" ref="S73:S136" si="7">R73-M73</f>
        <v>0</v>
      </c>
      <c r="T73" s="700"/>
      <c r="U73" s="700"/>
    </row>
    <row r="74" spans="4:21" s="259" customFormat="1" ht="18" customHeight="1">
      <c r="D74" s="697" t="s">
        <v>637</v>
      </c>
      <c r="E74" s="698">
        <v>112900</v>
      </c>
      <c r="F74" s="698" t="s">
        <v>0</v>
      </c>
      <c r="G74" s="699" t="s">
        <v>1691</v>
      </c>
      <c r="H74" s="268">
        <v>1000</v>
      </c>
      <c r="I74" s="268"/>
      <c r="J74" s="268" t="s">
        <v>475</v>
      </c>
      <c r="K74" s="259">
        <f t="shared" si="0"/>
        <v>28706831</v>
      </c>
      <c r="L74" s="268" t="s">
        <v>475</v>
      </c>
      <c r="M74" s="568">
        <f>ROUND(SUMIF(T_BS!$F:$F,T198_TB!E74,T_BS!$AA:$AA),0)</f>
        <v>28706831</v>
      </c>
      <c r="Q74" s="714"/>
      <c r="R74" s="740">
        <v>28706831</v>
      </c>
      <c r="S74" s="741">
        <f t="shared" si="7"/>
        <v>0</v>
      </c>
      <c r="T74" s="700"/>
      <c r="U74" s="700"/>
    </row>
    <row r="75" spans="4:21" s="259" customFormat="1" ht="18" customHeight="1">
      <c r="D75" s="697" t="s">
        <v>637</v>
      </c>
      <c r="E75" s="698">
        <v>219000</v>
      </c>
      <c r="F75" s="698" t="s">
        <v>8</v>
      </c>
      <c r="G75" s="699" t="s">
        <v>1692</v>
      </c>
      <c r="H75" s="268">
        <v>1000</v>
      </c>
      <c r="I75" s="268"/>
      <c r="J75" s="268" t="s">
        <v>475</v>
      </c>
      <c r="K75" s="259">
        <f t="shared" si="0"/>
        <v>-775578928</v>
      </c>
      <c r="L75" s="268" t="s">
        <v>475</v>
      </c>
      <c r="M75" s="568">
        <f>-ROUND(SUMIF(T_BS!$F:$F,T198_TB!E75,T_BS!$AA:$AA),0)</f>
        <v>-775578928</v>
      </c>
      <c r="Q75" s="714"/>
      <c r="R75" s="740">
        <v>-775578928</v>
      </c>
      <c r="S75" s="741">
        <f t="shared" si="7"/>
        <v>0</v>
      </c>
      <c r="T75" s="700"/>
      <c r="U75" s="700"/>
    </row>
    <row r="76" spans="4:21" s="259" customFormat="1" ht="18" customHeight="1">
      <c r="D76" s="697" t="s">
        <v>637</v>
      </c>
      <c r="E76" s="698">
        <v>5101</v>
      </c>
      <c r="F76" s="698" t="s">
        <v>551</v>
      </c>
      <c r="G76" s="699" t="s">
        <v>191</v>
      </c>
      <c r="H76" s="268">
        <v>1000</v>
      </c>
      <c r="I76" s="268"/>
      <c r="J76" s="268" t="s">
        <v>475</v>
      </c>
      <c r="K76" s="259">
        <f t="shared" si="0"/>
        <v>-28429923500</v>
      </c>
      <c r="L76" s="268" t="s">
        <v>475</v>
      </c>
      <c r="M76" s="568">
        <f>-ROUND(SUMIF(T_BS!$F:$F,T198_TB!E76,T_BS!$AA:$AA),0)</f>
        <v>-28429923500</v>
      </c>
      <c r="Q76" s="714"/>
      <c r="R76" s="740">
        <v>-28429923500</v>
      </c>
      <c r="S76" s="741">
        <f t="shared" si="7"/>
        <v>0</v>
      </c>
      <c r="T76" s="700"/>
      <c r="U76" s="700"/>
    </row>
    <row r="77" spans="4:21" s="259" customFormat="1" ht="18" customHeight="1">
      <c r="D77" s="697" t="s">
        <v>637</v>
      </c>
      <c r="E77" s="698">
        <v>5201</v>
      </c>
      <c r="F77" s="698" t="s">
        <v>551</v>
      </c>
      <c r="G77" s="699" t="s">
        <v>192</v>
      </c>
      <c r="H77" s="268">
        <v>1000</v>
      </c>
      <c r="I77" s="268"/>
      <c r="J77" s="268" t="s">
        <v>475</v>
      </c>
      <c r="K77" s="259">
        <f t="shared" si="0"/>
        <v>-177997002186</v>
      </c>
      <c r="L77" s="268" t="s">
        <v>475</v>
      </c>
      <c r="M77" s="568">
        <f>-ROUND(SUMIF(T_BS!$F:$F,T198_TB!E77,T_BS!$AA:$AA),0)</f>
        <v>-177997002186</v>
      </c>
      <c r="Q77" s="714"/>
      <c r="R77" s="740">
        <v>-177997002186</v>
      </c>
      <c r="S77" s="741">
        <f t="shared" si="7"/>
        <v>0</v>
      </c>
      <c r="T77" s="700"/>
      <c r="U77" s="700"/>
    </row>
    <row r="78" spans="4:21" s="259" customFormat="1" ht="18" customHeight="1">
      <c r="D78" s="697" t="s">
        <v>637</v>
      </c>
      <c r="E78" s="698">
        <v>5202</v>
      </c>
      <c r="F78" s="698" t="s">
        <v>551</v>
      </c>
      <c r="G78" s="699" t="s">
        <v>670</v>
      </c>
      <c r="H78" s="268">
        <v>1000</v>
      </c>
      <c r="I78" s="268"/>
      <c r="J78" s="268" t="s">
        <v>475</v>
      </c>
      <c r="K78" s="259">
        <f t="shared" ref="K78:K143" si="8">+M78</f>
        <v>-562575670</v>
      </c>
      <c r="L78" s="268" t="s">
        <v>475</v>
      </c>
      <c r="M78" s="568">
        <f>-ROUND(SUMIF(T_BS!$F:$F,T198_TB!E78,T_BS!$AA:$AA),0)</f>
        <v>-562575670</v>
      </c>
      <c r="Q78" s="714"/>
      <c r="R78" s="740">
        <v>-562575670</v>
      </c>
      <c r="S78" s="741">
        <f t="shared" si="7"/>
        <v>0</v>
      </c>
      <c r="T78" s="700"/>
      <c r="U78" s="700"/>
    </row>
    <row r="79" spans="4:21" s="259" customFormat="1" ht="18" customHeight="1">
      <c r="D79" s="697" t="s">
        <v>637</v>
      </c>
      <c r="E79" s="698">
        <v>5203</v>
      </c>
      <c r="F79" s="698" t="s">
        <v>551</v>
      </c>
      <c r="G79" s="699" t="s">
        <v>193</v>
      </c>
      <c r="H79" s="268">
        <v>1000</v>
      </c>
      <c r="I79" s="268"/>
      <c r="J79" s="268" t="s">
        <v>475</v>
      </c>
      <c r="K79" s="259">
        <f t="shared" si="8"/>
        <v>0</v>
      </c>
      <c r="L79" s="268" t="s">
        <v>475</v>
      </c>
      <c r="M79" s="568">
        <f>-ROUND(SUMIF(T_BS!$F:$F,T198_TB!E79,T_BS!$AA:$AA),0)</f>
        <v>0</v>
      </c>
      <c r="Q79" s="714"/>
      <c r="R79" s="740">
        <v>0</v>
      </c>
      <c r="S79" s="741">
        <f t="shared" si="7"/>
        <v>0</v>
      </c>
      <c r="T79" s="700"/>
      <c r="U79" s="700"/>
    </row>
    <row r="80" spans="4:21" s="259" customFormat="1" ht="18" customHeight="1">
      <c r="D80" s="697" t="s">
        <v>637</v>
      </c>
      <c r="E80" s="698">
        <v>5301</v>
      </c>
      <c r="F80" s="698" t="s">
        <v>551</v>
      </c>
      <c r="G80" s="699" t="s">
        <v>197</v>
      </c>
      <c r="H80" s="268">
        <v>1000</v>
      </c>
      <c r="I80" s="268"/>
      <c r="J80" s="268" t="s">
        <v>475</v>
      </c>
      <c r="K80" s="259">
        <f t="shared" si="8"/>
        <v>1292039719</v>
      </c>
      <c r="L80" s="268" t="s">
        <v>475</v>
      </c>
      <c r="M80" s="568">
        <f>-ROUND(SUMIF(T_BS!$F:$F,T198_TB!E80,T_BS!$AA:$AA),0)</f>
        <v>1292039719</v>
      </c>
      <c r="Q80" s="714"/>
      <c r="R80" s="740">
        <v>1292039719</v>
      </c>
      <c r="S80" s="741">
        <f t="shared" si="7"/>
        <v>0</v>
      </c>
      <c r="T80" s="700"/>
      <c r="U80" s="700"/>
    </row>
    <row r="81" spans="4:21" s="259" customFormat="1" ht="18" customHeight="1">
      <c r="D81" s="697" t="s">
        <v>637</v>
      </c>
      <c r="E81" s="698">
        <v>5304</v>
      </c>
      <c r="F81" s="698" t="s">
        <v>551</v>
      </c>
      <c r="G81" s="699" t="s">
        <v>671</v>
      </c>
      <c r="H81" s="268">
        <v>1000</v>
      </c>
      <c r="I81" s="268"/>
      <c r="J81" s="268" t="s">
        <v>475</v>
      </c>
      <c r="K81" s="259">
        <f t="shared" si="8"/>
        <v>2736109088</v>
      </c>
      <c r="L81" s="268" t="s">
        <v>475</v>
      </c>
      <c r="M81" s="568">
        <f>-ROUND(SUMIF(T_BS!$F:$F,T198_TB!E81,T_BS!$AA:$AA),0)</f>
        <v>2736109088</v>
      </c>
      <c r="Q81" s="714"/>
      <c r="R81" s="740">
        <v>2736109088</v>
      </c>
      <c r="S81" s="741">
        <f t="shared" si="7"/>
        <v>0</v>
      </c>
      <c r="T81" s="700"/>
      <c r="U81" s="700"/>
    </row>
    <row r="82" spans="4:21" s="259" customFormat="1" ht="18" customHeight="1">
      <c r="D82" s="697" t="s">
        <v>637</v>
      </c>
      <c r="E82" s="698">
        <v>5307</v>
      </c>
      <c r="F82" s="698" t="s">
        <v>551</v>
      </c>
      <c r="G82" s="699" t="s">
        <v>205</v>
      </c>
      <c r="H82" s="268">
        <v>1000</v>
      </c>
      <c r="I82" s="268"/>
      <c r="J82" s="268" t="s">
        <v>475</v>
      </c>
      <c r="K82" s="259">
        <f t="shared" si="8"/>
        <v>-2051963668</v>
      </c>
      <c r="L82" s="268" t="s">
        <v>475</v>
      </c>
      <c r="M82" s="568">
        <f>-ROUND(SUMIF(T_BS!$F:$F,T198_TB!E82,T_BS!$AA:$AA),0)</f>
        <v>-2051963668</v>
      </c>
      <c r="Q82" s="714"/>
      <c r="R82" s="740">
        <v>-2051963668</v>
      </c>
      <c r="S82" s="741">
        <f t="shared" si="7"/>
        <v>0</v>
      </c>
      <c r="T82" s="700"/>
      <c r="U82" s="700"/>
    </row>
    <row r="83" spans="4:21" s="259" customFormat="1" ht="18" customHeight="1">
      <c r="D83" s="697" t="s">
        <v>637</v>
      </c>
      <c r="E83" s="698">
        <v>5402</v>
      </c>
      <c r="F83" s="698" t="s">
        <v>551</v>
      </c>
      <c r="G83" s="699" t="s">
        <v>403</v>
      </c>
      <c r="H83" s="268">
        <v>1000</v>
      </c>
      <c r="I83" s="268"/>
      <c r="J83" s="268" t="s">
        <v>475</v>
      </c>
      <c r="K83" s="259">
        <f t="shared" si="8"/>
        <v>39524878621</v>
      </c>
      <c r="L83" s="268" t="s">
        <v>475</v>
      </c>
      <c r="M83" s="568">
        <f>-ROUND(SUMIF(T_BS!$F:$F,T198_TB!E83,T_BS!$AA:$AA),0)</f>
        <v>39524878621</v>
      </c>
      <c r="Q83" s="714"/>
      <c r="R83" s="740">
        <v>39524878621</v>
      </c>
      <c r="S83" s="741">
        <f t="shared" si="7"/>
        <v>0</v>
      </c>
      <c r="T83" s="700"/>
      <c r="U83" s="700"/>
    </row>
    <row r="84" spans="4:21" s="259" customFormat="1" ht="18" customHeight="1">
      <c r="D84" s="697" t="s">
        <v>637</v>
      </c>
      <c r="E84" s="698">
        <v>5302</v>
      </c>
      <c r="F84" s="698" t="s">
        <v>551</v>
      </c>
      <c r="G84" s="699" t="s">
        <v>1690</v>
      </c>
      <c r="H84" s="268">
        <v>1000</v>
      </c>
      <c r="I84" s="268"/>
      <c r="J84" s="268" t="s">
        <v>475</v>
      </c>
      <c r="K84" s="259">
        <f t="shared" si="8"/>
        <v>-674683389</v>
      </c>
      <c r="L84" s="268" t="s">
        <v>475</v>
      </c>
      <c r="M84" s="568">
        <f>-ROUND(SUMIF(T_BS!$F:$F,T198_TB!E84,T_BS!$AA:$AA),0)</f>
        <v>-674683389</v>
      </c>
      <c r="Q84" s="714"/>
      <c r="R84" s="740">
        <v>-412085862</v>
      </c>
      <c r="S84" s="741">
        <f t="shared" si="7"/>
        <v>262597527</v>
      </c>
      <c r="T84" s="700"/>
      <c r="U84" s="700"/>
    </row>
    <row r="85" spans="4:21" s="259" customFormat="1" ht="18" customHeight="1">
      <c r="D85" s="697" t="s">
        <v>637</v>
      </c>
      <c r="E85" s="698">
        <v>5401</v>
      </c>
      <c r="F85" s="698" t="s">
        <v>551</v>
      </c>
      <c r="G85" s="699" t="s">
        <v>531</v>
      </c>
      <c r="H85" s="268">
        <v>1000</v>
      </c>
      <c r="I85" s="268"/>
      <c r="J85" s="268" t="s">
        <v>475</v>
      </c>
      <c r="K85" s="259">
        <f t="shared" si="8"/>
        <v>240559000</v>
      </c>
      <c r="L85" s="268" t="s">
        <v>475</v>
      </c>
      <c r="M85" s="568">
        <f>-ROUND(SUMIF(T_BS!$F:$F,T198_TB!E85,T_BS!$AA:$AA),0)</f>
        <v>240559000</v>
      </c>
      <c r="Q85" s="714"/>
      <c r="R85" s="740">
        <v>240559000</v>
      </c>
      <c r="S85" s="741">
        <f t="shared" si="7"/>
        <v>0</v>
      </c>
      <c r="T85" s="700"/>
      <c r="U85" s="700"/>
    </row>
    <row r="86" spans="4:21" s="259" customFormat="1" ht="18" customHeight="1">
      <c r="D86" s="697" t="s">
        <v>637</v>
      </c>
      <c r="E86" s="698">
        <v>101</v>
      </c>
      <c r="F86" s="698" t="s">
        <v>696</v>
      </c>
      <c r="G86" s="699" t="s">
        <v>672</v>
      </c>
      <c r="H86" s="268">
        <v>1000</v>
      </c>
      <c r="I86" s="268"/>
      <c r="J86" s="268" t="s">
        <v>475</v>
      </c>
      <c r="K86" s="259">
        <f t="shared" si="8"/>
        <v>-22544382739</v>
      </c>
      <c r="L86" s="268" t="s">
        <v>475</v>
      </c>
      <c r="M86" s="568">
        <f>-ROUND(SUMIF(T_IS!$F:$F,T198_TB!E86,T_IS!$AA:$AA),0)</f>
        <v>-22544382739</v>
      </c>
      <c r="Q86" s="714"/>
      <c r="R86" s="740">
        <v>-22544382739</v>
      </c>
      <c r="S86" s="741">
        <f t="shared" si="7"/>
        <v>0</v>
      </c>
      <c r="T86" s="700"/>
      <c r="U86" s="700"/>
    </row>
    <row r="87" spans="4:21" s="259" customFormat="1" ht="18" customHeight="1">
      <c r="D87" s="697" t="s">
        <v>637</v>
      </c>
      <c r="E87" s="698">
        <v>102</v>
      </c>
      <c r="F87" s="698" t="s">
        <v>696</v>
      </c>
      <c r="G87" s="699" t="s">
        <v>673</v>
      </c>
      <c r="H87" s="268">
        <v>1000</v>
      </c>
      <c r="I87" s="268"/>
      <c r="J87" s="268" t="s">
        <v>475</v>
      </c>
      <c r="K87" s="259">
        <f t="shared" si="8"/>
        <v>-15916753842</v>
      </c>
      <c r="L87" s="268" t="s">
        <v>475</v>
      </c>
      <c r="M87" s="568">
        <f>-ROUND(SUMIF(T_IS!$F:$F,T198_TB!E87,T_IS!$AA:$AA),0)</f>
        <v>-15916753842</v>
      </c>
      <c r="Q87" s="714"/>
      <c r="R87" s="740">
        <v>-15916753842</v>
      </c>
      <c r="S87" s="741">
        <f t="shared" si="7"/>
        <v>0</v>
      </c>
      <c r="T87" s="700"/>
      <c r="U87" s="700"/>
    </row>
    <row r="88" spans="4:21" s="259" customFormat="1" ht="18" customHeight="1">
      <c r="D88" s="697" t="s">
        <v>637</v>
      </c>
      <c r="E88" s="698">
        <v>105</v>
      </c>
      <c r="F88" s="698" t="s">
        <v>696</v>
      </c>
      <c r="G88" s="699" t="s">
        <v>674</v>
      </c>
      <c r="H88" s="268">
        <v>1000</v>
      </c>
      <c r="I88" s="268"/>
      <c r="J88" s="268" t="s">
        <v>475</v>
      </c>
      <c r="K88" s="259">
        <f t="shared" si="8"/>
        <v>-20604950601</v>
      </c>
      <c r="L88" s="268" t="s">
        <v>475</v>
      </c>
      <c r="M88" s="568">
        <f>-ROUND(SUMIF(T_IS!$F:$F,T198_TB!E88,T_IS!$AA:$AA),0)</f>
        <v>-20604950601</v>
      </c>
      <c r="Q88" s="714"/>
      <c r="R88" s="740">
        <v>-20604950601</v>
      </c>
      <c r="S88" s="741">
        <f t="shared" si="7"/>
        <v>0</v>
      </c>
      <c r="T88" s="700"/>
      <c r="U88" s="700"/>
    </row>
    <row r="89" spans="4:21" s="259" customFormat="1" ht="18" customHeight="1">
      <c r="D89" s="697" t="s">
        <v>637</v>
      </c>
      <c r="E89" s="698">
        <v>106</v>
      </c>
      <c r="F89" s="698" t="s">
        <v>696</v>
      </c>
      <c r="G89" s="699" t="s">
        <v>675</v>
      </c>
      <c r="H89" s="268">
        <v>1000</v>
      </c>
      <c r="I89" s="268"/>
      <c r="J89" s="268" t="s">
        <v>475</v>
      </c>
      <c r="K89" s="259">
        <f t="shared" si="8"/>
        <v>-17517695878</v>
      </c>
      <c r="L89" s="268" t="s">
        <v>475</v>
      </c>
      <c r="M89" s="568">
        <f>-ROUND(SUMIF(T_IS!$F:$F,T198_TB!E89,T_IS!$AA:$AA),0)</f>
        <v>-17517695878</v>
      </c>
      <c r="Q89" s="714"/>
      <c r="R89" s="740">
        <v>-17517695878</v>
      </c>
      <c r="S89" s="741">
        <f t="shared" si="7"/>
        <v>0</v>
      </c>
      <c r="T89" s="700"/>
      <c r="U89" s="700"/>
    </row>
    <row r="90" spans="4:21" s="259" customFormat="1" ht="18" customHeight="1">
      <c r="D90" s="697" t="s">
        <v>637</v>
      </c>
      <c r="E90" s="698">
        <v>103</v>
      </c>
      <c r="F90" s="698" t="s">
        <v>696</v>
      </c>
      <c r="G90" s="699" t="s">
        <v>238</v>
      </c>
      <c r="H90" s="268">
        <v>1000</v>
      </c>
      <c r="I90" s="268"/>
      <c r="J90" s="268" t="s">
        <v>475</v>
      </c>
      <c r="K90" s="259">
        <f t="shared" si="8"/>
        <v>-120377379624</v>
      </c>
      <c r="L90" s="268" t="s">
        <v>475</v>
      </c>
      <c r="M90" s="568">
        <f>-ROUND(SUMIF(T_IS!$F:$F,T198_TB!E90,T_IS!$AA:$AA),0)</f>
        <v>-120377379624</v>
      </c>
      <c r="Q90" s="714"/>
      <c r="R90" s="740">
        <v>-120227949145</v>
      </c>
      <c r="S90" s="741">
        <f t="shared" si="7"/>
        <v>149430479</v>
      </c>
      <c r="T90" s="700"/>
      <c r="U90" s="700"/>
    </row>
    <row r="91" spans="4:21" s="259" customFormat="1" ht="18" customHeight="1">
      <c r="D91" s="697" t="s">
        <v>637</v>
      </c>
      <c r="E91" s="698">
        <v>201</v>
      </c>
      <c r="F91" s="698" t="s">
        <v>697</v>
      </c>
      <c r="G91" s="699" t="s">
        <v>241</v>
      </c>
      <c r="H91" s="268">
        <v>1000</v>
      </c>
      <c r="I91" s="268"/>
      <c r="J91" s="268" t="s">
        <v>475</v>
      </c>
      <c r="K91" s="259">
        <f t="shared" si="8"/>
        <v>38447879691</v>
      </c>
      <c r="L91" s="268" t="s">
        <v>475</v>
      </c>
      <c r="M91" s="568">
        <f>ROUND(SUMIF(T_IS!$F:$F,T198_TB!E91,T_IS!$AA:$AA),0)</f>
        <v>38447879691</v>
      </c>
      <c r="Q91" s="715"/>
      <c r="R91" s="740">
        <v>38447879691</v>
      </c>
      <c r="S91" s="741">
        <f t="shared" si="7"/>
        <v>0</v>
      </c>
      <c r="T91" s="700"/>
      <c r="U91" s="700"/>
    </row>
    <row r="92" spans="4:21" s="259" customFormat="1" ht="18" customHeight="1">
      <c r="D92" s="697" t="s">
        <v>637</v>
      </c>
      <c r="E92" s="698">
        <v>202</v>
      </c>
      <c r="F92" s="698" t="s">
        <v>697</v>
      </c>
      <c r="G92" s="699" t="s">
        <v>243</v>
      </c>
      <c r="H92" s="268">
        <v>1000</v>
      </c>
      <c r="I92" s="268"/>
      <c r="J92" s="268" t="s">
        <v>475</v>
      </c>
      <c r="K92" s="259">
        <f t="shared" si="8"/>
        <v>28620091824</v>
      </c>
      <c r="L92" s="268" t="s">
        <v>475</v>
      </c>
      <c r="M92" s="568">
        <f>ROUND(SUMIF(T_IS!$F:$F,T198_TB!E92,T_IS!$AA:$AA),0)</f>
        <v>28620091824</v>
      </c>
      <c r="Q92" s="715"/>
      <c r="R92" s="740">
        <v>28620091824</v>
      </c>
      <c r="S92" s="741">
        <f t="shared" si="7"/>
        <v>0</v>
      </c>
      <c r="T92" s="700"/>
      <c r="U92" s="700"/>
    </row>
    <row r="93" spans="4:21" s="259" customFormat="1" ht="18" customHeight="1">
      <c r="D93" s="697" t="s">
        <v>637</v>
      </c>
      <c r="E93" s="698">
        <v>204</v>
      </c>
      <c r="F93" s="698" t="s">
        <v>697</v>
      </c>
      <c r="G93" s="699" t="s">
        <v>257</v>
      </c>
      <c r="H93" s="268">
        <v>1000</v>
      </c>
      <c r="I93" s="268"/>
      <c r="J93" s="268" t="s">
        <v>475</v>
      </c>
      <c r="K93" s="259">
        <f t="shared" si="8"/>
        <v>99235160202</v>
      </c>
      <c r="L93" s="268" t="s">
        <v>475</v>
      </c>
      <c r="M93" s="568">
        <f>ROUND(SUMIF(T_IS!$F:$F,T198_TB!E93,T_IS!$AA:$AA),0)</f>
        <v>99235160202</v>
      </c>
      <c r="Q93" s="715"/>
      <c r="R93" s="740">
        <v>99235160202</v>
      </c>
      <c r="S93" s="741">
        <f t="shared" si="7"/>
        <v>0</v>
      </c>
      <c r="T93" s="700"/>
      <c r="U93" s="700"/>
    </row>
    <row r="94" spans="4:21" s="259" customFormat="1" ht="18" customHeight="1">
      <c r="D94" s="697" t="s">
        <v>637</v>
      </c>
      <c r="E94" s="698">
        <v>301</v>
      </c>
      <c r="F94" s="698" t="s">
        <v>697</v>
      </c>
      <c r="G94" s="699" t="s">
        <v>261</v>
      </c>
      <c r="H94" s="268">
        <v>1000</v>
      </c>
      <c r="I94" s="268"/>
      <c r="J94" s="268" t="s">
        <v>475</v>
      </c>
      <c r="K94" s="259">
        <f t="shared" si="8"/>
        <v>13873735120</v>
      </c>
      <c r="L94" s="268" t="s">
        <v>475</v>
      </c>
      <c r="M94" s="568">
        <f>ROUND(SUMIF(T_IS!$F:$F,T198_TB!E94,T_IS!$AA:$AA),0)</f>
        <v>13873735120</v>
      </c>
      <c r="Q94" s="715"/>
      <c r="R94" s="740">
        <v>13873735120</v>
      </c>
      <c r="S94" s="741">
        <f t="shared" si="7"/>
        <v>0</v>
      </c>
      <c r="T94" s="700"/>
      <c r="U94" s="700"/>
    </row>
    <row r="95" spans="4:21" s="259" customFormat="1" ht="18" customHeight="1">
      <c r="D95" s="697" t="s">
        <v>637</v>
      </c>
      <c r="E95" s="698">
        <v>302</v>
      </c>
      <c r="F95" s="698" t="s">
        <v>697</v>
      </c>
      <c r="G95" s="699" t="s">
        <v>263</v>
      </c>
      <c r="H95" s="268">
        <v>1000</v>
      </c>
      <c r="I95" s="268"/>
      <c r="J95" s="268" t="s">
        <v>475</v>
      </c>
      <c r="K95" s="259">
        <f t="shared" si="8"/>
        <v>1094304358</v>
      </c>
      <c r="L95" s="268" t="s">
        <v>475</v>
      </c>
      <c r="M95" s="568">
        <f>ROUND(SUMIF(T_IS!$F:$F,T198_TB!E95,T_IS!$AA:$AA),0)</f>
        <v>1094304358</v>
      </c>
      <c r="Q95" s="715"/>
      <c r="R95" s="740">
        <v>1094304358</v>
      </c>
      <c r="S95" s="741">
        <f t="shared" si="7"/>
        <v>0</v>
      </c>
      <c r="T95" s="700"/>
      <c r="U95" s="700"/>
    </row>
    <row r="96" spans="4:21" s="259" customFormat="1" ht="18" customHeight="1">
      <c r="D96" s="697" t="s">
        <v>637</v>
      </c>
      <c r="E96" s="698">
        <v>304</v>
      </c>
      <c r="F96" s="698" t="s">
        <v>697</v>
      </c>
      <c r="G96" s="699" t="s">
        <v>265</v>
      </c>
      <c r="H96" s="268">
        <v>1000</v>
      </c>
      <c r="I96" s="268"/>
      <c r="J96" s="268" t="s">
        <v>475</v>
      </c>
      <c r="K96" s="259">
        <f t="shared" si="8"/>
        <v>2695798840</v>
      </c>
      <c r="L96" s="268" t="s">
        <v>475</v>
      </c>
      <c r="M96" s="568">
        <f>ROUND(SUMIF(T_IS!$F:$F,T198_TB!E96,T_IS!$AA:$AA),0)</f>
        <v>2695798840</v>
      </c>
      <c r="Q96" s="715"/>
      <c r="R96" s="740">
        <v>2695798840</v>
      </c>
      <c r="S96" s="741">
        <f t="shared" si="7"/>
        <v>0</v>
      </c>
      <c r="T96" s="700"/>
      <c r="U96" s="700"/>
    </row>
    <row r="97" spans="4:21" s="259" customFormat="1" ht="18" customHeight="1">
      <c r="D97" s="697" t="s">
        <v>637</v>
      </c>
      <c r="E97" s="698">
        <v>305</v>
      </c>
      <c r="F97" s="698" t="s">
        <v>697</v>
      </c>
      <c r="G97" s="699" t="s">
        <v>267</v>
      </c>
      <c r="H97" s="268">
        <v>1000</v>
      </c>
      <c r="I97" s="268"/>
      <c r="J97" s="268" t="s">
        <v>475</v>
      </c>
      <c r="K97" s="259">
        <f t="shared" si="8"/>
        <v>421261767</v>
      </c>
      <c r="L97" s="268" t="s">
        <v>475</v>
      </c>
      <c r="M97" s="568">
        <f>ROUND(SUMIF(T_IS!$F:$F,T198_TB!E97,T_IS!$AA:$AA),0)</f>
        <v>421261767</v>
      </c>
      <c r="Q97" s="715"/>
      <c r="R97" s="740">
        <v>421261767</v>
      </c>
      <c r="S97" s="741">
        <f t="shared" si="7"/>
        <v>0</v>
      </c>
      <c r="T97" s="700"/>
      <c r="U97" s="700"/>
    </row>
    <row r="98" spans="4:21" s="259" customFormat="1" ht="18" customHeight="1">
      <c r="D98" s="697" t="s">
        <v>637</v>
      </c>
      <c r="E98" s="698">
        <v>307</v>
      </c>
      <c r="F98" s="698" t="s">
        <v>697</v>
      </c>
      <c r="G98" s="699" t="s">
        <v>271</v>
      </c>
      <c r="H98" s="268">
        <v>1000</v>
      </c>
      <c r="I98" s="268"/>
      <c r="J98" s="268" t="s">
        <v>475</v>
      </c>
      <c r="K98" s="259">
        <f t="shared" si="8"/>
        <v>389003359</v>
      </c>
      <c r="L98" s="268" t="s">
        <v>475</v>
      </c>
      <c r="M98" s="568">
        <f>ROUND(SUMIF(T_IS!$F:$F,T198_TB!E98,T_IS!$AA:$AA),0)</f>
        <v>389003359</v>
      </c>
      <c r="Q98" s="715"/>
      <c r="R98" s="740">
        <v>389003359</v>
      </c>
      <c r="S98" s="741">
        <f t="shared" si="7"/>
        <v>0</v>
      </c>
      <c r="T98" s="700"/>
      <c r="U98" s="700"/>
    </row>
    <row r="99" spans="4:21" s="259" customFormat="1" ht="18" customHeight="1">
      <c r="D99" s="697" t="s">
        <v>637</v>
      </c>
      <c r="E99" s="698">
        <v>309</v>
      </c>
      <c r="F99" s="698" t="s">
        <v>697</v>
      </c>
      <c r="G99" s="699" t="s">
        <v>275</v>
      </c>
      <c r="H99" s="268">
        <v>1000</v>
      </c>
      <c r="I99" s="268"/>
      <c r="J99" s="268" t="s">
        <v>475</v>
      </c>
      <c r="K99" s="259">
        <f t="shared" si="8"/>
        <v>189335674</v>
      </c>
      <c r="L99" s="268" t="s">
        <v>475</v>
      </c>
      <c r="M99" s="568">
        <f>ROUND(SUMIF(T_IS!$F:$F,T198_TB!E99,T_IS!$AA:$AA),0)</f>
        <v>189335674</v>
      </c>
      <c r="Q99" s="715"/>
      <c r="R99" s="740">
        <v>189335674</v>
      </c>
      <c r="S99" s="741">
        <f t="shared" si="7"/>
        <v>0</v>
      </c>
      <c r="T99" s="700"/>
      <c r="U99" s="700"/>
    </row>
    <row r="100" spans="4:21" s="259" customFormat="1" ht="18" customHeight="1">
      <c r="D100" s="705" t="s">
        <v>637</v>
      </c>
      <c r="E100" s="710">
        <v>311</v>
      </c>
      <c r="F100" s="710" t="s">
        <v>697</v>
      </c>
      <c r="G100" s="711" t="s">
        <v>277</v>
      </c>
      <c r="H100" s="570">
        <v>1000</v>
      </c>
      <c r="I100" s="570"/>
      <c r="J100" s="570" t="s">
        <v>475</v>
      </c>
      <c r="K100" s="569">
        <f t="shared" si="8"/>
        <v>529280047</v>
      </c>
      <c r="L100" s="570" t="s">
        <v>475</v>
      </c>
      <c r="M100" s="571">
        <v>529280047</v>
      </c>
      <c r="Q100" s="715" t="s">
        <v>1925</v>
      </c>
      <c r="R100" s="740">
        <v>529280047</v>
      </c>
      <c r="S100" s="741">
        <f t="shared" si="7"/>
        <v>0</v>
      </c>
      <c r="T100" s="700"/>
      <c r="U100" s="700"/>
    </row>
    <row r="101" spans="4:21" s="259" customFormat="1" ht="18" customHeight="1">
      <c r="D101" s="705" t="s">
        <v>637</v>
      </c>
      <c r="E101" s="710">
        <v>31101</v>
      </c>
      <c r="F101" s="710" t="s">
        <v>697</v>
      </c>
      <c r="G101" s="711" t="s">
        <v>1830</v>
      </c>
      <c r="H101" s="570">
        <v>1000</v>
      </c>
      <c r="I101" s="570"/>
      <c r="J101" s="570" t="s">
        <v>475</v>
      </c>
      <c r="K101" s="569">
        <f>M101</f>
        <v>140749741</v>
      </c>
      <c r="L101" s="570" t="s">
        <v>475</v>
      </c>
      <c r="M101" s="571">
        <v>140749741</v>
      </c>
      <c r="Q101" s="715" t="s">
        <v>1925</v>
      </c>
      <c r="R101" s="740">
        <v>140749741</v>
      </c>
      <c r="S101" s="741">
        <f t="shared" si="7"/>
        <v>0</v>
      </c>
      <c r="T101" s="700"/>
      <c r="U101" s="700"/>
    </row>
    <row r="102" spans="4:21" s="259" customFormat="1" ht="18" customHeight="1">
      <c r="D102" s="705" t="s">
        <v>637</v>
      </c>
      <c r="E102" s="710">
        <v>31102</v>
      </c>
      <c r="F102" s="710" t="s">
        <v>697</v>
      </c>
      <c r="G102" s="711" t="s">
        <v>1831</v>
      </c>
      <c r="H102" s="570">
        <v>1000</v>
      </c>
      <c r="I102" s="570"/>
      <c r="J102" s="570" t="s">
        <v>475</v>
      </c>
      <c r="K102" s="569">
        <f>M102</f>
        <v>65521161</v>
      </c>
      <c r="L102" s="570" t="s">
        <v>475</v>
      </c>
      <c r="M102" s="571">
        <v>65521161</v>
      </c>
      <c r="Q102" s="715" t="s">
        <v>1925</v>
      </c>
      <c r="R102" s="740">
        <v>65521161</v>
      </c>
      <c r="S102" s="741">
        <f t="shared" si="7"/>
        <v>0</v>
      </c>
      <c r="T102" s="700"/>
      <c r="U102" s="700"/>
    </row>
    <row r="103" spans="4:21" s="259" customFormat="1" ht="18" customHeight="1">
      <c r="D103" s="697" t="s">
        <v>637</v>
      </c>
      <c r="E103" s="698">
        <v>310</v>
      </c>
      <c r="F103" s="698" t="s">
        <v>697</v>
      </c>
      <c r="G103" s="699" t="s">
        <v>676</v>
      </c>
      <c r="H103" s="268">
        <v>1000</v>
      </c>
      <c r="I103" s="268"/>
      <c r="J103" s="268" t="s">
        <v>475</v>
      </c>
      <c r="K103" s="259">
        <f t="shared" si="8"/>
        <v>458037605</v>
      </c>
      <c r="L103" s="268" t="s">
        <v>475</v>
      </c>
      <c r="M103" s="568">
        <f>ROUND(SUMIF(T_IS!$F:$F,T198_TB!E103,T_IS!$AA:$AA),0)</f>
        <v>458037605</v>
      </c>
      <c r="Q103" s="715"/>
      <c r="R103" s="740">
        <v>458037605</v>
      </c>
      <c r="S103" s="741">
        <f t="shared" si="7"/>
        <v>0</v>
      </c>
      <c r="T103" s="700"/>
      <c r="U103" s="700"/>
    </row>
    <row r="104" spans="4:21" s="259" customFormat="1" ht="18" customHeight="1">
      <c r="D104" s="697" t="s">
        <v>637</v>
      </c>
      <c r="E104" s="698">
        <v>31001</v>
      </c>
      <c r="F104" s="698" t="s">
        <v>697</v>
      </c>
      <c r="G104" s="699" t="s">
        <v>677</v>
      </c>
      <c r="H104" s="268">
        <v>1000</v>
      </c>
      <c r="I104" s="268"/>
      <c r="J104" s="268" t="s">
        <v>475</v>
      </c>
      <c r="K104" s="259">
        <f t="shared" si="8"/>
        <v>26602487</v>
      </c>
      <c r="L104" s="268" t="s">
        <v>475</v>
      </c>
      <c r="M104" s="568">
        <f>ROUND(SUMIF(T_IS!$F:$F,T198_TB!E104,T_IS!$AA:$AA),0)</f>
        <v>26602487</v>
      </c>
      <c r="Q104" s="715"/>
      <c r="R104" s="740">
        <v>26602487</v>
      </c>
      <c r="S104" s="741">
        <f t="shared" si="7"/>
        <v>0</v>
      </c>
      <c r="T104" s="700"/>
      <c r="U104" s="700"/>
    </row>
    <row r="105" spans="4:21" s="259" customFormat="1" ht="18" customHeight="1">
      <c r="D105" s="697" t="s">
        <v>637</v>
      </c>
      <c r="E105" s="698">
        <v>335</v>
      </c>
      <c r="F105" s="698" t="s">
        <v>697</v>
      </c>
      <c r="G105" s="702" t="s">
        <v>1694</v>
      </c>
      <c r="H105" s="268">
        <v>1000</v>
      </c>
      <c r="I105" s="268"/>
      <c r="J105" s="268" t="s">
        <v>475</v>
      </c>
      <c r="K105" s="259">
        <f t="shared" si="8"/>
        <v>2466354065</v>
      </c>
      <c r="L105" s="268" t="s">
        <v>475</v>
      </c>
      <c r="M105" s="568">
        <f>ROUND(SUMIF(T_IS!$F:$F,T198_TB!E105,T_IS!$AA:$AA),0)</f>
        <v>2466354065</v>
      </c>
      <c r="Q105" s="715"/>
      <c r="R105" s="740">
        <v>2466354065</v>
      </c>
      <c r="S105" s="741">
        <f t="shared" si="7"/>
        <v>0</v>
      </c>
      <c r="T105" s="700"/>
      <c r="U105" s="700"/>
    </row>
    <row r="106" spans="4:21" s="259" customFormat="1" ht="18" customHeight="1">
      <c r="D106" s="697" t="s">
        <v>637</v>
      </c>
      <c r="E106" s="698">
        <v>334</v>
      </c>
      <c r="F106" s="698" t="s">
        <v>697</v>
      </c>
      <c r="G106" s="701" t="s">
        <v>1695</v>
      </c>
      <c r="H106" s="268">
        <v>1000</v>
      </c>
      <c r="I106" s="268"/>
      <c r="J106" s="268" t="s">
        <v>475</v>
      </c>
      <c r="K106" s="259">
        <f t="shared" si="8"/>
        <v>42234663</v>
      </c>
      <c r="L106" s="268" t="s">
        <v>475</v>
      </c>
      <c r="M106" s="568">
        <f>ROUND(SUMIF(T_IS!$F:$F,T198_TB!E106,T_IS!$AA:$AA),0)</f>
        <v>42234663</v>
      </c>
      <c r="Q106" s="715"/>
      <c r="R106" s="740">
        <v>42234663</v>
      </c>
      <c r="S106" s="741">
        <f t="shared" si="7"/>
        <v>0</v>
      </c>
      <c r="T106" s="700"/>
      <c r="U106" s="700"/>
    </row>
    <row r="107" spans="4:21" s="259" customFormat="1" ht="18" customHeight="1">
      <c r="D107" s="697" t="s">
        <v>637</v>
      </c>
      <c r="E107" s="698">
        <v>326</v>
      </c>
      <c r="F107" s="698" t="s">
        <v>697</v>
      </c>
      <c r="G107" s="699" t="s">
        <v>387</v>
      </c>
      <c r="H107" s="268">
        <v>1000</v>
      </c>
      <c r="I107" s="268"/>
      <c r="J107" s="268" t="s">
        <v>475</v>
      </c>
      <c r="K107" s="259">
        <f t="shared" si="8"/>
        <v>7923879010</v>
      </c>
      <c r="L107" s="268" t="s">
        <v>475</v>
      </c>
      <c r="M107" s="568">
        <f>ROUND(SUMIF(T_IS!$F:$F,T198_TB!E107,T_IS!$AA:$AA),0)</f>
        <v>7923879010</v>
      </c>
      <c r="Q107" s="715"/>
      <c r="R107" s="740">
        <v>7923879010</v>
      </c>
      <c r="S107" s="741">
        <f t="shared" si="7"/>
        <v>0</v>
      </c>
      <c r="T107" s="700"/>
      <c r="U107" s="700"/>
    </row>
    <row r="108" spans="4:21" s="259" customFormat="1" ht="18" customHeight="1">
      <c r="D108" s="697" t="s">
        <v>637</v>
      </c>
      <c r="E108" s="698">
        <v>312</v>
      </c>
      <c r="F108" s="698" t="s">
        <v>697</v>
      </c>
      <c r="G108" s="699" t="s">
        <v>279</v>
      </c>
      <c r="H108" s="268">
        <v>1000</v>
      </c>
      <c r="I108" s="268"/>
      <c r="J108" s="268" t="s">
        <v>475</v>
      </c>
      <c r="K108" s="259">
        <f t="shared" si="8"/>
        <v>225814001</v>
      </c>
      <c r="L108" s="268" t="s">
        <v>475</v>
      </c>
      <c r="M108" s="568">
        <f>ROUND(SUMIF(T_IS!$F:$F,T198_TB!E108,T_IS!$AA:$AA),0)</f>
        <v>225814001</v>
      </c>
      <c r="Q108" s="715"/>
      <c r="R108" s="740">
        <v>225814001</v>
      </c>
      <c r="S108" s="741">
        <f t="shared" si="7"/>
        <v>0</v>
      </c>
      <c r="T108" s="700"/>
      <c r="U108" s="700"/>
    </row>
    <row r="109" spans="4:21" s="259" customFormat="1" ht="18" customHeight="1">
      <c r="D109" s="697" t="s">
        <v>637</v>
      </c>
      <c r="E109" s="698">
        <v>327</v>
      </c>
      <c r="F109" s="698" t="s">
        <v>697</v>
      </c>
      <c r="G109" s="699" t="s">
        <v>307</v>
      </c>
      <c r="H109" s="268">
        <v>1000</v>
      </c>
      <c r="I109" s="268"/>
      <c r="J109" s="268" t="s">
        <v>475</v>
      </c>
      <c r="K109" s="259">
        <f t="shared" si="8"/>
        <v>264494645</v>
      </c>
      <c r="L109" s="268" t="s">
        <v>475</v>
      </c>
      <c r="M109" s="568">
        <f>ROUND(SUMIF(T_IS!$F:$F,T198_TB!E109,T_IS!$AA:$AA),0)</f>
        <v>264494645</v>
      </c>
      <c r="Q109" s="715"/>
      <c r="R109" s="740">
        <v>264494645</v>
      </c>
      <c r="S109" s="741">
        <f t="shared" si="7"/>
        <v>0</v>
      </c>
      <c r="T109" s="700"/>
      <c r="U109" s="700"/>
    </row>
    <row r="110" spans="4:21" s="259" customFormat="1" ht="18" customHeight="1">
      <c r="D110" s="697" t="s">
        <v>637</v>
      </c>
      <c r="E110" s="698">
        <v>313</v>
      </c>
      <c r="F110" s="698" t="s">
        <v>697</v>
      </c>
      <c r="G110" s="699" t="s">
        <v>281</v>
      </c>
      <c r="H110" s="268">
        <v>1000</v>
      </c>
      <c r="I110" s="268"/>
      <c r="J110" s="268" t="s">
        <v>475</v>
      </c>
      <c r="K110" s="259">
        <f t="shared" si="8"/>
        <v>57394866</v>
      </c>
      <c r="L110" s="268" t="s">
        <v>475</v>
      </c>
      <c r="M110" s="568">
        <f>ROUND(SUMIF(T_IS!$F:$F,T198_TB!E110,T_IS!$AA:$AA),0)</f>
        <v>57394866</v>
      </c>
      <c r="Q110" s="715"/>
      <c r="R110" s="740">
        <v>57394866</v>
      </c>
      <c r="S110" s="741">
        <f t="shared" si="7"/>
        <v>0</v>
      </c>
      <c r="T110" s="700"/>
      <c r="U110" s="700"/>
    </row>
    <row r="111" spans="4:21" s="259" customFormat="1" ht="18" customHeight="1">
      <c r="D111" s="697" t="s">
        <v>637</v>
      </c>
      <c r="E111" s="698">
        <v>306</v>
      </c>
      <c r="F111" s="698" t="s">
        <v>697</v>
      </c>
      <c r="G111" s="699" t="s">
        <v>269</v>
      </c>
      <c r="H111" s="268">
        <v>1000</v>
      </c>
      <c r="I111" s="268"/>
      <c r="J111" s="268" t="s">
        <v>475</v>
      </c>
      <c r="K111" s="259">
        <f t="shared" si="8"/>
        <v>143198194</v>
      </c>
      <c r="L111" s="268" t="s">
        <v>475</v>
      </c>
      <c r="M111" s="568">
        <f>ROUND(SUMIF(T_IS!$F:$F,T198_TB!E111,T_IS!$AA:$AA),0)</f>
        <v>143198194</v>
      </c>
      <c r="Q111" s="715"/>
      <c r="R111" s="740">
        <v>143198194</v>
      </c>
      <c r="S111" s="741">
        <f t="shared" si="7"/>
        <v>0</v>
      </c>
      <c r="T111" s="700"/>
      <c r="U111" s="700"/>
    </row>
    <row r="112" spans="4:21" s="259" customFormat="1" ht="18" customHeight="1">
      <c r="D112" s="697" t="s">
        <v>637</v>
      </c>
      <c r="E112" s="698">
        <v>322</v>
      </c>
      <c r="F112" s="698" t="s">
        <v>697</v>
      </c>
      <c r="G112" s="699" t="s">
        <v>299</v>
      </c>
      <c r="H112" s="268">
        <v>1000</v>
      </c>
      <c r="I112" s="268"/>
      <c r="J112" s="268" t="s">
        <v>475</v>
      </c>
      <c r="K112" s="259">
        <f t="shared" si="8"/>
        <v>8205368974</v>
      </c>
      <c r="L112" s="268" t="s">
        <v>475</v>
      </c>
      <c r="M112" s="568">
        <f>ROUND(SUMIF(T_IS!$F:$F,T198_TB!E112,T_IS!$AA:$AA),0)</f>
        <v>8205368974</v>
      </c>
      <c r="Q112" s="715"/>
      <c r="R112" s="740">
        <v>8205368974</v>
      </c>
      <c r="S112" s="741">
        <f t="shared" si="7"/>
        <v>0</v>
      </c>
      <c r="T112" s="700"/>
      <c r="U112" s="700"/>
    </row>
    <row r="113" spans="4:21" s="259" customFormat="1" ht="18" customHeight="1">
      <c r="D113" s="697" t="s">
        <v>637</v>
      </c>
      <c r="E113" s="698">
        <v>308</v>
      </c>
      <c r="F113" s="698" t="s">
        <v>697</v>
      </c>
      <c r="G113" s="699" t="s">
        <v>273</v>
      </c>
      <c r="H113" s="268">
        <v>1000</v>
      </c>
      <c r="I113" s="268"/>
      <c r="J113" s="268" t="s">
        <v>475</v>
      </c>
      <c r="K113" s="259">
        <f t="shared" si="8"/>
        <v>109399591</v>
      </c>
      <c r="L113" s="268" t="s">
        <v>475</v>
      </c>
      <c r="M113" s="568">
        <f>ROUND(SUMIF(T_IS!$F:$F,T198_TB!E113,T_IS!$AA:$AA),0)</f>
        <v>109399591</v>
      </c>
      <c r="Q113" s="715"/>
      <c r="R113" s="740">
        <v>109399591</v>
      </c>
      <c r="S113" s="741">
        <f t="shared" si="7"/>
        <v>0</v>
      </c>
      <c r="T113" s="700"/>
      <c r="U113" s="700"/>
    </row>
    <row r="114" spans="4:21" s="259" customFormat="1" ht="18" customHeight="1">
      <c r="D114" s="697" t="s">
        <v>637</v>
      </c>
      <c r="E114" s="698">
        <v>316</v>
      </c>
      <c r="F114" s="698" t="s">
        <v>697</v>
      </c>
      <c r="G114" s="699" t="s">
        <v>287</v>
      </c>
      <c r="H114" s="268">
        <v>1000</v>
      </c>
      <c r="I114" s="268"/>
      <c r="J114" s="268" t="s">
        <v>475</v>
      </c>
      <c r="K114" s="259">
        <f t="shared" si="8"/>
        <v>379440665</v>
      </c>
      <c r="L114" s="268" t="s">
        <v>475</v>
      </c>
      <c r="M114" s="568">
        <f>ROUND(SUMIF(T_IS!$F:$F,T198_TB!E114,T_IS!$AA:$AA),0)</f>
        <v>379440665</v>
      </c>
      <c r="Q114" s="715"/>
      <c r="R114" s="740">
        <v>379440665</v>
      </c>
      <c r="S114" s="741">
        <f t="shared" si="7"/>
        <v>0</v>
      </c>
      <c r="T114" s="700"/>
      <c r="U114" s="700"/>
    </row>
    <row r="115" spans="4:21" s="259" customFormat="1" ht="18" customHeight="1">
      <c r="D115" s="697" t="s">
        <v>637</v>
      </c>
      <c r="E115" s="698">
        <v>317</v>
      </c>
      <c r="F115" s="698" t="s">
        <v>697</v>
      </c>
      <c r="G115" s="699" t="s">
        <v>289</v>
      </c>
      <c r="H115" s="268">
        <v>1000</v>
      </c>
      <c r="I115" s="268"/>
      <c r="J115" s="268" t="s">
        <v>475</v>
      </c>
      <c r="K115" s="259">
        <f t="shared" si="8"/>
        <v>140154037</v>
      </c>
      <c r="L115" s="268" t="s">
        <v>475</v>
      </c>
      <c r="M115" s="568">
        <f>ROUND(SUMIF(T_IS!$F:$F,T198_TB!E115,T_IS!$AA:$AA),0)</f>
        <v>140154037</v>
      </c>
      <c r="Q115" s="715"/>
      <c r="R115" s="740">
        <v>140154037</v>
      </c>
      <c r="S115" s="741">
        <f t="shared" si="7"/>
        <v>0</v>
      </c>
      <c r="T115" s="700"/>
      <c r="U115" s="700"/>
    </row>
    <row r="116" spans="4:21" s="259" customFormat="1" ht="18" customHeight="1">
      <c r="D116" s="697" t="s">
        <v>637</v>
      </c>
      <c r="E116" s="698">
        <v>321</v>
      </c>
      <c r="F116" s="698" t="s">
        <v>697</v>
      </c>
      <c r="G116" s="699" t="s">
        <v>297</v>
      </c>
      <c r="H116" s="268">
        <v>1000</v>
      </c>
      <c r="I116" s="268"/>
      <c r="J116" s="268" t="s">
        <v>475</v>
      </c>
      <c r="K116" s="259">
        <f t="shared" si="8"/>
        <v>12154364827</v>
      </c>
      <c r="L116" s="268" t="s">
        <v>475</v>
      </c>
      <c r="M116" s="568">
        <f>ROUND(SUMIF(T_IS!$F:$F,T198_TB!E116,T_IS!$AA:$AA),0)</f>
        <v>12154364827</v>
      </c>
      <c r="Q116" s="715"/>
      <c r="R116" s="740">
        <v>12154364827</v>
      </c>
      <c r="S116" s="741">
        <f t="shared" si="7"/>
        <v>0</v>
      </c>
      <c r="T116" s="700"/>
      <c r="U116" s="700"/>
    </row>
    <row r="117" spans="4:21" s="259" customFormat="1" ht="18" customHeight="1">
      <c r="D117" s="697" t="s">
        <v>637</v>
      </c>
      <c r="E117" s="698">
        <v>320</v>
      </c>
      <c r="F117" s="698" t="s">
        <v>697</v>
      </c>
      <c r="G117" s="699" t="s">
        <v>295</v>
      </c>
      <c r="H117" s="268">
        <v>1000</v>
      </c>
      <c r="I117" s="268"/>
      <c r="J117" s="268" t="s">
        <v>475</v>
      </c>
      <c r="K117" s="259">
        <f t="shared" si="8"/>
        <v>147873747</v>
      </c>
      <c r="L117" s="268" t="s">
        <v>475</v>
      </c>
      <c r="M117" s="568">
        <f>ROUND(SUMIF(T_IS!$F:$F,T198_TB!E117,T_IS!$AA:$AA),0)</f>
        <v>147873747</v>
      </c>
      <c r="Q117" s="715"/>
      <c r="R117" s="740">
        <v>147873747</v>
      </c>
      <c r="S117" s="741">
        <f t="shared" si="7"/>
        <v>0</v>
      </c>
      <c r="T117" s="700"/>
      <c r="U117" s="700"/>
    </row>
    <row r="118" spans="4:21" s="259" customFormat="1" ht="18" customHeight="1">
      <c r="D118" s="697" t="s">
        <v>637</v>
      </c>
      <c r="E118" s="698">
        <v>319</v>
      </c>
      <c r="F118" s="698" t="s">
        <v>697</v>
      </c>
      <c r="G118" s="699" t="s">
        <v>293</v>
      </c>
      <c r="H118" s="268">
        <v>1000</v>
      </c>
      <c r="I118" s="268"/>
      <c r="J118" s="268" t="s">
        <v>475</v>
      </c>
      <c r="K118" s="259">
        <f t="shared" si="8"/>
        <v>12400705</v>
      </c>
      <c r="L118" s="268" t="s">
        <v>475</v>
      </c>
      <c r="M118" s="568">
        <f>ROUND(SUMIF(T_IS!$F:$F,T198_TB!E118,T_IS!$AA:$AA),0)</f>
        <v>12400705</v>
      </c>
      <c r="Q118" s="715"/>
      <c r="R118" s="740">
        <v>12400705</v>
      </c>
      <c r="S118" s="741">
        <f t="shared" si="7"/>
        <v>0</v>
      </c>
      <c r="T118" s="700"/>
      <c r="U118" s="700"/>
    </row>
    <row r="119" spans="4:21" s="259" customFormat="1" ht="18" customHeight="1">
      <c r="D119" s="697" t="s">
        <v>637</v>
      </c>
      <c r="E119" s="698">
        <v>318</v>
      </c>
      <c r="F119" s="698" t="s">
        <v>697</v>
      </c>
      <c r="G119" s="699" t="s">
        <v>291</v>
      </c>
      <c r="H119" s="268">
        <v>1000</v>
      </c>
      <c r="I119" s="268"/>
      <c r="J119" s="268" t="s">
        <v>475</v>
      </c>
      <c r="K119" s="259">
        <f t="shared" si="8"/>
        <v>51698236</v>
      </c>
      <c r="L119" s="268" t="s">
        <v>475</v>
      </c>
      <c r="M119" s="568">
        <f>ROUND(SUMIF(T_IS!$F:$F,T198_TB!E119,T_IS!$AA:$AA),0)</f>
        <v>51698236</v>
      </c>
      <c r="Q119" s="715"/>
      <c r="R119" s="740">
        <v>51698236</v>
      </c>
      <c r="S119" s="741">
        <f t="shared" si="7"/>
        <v>0</v>
      </c>
      <c r="T119" s="700"/>
      <c r="U119" s="700"/>
    </row>
    <row r="120" spans="4:21" s="259" customFormat="1" ht="18" customHeight="1">
      <c r="D120" s="697" t="s">
        <v>637</v>
      </c>
      <c r="E120" s="698">
        <v>314</v>
      </c>
      <c r="F120" s="698" t="s">
        <v>697</v>
      </c>
      <c r="G120" s="699" t="s">
        <v>283</v>
      </c>
      <c r="H120" s="268">
        <v>1000</v>
      </c>
      <c r="I120" s="268"/>
      <c r="J120" s="268" t="s">
        <v>475</v>
      </c>
      <c r="K120" s="259">
        <f t="shared" si="8"/>
        <v>62439025</v>
      </c>
      <c r="L120" s="268" t="s">
        <v>475</v>
      </c>
      <c r="M120" s="568">
        <f>ROUND(SUMIF(T_IS!$F:$F,T198_TB!E120,T_IS!$AA:$AA),0)</f>
        <v>62439025</v>
      </c>
      <c r="Q120" s="715"/>
      <c r="R120" s="740">
        <v>62439025</v>
      </c>
      <c r="S120" s="741">
        <f t="shared" si="7"/>
        <v>0</v>
      </c>
      <c r="T120" s="700"/>
      <c r="U120" s="700"/>
    </row>
    <row r="121" spans="4:21" s="259" customFormat="1" ht="18" customHeight="1">
      <c r="D121" s="697" t="s">
        <v>637</v>
      </c>
      <c r="E121" s="698">
        <v>324</v>
      </c>
      <c r="F121" s="698" t="s">
        <v>697</v>
      </c>
      <c r="G121" s="699" t="s">
        <v>303</v>
      </c>
      <c r="H121" s="268">
        <v>1000</v>
      </c>
      <c r="I121" s="268"/>
      <c r="J121" s="268" t="s">
        <v>475</v>
      </c>
      <c r="K121" s="259">
        <f t="shared" si="8"/>
        <v>370148656</v>
      </c>
      <c r="L121" s="268" t="s">
        <v>475</v>
      </c>
      <c r="M121" s="568">
        <f>ROUND(SUMIF(T_IS!$F:$F,T198_TB!E121,T_IS!$AA:$AA),0)</f>
        <v>370148656</v>
      </c>
      <c r="Q121" s="715"/>
      <c r="R121" s="740">
        <v>370148656</v>
      </c>
      <c r="S121" s="741">
        <f t="shared" si="7"/>
        <v>0</v>
      </c>
      <c r="T121" s="700"/>
      <c r="U121" s="700"/>
    </row>
    <row r="122" spans="4:21" s="259" customFormat="1" ht="18" customHeight="1">
      <c r="D122" s="697" t="s">
        <v>637</v>
      </c>
      <c r="E122" s="698">
        <v>315</v>
      </c>
      <c r="F122" s="698" t="s">
        <v>697</v>
      </c>
      <c r="G122" s="699" t="s">
        <v>285</v>
      </c>
      <c r="H122" s="268">
        <v>1000</v>
      </c>
      <c r="I122" s="268"/>
      <c r="J122" s="268" t="s">
        <v>475</v>
      </c>
      <c r="K122" s="259">
        <f t="shared" si="8"/>
        <v>2368608435</v>
      </c>
      <c r="L122" s="268" t="s">
        <v>475</v>
      </c>
      <c r="M122" s="568">
        <f>ROUND(SUMIF(T_IS!$F:$F,T198_TB!E122,T_IS!$AA:$AA),0)</f>
        <v>2368608435</v>
      </c>
      <c r="Q122" s="715"/>
      <c r="R122" s="740">
        <v>2368608435</v>
      </c>
      <c r="S122" s="741">
        <f t="shared" si="7"/>
        <v>0</v>
      </c>
      <c r="T122" s="700"/>
      <c r="U122" s="700"/>
    </row>
    <row r="123" spans="4:21" s="259" customFormat="1" ht="18" customHeight="1">
      <c r="D123" s="697" t="s">
        <v>637</v>
      </c>
      <c r="E123" s="698">
        <v>323</v>
      </c>
      <c r="F123" s="698" t="s">
        <v>697</v>
      </c>
      <c r="G123" s="699" t="s">
        <v>301</v>
      </c>
      <c r="H123" s="268">
        <v>1000</v>
      </c>
      <c r="I123" s="268"/>
      <c r="J123" s="268" t="s">
        <v>475</v>
      </c>
      <c r="K123" s="259">
        <f t="shared" si="8"/>
        <v>280879092</v>
      </c>
      <c r="L123" s="268" t="s">
        <v>475</v>
      </c>
      <c r="M123" s="568">
        <f>ROUND(SUMIF(T_IS!$F:$F,T198_TB!E123,T_IS!$AA:$AA),0)</f>
        <v>280879092</v>
      </c>
      <c r="Q123" s="715"/>
      <c r="R123" s="740">
        <v>280879092</v>
      </c>
      <c r="S123" s="741">
        <f t="shared" si="7"/>
        <v>0</v>
      </c>
      <c r="T123" s="700"/>
      <c r="U123" s="700"/>
    </row>
    <row r="124" spans="4:21" s="259" customFormat="1" ht="18" customHeight="1">
      <c r="D124" s="697" t="s">
        <v>637</v>
      </c>
      <c r="E124" s="698">
        <v>325</v>
      </c>
      <c r="F124" s="698" t="s">
        <v>697</v>
      </c>
      <c r="G124" s="699" t="s">
        <v>305</v>
      </c>
      <c r="H124" s="268">
        <v>1000</v>
      </c>
      <c r="I124" s="268"/>
      <c r="J124" s="268" t="s">
        <v>475</v>
      </c>
      <c r="K124" s="259">
        <f t="shared" si="8"/>
        <v>334240820</v>
      </c>
      <c r="L124" s="268" t="s">
        <v>475</v>
      </c>
      <c r="M124" s="568">
        <f>ROUND(SUMIF(T_IS!$F:$F,T198_TB!E124,T_IS!$AA:$AA),0)</f>
        <v>334240820</v>
      </c>
      <c r="Q124" s="715"/>
      <c r="R124" s="740">
        <v>334240820</v>
      </c>
      <c r="S124" s="741">
        <f t="shared" si="7"/>
        <v>0</v>
      </c>
      <c r="T124" s="700"/>
      <c r="U124" s="700"/>
    </row>
    <row r="125" spans="4:21" s="259" customFormat="1" ht="18" customHeight="1">
      <c r="D125" s="697" t="s">
        <v>637</v>
      </c>
      <c r="E125" s="698">
        <v>328</v>
      </c>
      <c r="F125" s="698" t="s">
        <v>697</v>
      </c>
      <c r="G125" s="699" t="s">
        <v>309</v>
      </c>
      <c r="H125" s="268">
        <v>1000</v>
      </c>
      <c r="I125" s="268"/>
      <c r="J125" s="268" t="s">
        <v>475</v>
      </c>
      <c r="K125" s="259">
        <f t="shared" si="8"/>
        <v>433156275</v>
      </c>
      <c r="L125" s="268" t="s">
        <v>475</v>
      </c>
      <c r="M125" s="568">
        <f>ROUND(SUMIF(T_IS!$F:$F,T198_TB!E125,T_IS!$AA:$AA),0)</f>
        <v>433156275</v>
      </c>
      <c r="Q125" s="715"/>
      <c r="R125" s="740">
        <v>433156275</v>
      </c>
      <c r="S125" s="741">
        <f t="shared" si="7"/>
        <v>0</v>
      </c>
      <c r="T125" s="700"/>
      <c r="U125" s="700"/>
    </row>
    <row r="126" spans="4:21" s="259" customFormat="1" ht="18" customHeight="1">
      <c r="D126" s="697" t="s">
        <v>637</v>
      </c>
      <c r="E126" s="698">
        <v>331</v>
      </c>
      <c r="F126" s="698" t="s">
        <v>697</v>
      </c>
      <c r="G126" s="699" t="s">
        <v>311</v>
      </c>
      <c r="H126" s="268">
        <v>1000</v>
      </c>
      <c r="I126" s="268"/>
      <c r="J126" s="268" t="s">
        <v>475</v>
      </c>
      <c r="K126" s="259">
        <f t="shared" si="8"/>
        <v>3259565</v>
      </c>
      <c r="L126" s="268" t="s">
        <v>475</v>
      </c>
      <c r="M126" s="568">
        <f>ROUND(SUMIF(T_IS!$F:$F,T198_TB!E126,T_IS!$AA:$AA),0)</f>
        <v>3259565</v>
      </c>
      <c r="Q126" s="715"/>
      <c r="R126" s="740">
        <v>3259565</v>
      </c>
      <c r="S126" s="741">
        <f t="shared" si="7"/>
        <v>0</v>
      </c>
      <c r="T126" s="700"/>
      <c r="U126" s="700"/>
    </row>
    <row r="127" spans="4:21" s="259" customFormat="1" ht="18" customHeight="1">
      <c r="D127" s="697" t="s">
        <v>637</v>
      </c>
      <c r="E127" s="698">
        <v>329</v>
      </c>
      <c r="F127" s="698" t="s">
        <v>697</v>
      </c>
      <c r="G127" s="699" t="s">
        <v>313</v>
      </c>
      <c r="H127" s="268">
        <v>1000</v>
      </c>
      <c r="I127" s="268"/>
      <c r="J127" s="268" t="s">
        <v>475</v>
      </c>
      <c r="K127" s="259">
        <f t="shared" si="8"/>
        <v>666386460</v>
      </c>
      <c r="L127" s="268" t="s">
        <v>475</v>
      </c>
      <c r="M127" s="568">
        <f>ROUND(SUMIF(T_IS!$F:$F,T198_TB!E127,T_IS!$AA:$AA),0)</f>
        <v>666386460</v>
      </c>
      <c r="Q127" s="715"/>
      <c r="R127" s="740">
        <v>666386460</v>
      </c>
      <c r="S127" s="741">
        <f t="shared" si="7"/>
        <v>0</v>
      </c>
      <c r="T127" s="700"/>
      <c r="U127" s="700"/>
    </row>
    <row r="128" spans="4:21" s="259" customFormat="1" ht="18" customHeight="1">
      <c r="D128" s="697" t="s">
        <v>637</v>
      </c>
      <c r="E128" s="698">
        <v>303</v>
      </c>
      <c r="F128" s="698" t="s">
        <v>697</v>
      </c>
      <c r="G128" s="699" t="s">
        <v>765</v>
      </c>
      <c r="H128" s="268">
        <v>1000</v>
      </c>
      <c r="I128" s="268"/>
      <c r="J128" s="268" t="s">
        <v>475</v>
      </c>
      <c r="K128" s="259">
        <f t="shared" si="8"/>
        <v>674683389</v>
      </c>
      <c r="L128" s="268" t="s">
        <v>475</v>
      </c>
      <c r="M128" s="568">
        <f>ROUND(SUMIF(T_IS!$F:$F,T198_TB!E128,T_IS!$AA:$AA),0)</f>
        <v>674683389</v>
      </c>
      <c r="Q128" s="715"/>
      <c r="R128" s="740">
        <v>412085862</v>
      </c>
      <c r="S128" s="741">
        <f t="shared" si="7"/>
        <v>-262597527</v>
      </c>
      <c r="T128" s="700"/>
      <c r="U128" s="700"/>
    </row>
    <row r="129" spans="4:21" s="259" customFormat="1" ht="18" customHeight="1">
      <c r="D129" s="697" t="s">
        <v>637</v>
      </c>
      <c r="E129" s="698">
        <v>401</v>
      </c>
      <c r="F129" s="698" t="s">
        <v>696</v>
      </c>
      <c r="G129" s="699" t="s">
        <v>678</v>
      </c>
      <c r="H129" s="268">
        <v>1000</v>
      </c>
      <c r="I129" s="268"/>
      <c r="J129" s="268" t="s">
        <v>475</v>
      </c>
      <c r="K129" s="259">
        <f t="shared" si="8"/>
        <v>-1373387026</v>
      </c>
      <c r="L129" s="268" t="s">
        <v>475</v>
      </c>
      <c r="M129" s="568">
        <f>-ROUND(SUMIF(T_IS!$F:$F,T198_TB!E129,T_IS!$AA:$AA),0)</f>
        <v>-1373387026</v>
      </c>
      <c r="Q129" s="714"/>
      <c r="R129" s="740">
        <v>-1373387026</v>
      </c>
      <c r="S129" s="741">
        <f t="shared" si="7"/>
        <v>0</v>
      </c>
      <c r="T129" s="700"/>
      <c r="U129" s="700"/>
    </row>
    <row r="130" spans="4:21" s="259" customFormat="1" ht="18" customHeight="1">
      <c r="D130" s="697" t="s">
        <v>637</v>
      </c>
      <c r="E130" s="698">
        <v>402</v>
      </c>
      <c r="F130" s="698" t="s">
        <v>696</v>
      </c>
      <c r="G130" s="699" t="s">
        <v>679</v>
      </c>
      <c r="H130" s="268">
        <v>1000</v>
      </c>
      <c r="I130" s="268"/>
      <c r="J130" s="268" t="s">
        <v>475</v>
      </c>
      <c r="K130" s="259">
        <f t="shared" si="8"/>
        <v>-888989075</v>
      </c>
      <c r="L130" s="268" t="s">
        <v>475</v>
      </c>
      <c r="M130" s="568">
        <f>-ROUND(SUMIF(T_IS!$F:$F,T198_TB!E130,T_IS!$AA:$AA),0)</f>
        <v>-888989075</v>
      </c>
      <c r="Q130" s="714"/>
      <c r="R130" s="740">
        <v>-888989075</v>
      </c>
      <c r="S130" s="741">
        <f t="shared" si="7"/>
        <v>0</v>
      </c>
      <c r="T130" s="700"/>
      <c r="U130" s="700"/>
    </row>
    <row r="131" spans="4:21" s="259" customFormat="1" ht="18" customHeight="1">
      <c r="D131" s="697" t="s">
        <v>637</v>
      </c>
      <c r="E131" s="698">
        <v>403</v>
      </c>
      <c r="F131" s="698" t="s">
        <v>696</v>
      </c>
      <c r="G131" s="699" t="s">
        <v>680</v>
      </c>
      <c r="H131" s="268">
        <v>1000</v>
      </c>
      <c r="I131" s="268"/>
      <c r="J131" s="268" t="s">
        <v>475</v>
      </c>
      <c r="K131" s="259">
        <f t="shared" si="8"/>
        <v>-102383090</v>
      </c>
      <c r="L131" s="268" t="s">
        <v>475</v>
      </c>
      <c r="M131" s="568">
        <f>-ROUND(SUMIF(T_IS!$F:$F,T198_TB!E131,T_IS!$AA:$AA),0)</f>
        <v>-102383090</v>
      </c>
      <c r="Q131" s="714"/>
      <c r="R131" s="740">
        <v>-102230900</v>
      </c>
      <c r="S131" s="741">
        <f t="shared" si="7"/>
        <v>152190</v>
      </c>
      <c r="T131" s="700"/>
      <c r="U131" s="700"/>
    </row>
    <row r="132" spans="4:21" s="259" customFormat="1" ht="18" customHeight="1">
      <c r="D132" s="697" t="s">
        <v>637</v>
      </c>
      <c r="E132" s="698">
        <v>404</v>
      </c>
      <c r="F132" s="698" t="s">
        <v>696</v>
      </c>
      <c r="G132" s="699" t="s">
        <v>681</v>
      </c>
      <c r="H132" s="268">
        <v>1000</v>
      </c>
      <c r="I132" s="268"/>
      <c r="J132" s="268" t="s">
        <v>475</v>
      </c>
      <c r="K132" s="259">
        <f t="shared" si="8"/>
        <v>-30066519</v>
      </c>
      <c r="L132" s="268" t="s">
        <v>475</v>
      </c>
      <c r="M132" s="568">
        <f>-ROUND(SUMIF(T_IS!$F:$F,T198_TB!E132,T_IS!$AA:$AA),0)</f>
        <v>-30066519</v>
      </c>
      <c r="Q132" s="714"/>
      <c r="R132" s="740">
        <v>-30066519</v>
      </c>
      <c r="S132" s="741">
        <f t="shared" si="7"/>
        <v>0</v>
      </c>
      <c r="T132" s="700"/>
      <c r="U132" s="700"/>
    </row>
    <row r="133" spans="4:21" s="259" customFormat="1" ht="18" customHeight="1">
      <c r="D133" s="697" t="s">
        <v>637</v>
      </c>
      <c r="E133" s="698">
        <v>405</v>
      </c>
      <c r="F133" s="698" t="s">
        <v>696</v>
      </c>
      <c r="G133" s="699" t="s">
        <v>682</v>
      </c>
      <c r="H133" s="268">
        <v>1000</v>
      </c>
      <c r="I133" s="268"/>
      <c r="J133" s="268" t="s">
        <v>475</v>
      </c>
      <c r="K133" s="259">
        <f t="shared" si="8"/>
        <v>-10629611</v>
      </c>
      <c r="L133" s="268" t="s">
        <v>475</v>
      </c>
      <c r="M133" s="568">
        <f>-ROUND(SUMIF(T_IS!$F:$F,T198_TB!E133,T_IS!$AA:$AA),0)</f>
        <v>-10629611</v>
      </c>
      <c r="Q133" s="714"/>
      <c r="R133" s="740">
        <v>-10629611</v>
      </c>
      <c r="S133" s="741">
        <f t="shared" si="7"/>
        <v>0</v>
      </c>
      <c r="T133" s="700"/>
      <c r="U133" s="700"/>
    </row>
    <row r="134" spans="4:21" s="259" customFormat="1" ht="18" customHeight="1">
      <c r="D134" s="697" t="s">
        <v>637</v>
      </c>
      <c r="E134" s="698">
        <v>602</v>
      </c>
      <c r="F134" s="698" t="s">
        <v>696</v>
      </c>
      <c r="G134" s="699" t="s">
        <v>683</v>
      </c>
      <c r="H134" s="268">
        <v>1000</v>
      </c>
      <c r="I134" s="268"/>
      <c r="J134" s="268" t="s">
        <v>475</v>
      </c>
      <c r="K134" s="259">
        <f t="shared" si="8"/>
        <v>-221590</v>
      </c>
      <c r="L134" s="268" t="s">
        <v>475</v>
      </c>
      <c r="M134" s="568">
        <f>-ROUND(SUMIF(T_IS!$F:$F,T198_TB!E134,T_IS!$AA:$AA),0)</f>
        <v>-221590</v>
      </c>
      <c r="Q134" s="714"/>
      <c r="R134" s="740">
        <v>-221590</v>
      </c>
      <c r="S134" s="741">
        <f t="shared" si="7"/>
        <v>0</v>
      </c>
      <c r="T134" s="700"/>
      <c r="U134" s="700"/>
    </row>
    <row r="135" spans="4:21" s="259" customFormat="1" ht="18" customHeight="1">
      <c r="D135" s="697" t="s">
        <v>637</v>
      </c>
      <c r="E135" s="698">
        <v>604</v>
      </c>
      <c r="F135" s="698" t="s">
        <v>696</v>
      </c>
      <c r="G135" s="699" t="s">
        <v>684</v>
      </c>
      <c r="H135" s="268">
        <v>1000</v>
      </c>
      <c r="I135" s="268"/>
      <c r="J135" s="268" t="s">
        <v>475</v>
      </c>
      <c r="K135" s="259">
        <f t="shared" si="8"/>
        <v>0</v>
      </c>
      <c r="L135" s="268" t="s">
        <v>475</v>
      </c>
      <c r="M135" s="568">
        <f>-ROUND(SUMIF(T_IS!$F:$F,T198_TB!E135,T_IS!$AA:$AA),0)</f>
        <v>0</v>
      </c>
      <c r="Q135" s="714"/>
      <c r="R135" s="740">
        <v>0</v>
      </c>
      <c r="S135" s="741">
        <f t="shared" si="7"/>
        <v>0</v>
      </c>
      <c r="T135" s="700"/>
      <c r="U135" s="700"/>
    </row>
    <row r="136" spans="4:21" s="259" customFormat="1" ht="18" customHeight="1">
      <c r="D136" s="697" t="s">
        <v>637</v>
      </c>
      <c r="E136" s="698">
        <v>603</v>
      </c>
      <c r="F136" s="698" t="s">
        <v>696</v>
      </c>
      <c r="G136" s="699" t="s">
        <v>685</v>
      </c>
      <c r="H136" s="268">
        <v>1000</v>
      </c>
      <c r="I136" s="268"/>
      <c r="J136" s="268" t="s">
        <v>475</v>
      </c>
      <c r="K136" s="259">
        <f t="shared" si="8"/>
        <v>-371139980</v>
      </c>
      <c r="L136" s="268" t="s">
        <v>475</v>
      </c>
      <c r="M136" s="568">
        <f>-ROUND(SUMIF(T_IS!$F:$F,T198_TB!E136,T_IS!$AA:$AA),0)</f>
        <v>-371139980</v>
      </c>
      <c r="Q136" s="714"/>
      <c r="R136" s="740">
        <v>-371139980</v>
      </c>
      <c r="S136" s="741">
        <f t="shared" si="7"/>
        <v>0</v>
      </c>
      <c r="T136" s="700"/>
      <c r="U136" s="700"/>
    </row>
    <row r="137" spans="4:21" s="259" customFormat="1" ht="18" customHeight="1">
      <c r="D137" s="697" t="s">
        <v>637</v>
      </c>
      <c r="E137" s="703">
        <v>501</v>
      </c>
      <c r="F137" s="703" t="s">
        <v>697</v>
      </c>
      <c r="G137" s="704" t="s">
        <v>686</v>
      </c>
      <c r="H137" s="268">
        <v>1000</v>
      </c>
      <c r="I137" s="268"/>
      <c r="J137" s="268" t="s">
        <v>475</v>
      </c>
      <c r="K137" s="259">
        <f t="shared" si="8"/>
        <v>307077482</v>
      </c>
      <c r="L137" s="268" t="s">
        <v>475</v>
      </c>
      <c r="M137" s="568">
        <f>ROUND(SUMIF(T_IS!$F:$F,T198_TB!E137,T_IS!$AA:$AA),0)</f>
        <v>307077482</v>
      </c>
      <c r="Q137" s="715"/>
      <c r="R137" s="740">
        <v>307077482</v>
      </c>
      <c r="S137" s="741">
        <f t="shared" ref="S137:S155" si="9">R137-M137</f>
        <v>0</v>
      </c>
      <c r="T137" s="700"/>
      <c r="U137" s="700"/>
    </row>
    <row r="138" spans="4:21" s="259" customFormat="1" ht="18" customHeight="1">
      <c r="D138" s="697" t="s">
        <v>637</v>
      </c>
      <c r="E138" s="703">
        <v>505</v>
      </c>
      <c r="F138" s="703" t="s">
        <v>697</v>
      </c>
      <c r="G138" s="704" t="s">
        <v>1696</v>
      </c>
      <c r="H138" s="268">
        <v>1000</v>
      </c>
      <c r="I138" s="268"/>
      <c r="J138" s="268" t="s">
        <v>475</v>
      </c>
      <c r="K138" s="259">
        <f t="shared" si="8"/>
        <v>226023836</v>
      </c>
      <c r="L138" s="268" t="s">
        <v>475</v>
      </c>
      <c r="M138" s="568">
        <f>ROUND(SUMIF(T_IS!$F:$F,T198_TB!E138,T_IS!$AA:$AA),0)</f>
        <v>226023836</v>
      </c>
      <c r="Q138" s="715"/>
      <c r="R138" s="740">
        <v>226023836</v>
      </c>
      <c r="S138" s="741">
        <f t="shared" si="9"/>
        <v>0</v>
      </c>
      <c r="T138" s="700"/>
      <c r="U138" s="700"/>
    </row>
    <row r="139" spans="4:21" s="259" customFormat="1" ht="18" customHeight="1">
      <c r="D139" s="697" t="s">
        <v>637</v>
      </c>
      <c r="E139" s="703">
        <v>502</v>
      </c>
      <c r="F139" s="703" t="s">
        <v>697</v>
      </c>
      <c r="G139" s="704" t="s">
        <v>687</v>
      </c>
      <c r="H139" s="268">
        <v>1000</v>
      </c>
      <c r="I139" s="268"/>
      <c r="J139" s="268" t="s">
        <v>475</v>
      </c>
      <c r="K139" s="259">
        <f t="shared" si="8"/>
        <v>195975455</v>
      </c>
      <c r="L139" s="268" t="s">
        <v>475</v>
      </c>
      <c r="M139" s="568">
        <f>ROUND(SUMIF(T_IS!$F:$F,T198_TB!E139,T_IS!$AA:$AA),0)</f>
        <v>195975455</v>
      </c>
      <c r="Q139" s="715"/>
      <c r="R139" s="740">
        <v>195975455</v>
      </c>
      <c r="S139" s="741">
        <f t="shared" si="9"/>
        <v>0</v>
      </c>
      <c r="T139" s="700"/>
      <c r="U139" s="700"/>
    </row>
    <row r="140" spans="4:21" s="259" customFormat="1" ht="18" customHeight="1">
      <c r="D140" s="697" t="s">
        <v>637</v>
      </c>
      <c r="E140" s="703">
        <v>503</v>
      </c>
      <c r="F140" s="703" t="s">
        <v>697</v>
      </c>
      <c r="G140" s="704" t="s">
        <v>688</v>
      </c>
      <c r="H140" s="268">
        <v>1000</v>
      </c>
      <c r="I140" s="268"/>
      <c r="J140" s="268" t="s">
        <v>475</v>
      </c>
      <c r="K140" s="259">
        <f t="shared" si="8"/>
        <v>409104361</v>
      </c>
      <c r="L140" s="268" t="s">
        <v>475</v>
      </c>
      <c r="M140" s="568">
        <f>ROUND(SUMIF(T_IS!$F:$F,T198_TB!E140,T_IS!$AA:$AA),0)</f>
        <v>409104361</v>
      </c>
      <c r="Q140" s="715"/>
      <c r="R140" s="740">
        <v>409022657</v>
      </c>
      <c r="S140" s="741">
        <f t="shared" si="9"/>
        <v>-81704</v>
      </c>
      <c r="T140" s="700"/>
      <c r="U140" s="700"/>
    </row>
    <row r="141" spans="4:21" s="259" customFormat="1" ht="18" customHeight="1">
      <c r="D141" s="697" t="s">
        <v>637</v>
      </c>
      <c r="E141" s="703">
        <v>504</v>
      </c>
      <c r="F141" s="703" t="s">
        <v>697</v>
      </c>
      <c r="G141" s="704" t="s">
        <v>689</v>
      </c>
      <c r="H141" s="268">
        <v>1000</v>
      </c>
      <c r="I141" s="268"/>
      <c r="J141" s="268" t="s">
        <v>475</v>
      </c>
      <c r="K141" s="259">
        <f t="shared" si="8"/>
        <v>0</v>
      </c>
      <c r="L141" s="268" t="s">
        <v>475</v>
      </c>
      <c r="M141" s="568">
        <f>ROUND(SUMIF(T_IS!$F:$F,T198_TB!E141,T_IS!$AA:$AA),0)</f>
        <v>0</v>
      </c>
      <c r="Q141" s="715"/>
      <c r="R141" s="740">
        <v>0</v>
      </c>
      <c r="S141" s="741">
        <f t="shared" si="9"/>
        <v>0</v>
      </c>
      <c r="T141" s="700"/>
      <c r="U141" s="700"/>
    </row>
    <row r="142" spans="4:21" s="259" customFormat="1" ht="18" customHeight="1">
      <c r="D142" s="697" t="s">
        <v>637</v>
      </c>
      <c r="E142" s="703">
        <v>333</v>
      </c>
      <c r="F142" s="703" t="s">
        <v>697</v>
      </c>
      <c r="G142" s="704" t="s">
        <v>690</v>
      </c>
      <c r="H142" s="268">
        <v>1000</v>
      </c>
      <c r="I142" s="268"/>
      <c r="J142" s="268" t="s">
        <v>475</v>
      </c>
      <c r="K142" s="259">
        <f t="shared" si="8"/>
        <v>0</v>
      </c>
      <c r="L142" s="268" t="s">
        <v>475</v>
      </c>
      <c r="M142" s="568">
        <f>ROUND(SUMIF(T_IS!$F:$F,T198_TB!E142,T_IS!$AA:$AA),0)</f>
        <v>0</v>
      </c>
      <c r="Q142" s="715"/>
      <c r="R142" s="740">
        <v>0</v>
      </c>
      <c r="S142" s="741">
        <f t="shared" si="9"/>
        <v>0</v>
      </c>
      <c r="T142" s="700"/>
      <c r="U142" s="700"/>
    </row>
    <row r="143" spans="4:21" s="259" customFormat="1" ht="18" customHeight="1">
      <c r="D143" s="705" t="s">
        <v>637</v>
      </c>
      <c r="E143" s="756">
        <v>9565</v>
      </c>
      <c r="F143" s="756" t="s">
        <v>697</v>
      </c>
      <c r="G143" s="757" t="s">
        <v>1890</v>
      </c>
      <c r="H143" s="570">
        <v>1000</v>
      </c>
      <c r="I143" s="570"/>
      <c r="J143" s="570" t="s">
        <v>475</v>
      </c>
      <c r="K143" s="569">
        <f t="shared" si="8"/>
        <v>0</v>
      </c>
      <c r="L143" s="570" t="s">
        <v>475</v>
      </c>
      <c r="M143" s="571">
        <f>-ROUND(SUMIF(T_IS!$F:$F,T198_TB!E143,T_IS!$AA:$AA),0)</f>
        <v>0</v>
      </c>
      <c r="Q143" s="714"/>
      <c r="R143" s="740">
        <v>798641919</v>
      </c>
      <c r="S143" s="741">
        <f t="shared" si="9"/>
        <v>798641919</v>
      </c>
      <c r="T143" s="700"/>
      <c r="U143" s="700"/>
    </row>
    <row r="144" spans="4:21" s="259" customFormat="1" ht="18" customHeight="1">
      <c r="D144" s="697" t="s">
        <v>637</v>
      </c>
      <c r="E144" s="703">
        <v>706</v>
      </c>
      <c r="F144" s="703" t="s">
        <v>697</v>
      </c>
      <c r="G144" s="704" t="s">
        <v>691</v>
      </c>
      <c r="H144" s="268">
        <v>1000</v>
      </c>
      <c r="I144" s="268"/>
      <c r="J144" s="268" t="s">
        <v>475</v>
      </c>
      <c r="K144" s="259">
        <f t="shared" ref="K144:K155" si="10">+M144</f>
        <v>21824681843</v>
      </c>
      <c r="L144" s="268" t="s">
        <v>475</v>
      </c>
      <c r="M144" s="568">
        <f>ROUND(SUMIF(T_IS!$F:$F,T198_TB!E144,T_IS!$AA:$AA),0)</f>
        <v>21824681843</v>
      </c>
      <c r="Q144" s="715"/>
      <c r="R144" s="740">
        <v>21824681843</v>
      </c>
      <c r="S144" s="741">
        <f t="shared" si="9"/>
        <v>0</v>
      </c>
      <c r="T144" s="700"/>
      <c r="U144" s="700"/>
    </row>
    <row r="145" spans="4:21" s="259" customFormat="1" ht="18" customHeight="1">
      <c r="D145" s="697" t="s">
        <v>637</v>
      </c>
      <c r="E145" s="703">
        <v>702</v>
      </c>
      <c r="F145" s="703" t="s">
        <v>697</v>
      </c>
      <c r="G145" s="704" t="s">
        <v>739</v>
      </c>
      <c r="H145" s="268">
        <v>1000</v>
      </c>
      <c r="I145" s="268"/>
      <c r="J145" s="268" t="s">
        <v>475</v>
      </c>
      <c r="K145" s="259">
        <f t="shared" si="10"/>
        <v>127467924</v>
      </c>
      <c r="L145" s="268" t="s">
        <v>475</v>
      </c>
      <c r="M145" s="568">
        <f>ROUND(SUMIF(T_IS!$F:$F,T198_TB!E145,T_IS!$AA:$AA),0)</f>
        <v>127467924</v>
      </c>
      <c r="Q145" s="715"/>
      <c r="R145" s="740">
        <v>127467924</v>
      </c>
      <c r="S145" s="741">
        <f t="shared" si="9"/>
        <v>0</v>
      </c>
      <c r="T145" s="700"/>
      <c r="U145" s="700"/>
    </row>
    <row r="146" spans="4:21" s="259" customFormat="1" ht="18" customHeight="1">
      <c r="D146" s="697" t="s">
        <v>637</v>
      </c>
      <c r="E146" s="703">
        <v>701</v>
      </c>
      <c r="F146" s="703" t="s">
        <v>697</v>
      </c>
      <c r="G146" s="704" t="s">
        <v>692</v>
      </c>
      <c r="H146" s="268">
        <v>1000</v>
      </c>
      <c r="I146" s="268"/>
      <c r="J146" s="268" t="s">
        <v>475</v>
      </c>
      <c r="K146" s="259">
        <f t="shared" si="10"/>
        <v>25430480</v>
      </c>
      <c r="L146" s="268" t="s">
        <v>475</v>
      </c>
      <c r="M146" s="568">
        <f>ROUND(SUMIF(T_IS!$F:$F,T198_TB!E146,T_IS!$AA:$AA),0)</f>
        <v>25430480</v>
      </c>
      <c r="Q146" s="715"/>
      <c r="R146" s="740">
        <v>25430480</v>
      </c>
      <c r="S146" s="741">
        <f t="shared" si="9"/>
        <v>0</v>
      </c>
      <c r="T146" s="700"/>
      <c r="U146" s="700"/>
    </row>
    <row r="147" spans="4:21" s="259" customFormat="1" ht="18" customHeight="1">
      <c r="D147" s="697" t="s">
        <v>637</v>
      </c>
      <c r="E147" s="703">
        <v>705</v>
      </c>
      <c r="F147" s="703" t="s">
        <v>697</v>
      </c>
      <c r="G147" s="704" t="s">
        <v>741</v>
      </c>
      <c r="H147" s="268">
        <v>1000</v>
      </c>
      <c r="I147" s="268"/>
      <c r="J147" s="268" t="s">
        <v>475</v>
      </c>
      <c r="K147" s="259">
        <f t="shared" si="10"/>
        <v>15979275</v>
      </c>
      <c r="L147" s="268" t="s">
        <v>475</v>
      </c>
      <c r="M147" s="568">
        <f>ROUND(SUMIF(T_IS!$F:$F,T198_TB!E147,T_IS!$AA:$AA),0)</f>
        <v>15979275</v>
      </c>
      <c r="Q147" s="715"/>
      <c r="R147" s="740">
        <v>15979275</v>
      </c>
      <c r="S147" s="741">
        <f t="shared" si="9"/>
        <v>0</v>
      </c>
      <c r="T147" s="700"/>
      <c r="U147" s="700"/>
    </row>
    <row r="148" spans="4:21" s="259" customFormat="1" ht="18" customHeight="1">
      <c r="D148" s="697" t="s">
        <v>637</v>
      </c>
      <c r="E148" s="703">
        <v>703</v>
      </c>
      <c r="F148" s="703" t="s">
        <v>697</v>
      </c>
      <c r="G148" s="704" t="s">
        <v>769</v>
      </c>
      <c r="H148" s="268">
        <v>1000</v>
      </c>
      <c r="I148" s="268"/>
      <c r="J148" s="268" t="s">
        <v>475</v>
      </c>
      <c r="K148" s="259">
        <f t="shared" si="10"/>
        <v>0</v>
      </c>
      <c r="L148" s="268" t="s">
        <v>475</v>
      </c>
      <c r="M148" s="568">
        <f>ROUND(SUMIF(T_IS!$F:$F,T198_TB!E148,T_IS!$AA:$AA),0)</f>
        <v>0</v>
      </c>
      <c r="Q148" s="715" t="s">
        <v>1926</v>
      </c>
      <c r="R148" s="740">
        <v>622003191</v>
      </c>
      <c r="S148" s="741">
        <f t="shared" si="9"/>
        <v>622003191</v>
      </c>
      <c r="T148" s="700"/>
      <c r="U148" s="700"/>
    </row>
    <row r="149" spans="4:21" s="259" customFormat="1" ht="18" customHeight="1">
      <c r="D149" s="697" t="s">
        <v>637</v>
      </c>
      <c r="E149" s="703">
        <v>709</v>
      </c>
      <c r="F149" s="703" t="s">
        <v>697</v>
      </c>
      <c r="G149" s="704" t="s">
        <v>483</v>
      </c>
      <c r="H149" s="268">
        <v>1000</v>
      </c>
      <c r="I149" s="268"/>
      <c r="J149" s="268" t="s">
        <v>475</v>
      </c>
      <c r="K149" s="259">
        <f t="shared" si="10"/>
        <v>0</v>
      </c>
      <c r="L149" s="268" t="s">
        <v>475</v>
      </c>
      <c r="M149" s="568">
        <f>ROUND(SUMIF(T_IS!$F:$F,T198_TB!E149,T_IS!$AA:$AA),0)</f>
        <v>0</v>
      </c>
      <c r="Q149" s="715"/>
      <c r="R149" s="740">
        <v>0</v>
      </c>
      <c r="S149" s="741">
        <f t="shared" si="9"/>
        <v>0</v>
      </c>
      <c r="T149" s="700"/>
      <c r="U149" s="700"/>
    </row>
    <row r="150" spans="4:21" s="259" customFormat="1" ht="18" customHeight="1">
      <c r="D150" s="697" t="s">
        <v>637</v>
      </c>
      <c r="E150" s="703">
        <v>704</v>
      </c>
      <c r="F150" s="703" t="s">
        <v>697</v>
      </c>
      <c r="G150" s="704" t="s">
        <v>693</v>
      </c>
      <c r="H150" s="268">
        <v>1000</v>
      </c>
      <c r="I150" s="268"/>
      <c r="J150" s="268" t="s">
        <v>475</v>
      </c>
      <c r="K150" s="259">
        <f t="shared" si="10"/>
        <v>34396117</v>
      </c>
      <c r="L150" s="268" t="s">
        <v>475</v>
      </c>
      <c r="M150" s="568">
        <f>ROUND(SUMIF(T_IS!$F:$F,T198_TB!E150,T_IS!$AA:$AA),0)</f>
        <v>34396117</v>
      </c>
      <c r="Q150" s="715"/>
      <c r="R150" s="740">
        <v>34396117</v>
      </c>
      <c r="S150" s="741">
        <f t="shared" si="9"/>
        <v>0</v>
      </c>
      <c r="T150" s="700"/>
      <c r="U150" s="700"/>
    </row>
    <row r="151" spans="4:21" s="259" customFormat="1" ht="18" customHeight="1">
      <c r="D151" s="697" t="s">
        <v>637</v>
      </c>
      <c r="E151" s="703">
        <v>801</v>
      </c>
      <c r="F151" s="703" t="s">
        <v>697</v>
      </c>
      <c r="G151" s="704" t="s">
        <v>381</v>
      </c>
      <c r="H151" s="268">
        <v>1000</v>
      </c>
      <c r="I151" s="268"/>
      <c r="J151" s="268" t="s">
        <v>475</v>
      </c>
      <c r="K151" s="259">
        <f t="shared" si="10"/>
        <v>70238074</v>
      </c>
      <c r="L151" s="268" t="s">
        <v>475</v>
      </c>
      <c r="M151" s="568">
        <f>ROUND(SUMIF(T_IS!$F:$F,T198_TB!E151,T_IS!$AA:$AA),0)</f>
        <v>70238074</v>
      </c>
      <c r="Q151" s="715"/>
      <c r="R151" s="740">
        <v>70238074</v>
      </c>
      <c r="S151" s="741">
        <f t="shared" si="9"/>
        <v>0</v>
      </c>
      <c r="T151" s="700"/>
      <c r="U151" s="700"/>
    </row>
    <row r="152" spans="4:21" s="259" customFormat="1" ht="18" customHeight="1">
      <c r="D152" s="697" t="s">
        <v>637</v>
      </c>
      <c r="E152" s="703">
        <v>708</v>
      </c>
      <c r="F152" s="703" t="s">
        <v>697</v>
      </c>
      <c r="G152" s="704" t="s">
        <v>1693</v>
      </c>
      <c r="H152" s="268">
        <v>1000</v>
      </c>
      <c r="I152" s="268"/>
      <c r="J152" s="268" t="s">
        <v>475</v>
      </c>
      <c r="K152" s="259">
        <f t="shared" si="10"/>
        <v>3851136</v>
      </c>
      <c r="L152" s="268" t="s">
        <v>475</v>
      </c>
      <c r="M152" s="568">
        <f>ROUND(SUMIF(T_IS!$F:$F,T198_TB!E152,T_IS!$AA:$AA),0)</f>
        <v>3851136</v>
      </c>
      <c r="Q152" s="715"/>
      <c r="R152" s="740">
        <v>3851136</v>
      </c>
      <c r="S152" s="741">
        <f t="shared" si="9"/>
        <v>0</v>
      </c>
      <c r="T152" s="700"/>
      <c r="U152" s="700"/>
    </row>
    <row r="153" spans="4:21" s="259" customFormat="1" ht="18" customHeight="1">
      <c r="D153" s="697" t="s">
        <v>637</v>
      </c>
      <c r="E153" s="703">
        <v>3406</v>
      </c>
      <c r="F153" s="703" t="s">
        <v>8</v>
      </c>
      <c r="G153" s="704" t="s">
        <v>182</v>
      </c>
      <c r="H153" s="268">
        <v>1000</v>
      </c>
      <c r="I153" s="268"/>
      <c r="J153" s="268" t="s">
        <v>475</v>
      </c>
      <c r="K153" s="259">
        <f t="shared" si="10"/>
        <v>-4631022798</v>
      </c>
      <c r="L153" s="268" t="s">
        <v>475</v>
      </c>
      <c r="M153" s="568">
        <f>-ROUND(SUMIF(T_BS!$F:$F,T198_TB!E153,T_BS!$AA:$AA),0)</f>
        <v>-4631022798</v>
      </c>
      <c r="Q153" s="716" t="s">
        <v>1348</v>
      </c>
      <c r="R153" s="740">
        <v>-4910345533</v>
      </c>
      <c r="S153" s="741">
        <f t="shared" si="9"/>
        <v>-279322735</v>
      </c>
      <c r="T153" s="700"/>
      <c r="U153" s="700"/>
    </row>
    <row r="154" spans="4:21" s="259" customFormat="1" ht="18" customHeight="1">
      <c r="D154" s="697" t="s">
        <v>637</v>
      </c>
      <c r="E154" s="703">
        <v>3403</v>
      </c>
      <c r="F154" s="703" t="s">
        <v>8</v>
      </c>
      <c r="G154" s="704" t="s">
        <v>694</v>
      </c>
      <c r="H154" s="268">
        <v>1000</v>
      </c>
      <c r="I154" s="268">
        <v>3</v>
      </c>
      <c r="J154" s="268" t="s">
        <v>475</v>
      </c>
      <c r="K154" s="259">
        <f t="shared" si="10"/>
        <v>0</v>
      </c>
      <c r="L154" s="268" t="s">
        <v>475</v>
      </c>
      <c r="M154" s="568">
        <f>-ROUND(SUMIF(T_BS!$F:$F,T198_TB!E154,T_BS!$AA:$AA),0)</f>
        <v>0</v>
      </c>
      <c r="Q154" s="716"/>
      <c r="R154" s="740">
        <v>0</v>
      </c>
      <c r="S154" s="741">
        <f t="shared" si="9"/>
        <v>0</v>
      </c>
      <c r="T154" s="700"/>
      <c r="U154" s="700"/>
    </row>
    <row r="155" spans="4:21" s="259" customFormat="1" ht="18" customHeight="1" thickBot="1">
      <c r="D155" s="706" t="s">
        <v>637</v>
      </c>
      <c r="E155" s="707">
        <v>1607</v>
      </c>
      <c r="F155" s="707" t="s">
        <v>0</v>
      </c>
      <c r="G155" s="708" t="s">
        <v>695</v>
      </c>
      <c r="H155" s="573">
        <v>1000</v>
      </c>
      <c r="I155" s="573"/>
      <c r="J155" s="573" t="s">
        <v>475</v>
      </c>
      <c r="K155" s="572">
        <f t="shared" si="10"/>
        <v>212955264</v>
      </c>
      <c r="L155" s="573" t="s">
        <v>475</v>
      </c>
      <c r="M155" s="574">
        <f>ROUND(SUMIF(T_BS!$F:$F,T198_TB!E155,T_BS!$AA:$AA),0)</f>
        <v>212955264</v>
      </c>
      <c r="Q155" s="716" t="s">
        <v>1349</v>
      </c>
      <c r="R155" s="742">
        <v>212955264</v>
      </c>
      <c r="S155" s="743">
        <f t="shared" si="9"/>
        <v>0</v>
      </c>
      <c r="T155" s="700"/>
      <c r="U155" s="700"/>
    </row>
    <row r="158" spans="4:21" ht="18" customHeight="1">
      <c r="F158" s="259"/>
      <c r="G158" s="259"/>
      <c r="H158" s="268"/>
      <c r="I158" s="268"/>
    </row>
    <row r="159" spans="4:21" ht="18" customHeight="1">
      <c r="F159" s="259"/>
      <c r="G159" s="259"/>
      <c r="H159" s="268"/>
      <c r="I159" s="268"/>
    </row>
    <row r="160" spans="4:21" ht="18" customHeight="1">
      <c r="F160" s="259"/>
      <c r="G160" s="259"/>
      <c r="H160" s="268"/>
      <c r="I160" s="268"/>
    </row>
    <row r="161" spans="6:9" ht="18" customHeight="1">
      <c r="F161" s="259"/>
      <c r="G161" s="259"/>
      <c r="H161" s="268"/>
      <c r="I161" s="268"/>
    </row>
    <row r="162" spans="6:9" ht="18" customHeight="1">
      <c r="F162" s="259"/>
      <c r="G162" s="259"/>
      <c r="H162" s="268"/>
      <c r="I162" s="268"/>
    </row>
    <row r="163" spans="6:9" ht="18" customHeight="1">
      <c r="F163" s="259"/>
      <c r="G163" s="259"/>
      <c r="H163" s="268"/>
      <c r="I163" s="268"/>
    </row>
    <row r="164" spans="6:9" ht="18" customHeight="1">
      <c r="F164" s="696"/>
    </row>
    <row r="165" spans="6:9" ht="18" customHeight="1">
      <c r="F165" s="696"/>
    </row>
    <row r="166" spans="6:9" ht="18" customHeight="1">
      <c r="F166" s="696"/>
    </row>
    <row r="167" spans="6:9" ht="18" customHeight="1">
      <c r="F167" s="696"/>
    </row>
    <row r="168" spans="6:9" ht="18" customHeight="1">
      <c r="F168" s="696"/>
    </row>
    <row r="169" spans="6:9" ht="18" customHeight="1">
      <c r="F169" s="696"/>
    </row>
    <row r="170" spans="6:9" ht="18" customHeight="1">
      <c r="F170" s="696"/>
    </row>
    <row r="171" spans="6:9" ht="18" customHeight="1">
      <c r="F171" s="696"/>
    </row>
    <row r="172" spans="6:9" ht="18" customHeight="1">
      <c r="F172" s="696"/>
    </row>
    <row r="173" spans="6:9" ht="18" customHeight="1">
      <c r="F173" s="696"/>
    </row>
    <row r="174" spans="6:9" ht="18" customHeight="1">
      <c r="F174" s="696"/>
    </row>
    <row r="175" spans="6:9" ht="18" customHeight="1">
      <c r="F175" s="696"/>
    </row>
    <row r="176" spans="6:9" ht="18" customHeight="1">
      <c r="F176" s="696"/>
    </row>
    <row r="177" spans="6:6" ht="18" customHeight="1">
      <c r="F177" s="696"/>
    </row>
    <row r="178" spans="6:6" ht="18" customHeight="1">
      <c r="F178" s="696"/>
    </row>
    <row r="179" spans="6:6" ht="18" customHeight="1">
      <c r="F179" s="696"/>
    </row>
    <row r="180" spans="6:6" ht="18" customHeight="1">
      <c r="F180" s="696"/>
    </row>
    <row r="181" spans="6:6" ht="18" customHeight="1">
      <c r="F181" s="696"/>
    </row>
    <row r="182" spans="6:6" ht="18" customHeight="1">
      <c r="F182" s="696"/>
    </row>
    <row r="183" spans="6:6" ht="18" customHeight="1">
      <c r="F183" s="696"/>
    </row>
    <row r="184" spans="6:6" ht="18" customHeight="1">
      <c r="F184" s="696"/>
    </row>
    <row r="185" spans="6:6" ht="18" customHeight="1">
      <c r="F185" s="696"/>
    </row>
    <row r="186" spans="6:6" ht="18" customHeight="1">
      <c r="F186" s="696"/>
    </row>
    <row r="187" spans="6:6" ht="18" customHeight="1">
      <c r="F187" s="696"/>
    </row>
    <row r="188" spans="6:6" ht="18" customHeight="1">
      <c r="F188" s="696"/>
    </row>
    <row r="189" spans="6:6" ht="18" customHeight="1">
      <c r="F189" s="696"/>
    </row>
    <row r="190" spans="6:6" ht="18" customHeight="1">
      <c r="F190" s="696"/>
    </row>
    <row r="191" spans="6:6" ht="18" customHeight="1">
      <c r="F191" s="696"/>
    </row>
    <row r="192" spans="6:6" ht="18" customHeight="1">
      <c r="F192" s="696"/>
    </row>
    <row r="193" spans="6:6" ht="18" customHeight="1">
      <c r="F193" s="696"/>
    </row>
    <row r="194" spans="6:6" ht="18" customHeight="1">
      <c r="F194" s="696"/>
    </row>
    <row r="195" spans="6:6" ht="18" customHeight="1">
      <c r="F195" s="696"/>
    </row>
    <row r="196" spans="6:6" ht="18" customHeight="1">
      <c r="F196" s="696"/>
    </row>
    <row r="197" spans="6:6" ht="18" customHeight="1">
      <c r="F197" s="696"/>
    </row>
    <row r="198" spans="6:6" ht="18" customHeight="1">
      <c r="F198" s="696"/>
    </row>
    <row r="199" spans="6:6" ht="18" customHeight="1">
      <c r="F199" s="696"/>
    </row>
    <row r="200" spans="6:6" ht="18" customHeight="1">
      <c r="F200" s="696"/>
    </row>
    <row r="201" spans="6:6" ht="18" customHeight="1">
      <c r="F201" s="696"/>
    </row>
    <row r="202" spans="6:6" ht="18" customHeight="1">
      <c r="F202" s="696"/>
    </row>
    <row r="203" spans="6:6" ht="18" customHeight="1">
      <c r="F203" s="696"/>
    </row>
    <row r="204" spans="6:6" ht="18" customHeight="1">
      <c r="F204" s="696"/>
    </row>
    <row r="205" spans="6:6" ht="18" customHeight="1">
      <c r="F205" s="696"/>
    </row>
    <row r="206" spans="6:6" ht="18" customHeight="1">
      <c r="F206" s="696"/>
    </row>
    <row r="207" spans="6:6" ht="18" customHeight="1">
      <c r="F207" s="696"/>
    </row>
    <row r="208" spans="6:6" ht="18" customHeight="1">
      <c r="F208" s="696"/>
    </row>
    <row r="209" spans="6:6" ht="18" customHeight="1">
      <c r="F209" s="696"/>
    </row>
    <row r="210" spans="6:6" ht="18" customHeight="1">
      <c r="F210" s="696"/>
    </row>
    <row r="211" spans="6:6" ht="18" customHeight="1">
      <c r="F211" s="696"/>
    </row>
    <row r="212" spans="6:6" ht="18" customHeight="1">
      <c r="F212" s="696"/>
    </row>
    <row r="213" spans="6:6" ht="18" customHeight="1">
      <c r="F213" s="696"/>
    </row>
    <row r="214" spans="6:6" ht="18" customHeight="1">
      <c r="F214" s="696"/>
    </row>
    <row r="215" spans="6:6" ht="18" customHeight="1">
      <c r="F215" s="696"/>
    </row>
    <row r="216" spans="6:6" ht="18" customHeight="1">
      <c r="F216" s="696"/>
    </row>
    <row r="217" spans="6:6" ht="18" customHeight="1">
      <c r="F217" s="696"/>
    </row>
    <row r="218" spans="6:6" ht="18" customHeight="1">
      <c r="F218" s="696"/>
    </row>
    <row r="219" spans="6:6" ht="18" customHeight="1">
      <c r="F219" s="696"/>
    </row>
    <row r="220" spans="6:6" ht="18" customHeight="1">
      <c r="F220" s="696"/>
    </row>
    <row r="221" spans="6:6" ht="18" customHeight="1">
      <c r="F221" s="696"/>
    </row>
    <row r="222" spans="6:6" ht="18" customHeight="1">
      <c r="F222" s="696"/>
    </row>
    <row r="223" spans="6:6" ht="18" customHeight="1">
      <c r="F223" s="696"/>
    </row>
    <row r="224" spans="6:6" ht="18" customHeight="1">
      <c r="F224" s="696"/>
    </row>
    <row r="225" spans="6:6" ht="18" customHeight="1">
      <c r="F225" s="696"/>
    </row>
    <row r="226" spans="6:6" ht="18" customHeight="1">
      <c r="F226" s="696"/>
    </row>
    <row r="227" spans="6:6" ht="18" customHeight="1">
      <c r="F227" s="696"/>
    </row>
    <row r="228" spans="6:6" ht="18" customHeight="1">
      <c r="F228" s="696"/>
    </row>
    <row r="229" spans="6:6" ht="18" customHeight="1">
      <c r="F229" s="696"/>
    </row>
    <row r="230" spans="6:6" ht="18" customHeight="1">
      <c r="F230" s="696"/>
    </row>
    <row r="231" spans="6:6" ht="18" customHeight="1">
      <c r="F231" s="696"/>
    </row>
    <row r="232" spans="6:6" ht="18" customHeight="1">
      <c r="F232" s="696"/>
    </row>
    <row r="233" spans="6:6" ht="18" customHeight="1">
      <c r="F233" s="696"/>
    </row>
    <row r="234" spans="6:6" ht="18" customHeight="1">
      <c r="F234" s="696"/>
    </row>
    <row r="235" spans="6:6" ht="18" customHeight="1">
      <c r="F235" s="696"/>
    </row>
    <row r="236" spans="6:6" ht="18" customHeight="1">
      <c r="F236" s="696"/>
    </row>
    <row r="237" spans="6:6" ht="18" customHeight="1">
      <c r="F237" s="696"/>
    </row>
    <row r="238" spans="6:6" ht="18" customHeight="1">
      <c r="F238" s="696"/>
    </row>
    <row r="239" spans="6:6" ht="18" customHeight="1">
      <c r="F239" s="696"/>
    </row>
    <row r="240" spans="6:6" ht="18" customHeight="1">
      <c r="F240" s="696"/>
    </row>
    <row r="241" spans="6:6" ht="18" customHeight="1">
      <c r="F241" s="696"/>
    </row>
    <row r="242" spans="6:6" ht="18" customHeight="1">
      <c r="F242" s="696"/>
    </row>
    <row r="243" spans="6:6" ht="18" customHeight="1">
      <c r="F243" s="696"/>
    </row>
    <row r="244" spans="6:6" ht="18" customHeight="1">
      <c r="F244" s="696"/>
    </row>
    <row r="245" spans="6:6" ht="18" customHeight="1">
      <c r="F245" s="696"/>
    </row>
    <row r="246" spans="6:6" ht="18" customHeight="1">
      <c r="F246" s="696"/>
    </row>
    <row r="247" spans="6:6" ht="18" customHeight="1">
      <c r="F247" s="696"/>
    </row>
    <row r="248" spans="6:6" ht="18" customHeight="1">
      <c r="F248" s="696"/>
    </row>
    <row r="249" spans="6:6" ht="18" customHeight="1">
      <c r="F249" s="696"/>
    </row>
    <row r="250" spans="6:6" ht="18" customHeight="1">
      <c r="F250" s="696"/>
    </row>
    <row r="251" spans="6:6" ht="18" customHeight="1">
      <c r="F251" s="696"/>
    </row>
    <row r="252" spans="6:6" ht="18" customHeight="1">
      <c r="F252" s="696"/>
    </row>
    <row r="253" spans="6:6" ht="18" customHeight="1">
      <c r="F253" s="696"/>
    </row>
    <row r="254" spans="6:6" ht="18" customHeight="1">
      <c r="F254" s="696"/>
    </row>
    <row r="255" spans="6:6" ht="18" customHeight="1">
      <c r="F255" s="696"/>
    </row>
    <row r="256" spans="6:6" ht="18" customHeight="1">
      <c r="F256" s="696"/>
    </row>
    <row r="257" spans="6:6" ht="18" customHeight="1">
      <c r="F257" s="696"/>
    </row>
    <row r="258" spans="6:6" ht="18" customHeight="1">
      <c r="F258" s="696"/>
    </row>
    <row r="259" spans="6:6" ht="18" customHeight="1">
      <c r="F259" s="696"/>
    </row>
    <row r="260" spans="6:6" ht="18" customHeight="1">
      <c r="F260" s="696"/>
    </row>
    <row r="261" spans="6:6" ht="18" customHeight="1">
      <c r="F261" s="696"/>
    </row>
    <row r="262" spans="6:6" ht="18" customHeight="1">
      <c r="F262" s="696"/>
    </row>
    <row r="263" spans="6:6" ht="18" customHeight="1">
      <c r="F263" s="696"/>
    </row>
    <row r="264" spans="6:6" ht="18" customHeight="1">
      <c r="F264" s="696"/>
    </row>
    <row r="265" spans="6:6" ht="18" customHeight="1">
      <c r="F265" s="696"/>
    </row>
    <row r="266" spans="6:6" ht="18" customHeight="1">
      <c r="F266" s="696"/>
    </row>
    <row r="267" spans="6:6" ht="18" customHeight="1">
      <c r="F267" s="696"/>
    </row>
    <row r="268" spans="6:6" ht="18" customHeight="1">
      <c r="F268" s="696"/>
    </row>
    <row r="269" spans="6:6" ht="18" customHeight="1">
      <c r="F269" s="696"/>
    </row>
    <row r="270" spans="6:6" ht="18" customHeight="1">
      <c r="F270" s="696"/>
    </row>
    <row r="271" spans="6:6" ht="18" customHeight="1">
      <c r="F271" s="696"/>
    </row>
    <row r="272" spans="6:6" ht="18" customHeight="1">
      <c r="F272" s="696"/>
    </row>
    <row r="273" spans="6:6" ht="18" customHeight="1">
      <c r="F273" s="696"/>
    </row>
    <row r="274" spans="6:6" ht="18" customHeight="1">
      <c r="F274" s="696"/>
    </row>
    <row r="275" spans="6:6" ht="18" customHeight="1">
      <c r="F275" s="696"/>
    </row>
    <row r="276" spans="6:6" ht="18" customHeight="1">
      <c r="F276" s="696"/>
    </row>
    <row r="277" spans="6:6" ht="18" customHeight="1">
      <c r="F277" s="696"/>
    </row>
    <row r="278" spans="6:6" ht="18" customHeight="1">
      <c r="F278" s="696"/>
    </row>
    <row r="279" spans="6:6" ht="18" customHeight="1">
      <c r="F279" s="696"/>
    </row>
    <row r="280" spans="6:6" ht="18" customHeight="1">
      <c r="F280" s="696"/>
    </row>
    <row r="281" spans="6:6" ht="18" customHeight="1">
      <c r="F281" s="696"/>
    </row>
    <row r="282" spans="6:6" ht="18" customHeight="1">
      <c r="F282" s="696"/>
    </row>
    <row r="283" spans="6:6" ht="18" customHeight="1">
      <c r="F283" s="696"/>
    </row>
    <row r="284" spans="6:6" ht="18" customHeight="1">
      <c r="F284" s="696"/>
    </row>
    <row r="285" spans="6:6" ht="18" customHeight="1">
      <c r="F285" s="696"/>
    </row>
    <row r="286" spans="6:6" ht="18" customHeight="1">
      <c r="F286" s="696"/>
    </row>
    <row r="287" spans="6:6" ht="18" customHeight="1">
      <c r="F287" s="696"/>
    </row>
    <row r="288" spans="6:6" ht="18" customHeight="1">
      <c r="F288" s="696"/>
    </row>
    <row r="289" spans="6:6" ht="18" customHeight="1">
      <c r="F289" s="696"/>
    </row>
    <row r="290" spans="6:6" ht="18" customHeight="1">
      <c r="F290" s="696"/>
    </row>
    <row r="291" spans="6:6" ht="18" customHeight="1">
      <c r="F291" s="696"/>
    </row>
    <row r="292" spans="6:6" ht="18" customHeight="1">
      <c r="F292" s="696"/>
    </row>
    <row r="293" spans="6:6" ht="18" customHeight="1">
      <c r="F293" s="696"/>
    </row>
    <row r="294" spans="6:6" ht="18" customHeight="1">
      <c r="F294" s="696"/>
    </row>
    <row r="295" spans="6:6" ht="18" customHeight="1">
      <c r="F295" s="696"/>
    </row>
    <row r="296" spans="6:6" ht="18" customHeight="1">
      <c r="F296" s="696"/>
    </row>
  </sheetData>
  <autoFilter ref="D4:M155" xr:uid="{00000000-0009-0000-0000-000008000000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38</vt:i4>
      </vt:variant>
      <vt:variant>
        <vt:lpstr>이름 지정된 범위</vt:lpstr>
      </vt:variant>
      <vt:variant>
        <vt:i4>1</vt:i4>
      </vt:variant>
    </vt:vector>
  </HeadingPairs>
  <TitlesOfParts>
    <vt:vector size="39" baseType="lpstr">
      <vt:lpstr>Note</vt:lpstr>
      <vt:lpstr>SCOPE</vt:lpstr>
      <vt:lpstr>자본변동</vt:lpstr>
      <vt:lpstr>T_BS</vt:lpstr>
      <vt:lpstr>T_IS</vt:lpstr>
      <vt:lpstr>T_CE</vt:lpstr>
      <vt:lpstr>BS</vt:lpstr>
      <vt:lpstr>IS</vt:lpstr>
      <vt:lpstr>T198_TB</vt:lpstr>
      <vt:lpstr>CFS</vt:lpstr>
      <vt:lpstr>CF.1</vt:lpstr>
      <vt:lpstr>CF.2</vt:lpstr>
      <vt:lpstr>BS(공)</vt:lpstr>
      <vt:lpstr>CE(공)</vt:lpstr>
      <vt:lpstr>IS(공)</vt:lpstr>
      <vt:lpstr>CF(공)_1.0</vt:lpstr>
      <vt:lpstr>CF(공)_2.0</vt:lpstr>
      <vt:lpstr>1.0</vt:lpstr>
      <vt:lpstr>2.0</vt:lpstr>
      <vt:lpstr>2.1</vt:lpstr>
      <vt:lpstr>3.0</vt:lpstr>
      <vt:lpstr>3.1</vt:lpstr>
      <vt:lpstr>4.0</vt:lpstr>
      <vt:lpstr>5.0</vt:lpstr>
      <vt:lpstr>5.1</vt:lpstr>
      <vt:lpstr>5.1_V2</vt:lpstr>
      <vt:lpstr>5.2</vt:lpstr>
      <vt:lpstr>5.2_V2</vt:lpstr>
      <vt:lpstr>5.3</vt:lpstr>
      <vt:lpstr>6.0</vt:lpstr>
      <vt:lpstr>7.0</vt:lpstr>
      <vt:lpstr>7.1</vt:lpstr>
      <vt:lpstr>8.0</vt:lpstr>
      <vt:lpstr>8.1</vt:lpstr>
      <vt:lpstr>OCI</vt:lpstr>
      <vt:lpstr>NCE</vt:lpstr>
      <vt:lpstr>NCI</vt:lpstr>
      <vt:lpstr>FNS</vt:lpstr>
      <vt:lpstr>'CF(공)_1.0'!_FilterDatabase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2020-03-18T03:20:33Z</dcterms:modified>
</cp:coreProperties>
</file>